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SBK\Miljö- och vattenplanering\Vatten\Data\Ytvatten\Oxunda avrinningsområde\Vattenkemi\"/>
    </mc:Choice>
  </mc:AlternateContent>
  <bookViews>
    <workbookView xWindow="28680" yWindow="-120" windowWidth="25440" windowHeight="15396"/>
  </bookViews>
  <sheets>
    <sheet name="data" sheetId="2" r:id="rId1"/>
  </sheets>
  <definedNames>
    <definedName name="_xlnm._FilterDatabase" localSheetId="0" hidden="1">data!$A$1:$FY$5669</definedName>
    <definedName name="h" localSheetId="0" hidden="1">data!$A$1:$DJ$3650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Q5669" i="2" l="1"/>
  <c r="AQ5664" i="2"/>
  <c r="AQ5659" i="2"/>
  <c r="AQ5658" i="2"/>
  <c r="AQ5616" i="2"/>
  <c r="AQ5615" i="2"/>
  <c r="AQ5614" i="2"/>
  <c r="AQ5612" i="2"/>
  <c r="AQ5610" i="2"/>
  <c r="AQ5650" i="2"/>
  <c r="AQ5648" i="2"/>
  <c r="AQ5646" i="2"/>
  <c r="AQ5605" i="2"/>
  <c r="AQ5603" i="2"/>
  <c r="AQ5602" i="2"/>
  <c r="AQ5600" i="2"/>
  <c r="AQ5599" i="2"/>
  <c r="AQ5598" i="2"/>
  <c r="AQ5644" i="2"/>
  <c r="AQ5640" i="2"/>
  <c r="AQ5637" i="2"/>
  <c r="AQ5595" i="2"/>
  <c r="AQ5594" i="2"/>
  <c r="AQ5593" i="2"/>
  <c r="AQ5592" i="2"/>
  <c r="AQ5591" i="2"/>
  <c r="AQ5590" i="2"/>
  <c r="AQ5589" i="2"/>
  <c r="AQ5587" i="2"/>
  <c r="AQ5586" i="2"/>
  <c r="AQ5632" i="2"/>
  <c r="AQ5631" i="2"/>
  <c r="AQ5630" i="2"/>
  <c r="AQ5628" i="2"/>
  <c r="AQ5627" i="2"/>
  <c r="AQ5625" i="2"/>
  <c r="AQ5623" i="2"/>
  <c r="AQ5622" i="2"/>
  <c r="AQ5585" i="2"/>
  <c r="AQ5584" i="2"/>
  <c r="AQ5583" i="2"/>
  <c r="AQ5582" i="2"/>
  <c r="AQ5581" i="2"/>
  <c r="AQ5580" i="2"/>
  <c r="AQ5579" i="2"/>
  <c r="AQ5578" i="2"/>
  <c r="AQ5577" i="2"/>
  <c r="AQ5576" i="2"/>
  <c r="AQ5575" i="2"/>
  <c r="AQ5574" i="2"/>
  <c r="AQ3650" i="2"/>
  <c r="AQ3649" i="2"/>
  <c r="AQ3644" i="2"/>
  <c r="AQ3643" i="2"/>
  <c r="AQ3636" i="2"/>
  <c r="AQ3635" i="2"/>
  <c r="AQ3648" i="2"/>
  <c r="AQ3647" i="2"/>
  <c r="AQ3633" i="2"/>
  <c r="AQ3631" i="2"/>
  <c r="AQ3630" i="2"/>
  <c r="AQ3627" i="2"/>
  <c r="AQ3625" i="2"/>
  <c r="AW5623" i="2"/>
  <c r="AW5608" i="2"/>
  <c r="AW5601" i="2"/>
  <c r="AW5594" i="2"/>
  <c r="AW5592" i="2"/>
  <c r="AW5587" i="2"/>
  <c r="AW5586" i="2"/>
  <c r="AW5585" i="2"/>
  <c r="AW5583" i="2"/>
  <c r="AW5582" i="2"/>
  <c r="AW5581" i="2"/>
  <c r="AW5580" i="2"/>
  <c r="AW5577" i="2"/>
  <c r="AW5574" i="2"/>
  <c r="AV5655" i="2"/>
  <c r="AV5610" i="2"/>
  <c r="AV5597" i="2"/>
  <c r="AV5582" i="2"/>
  <c r="AV5587" i="2"/>
  <c r="AV5583" i="2"/>
  <c r="AV5581" i="2"/>
  <c r="AV5578" i="2"/>
  <c r="AV5577" i="2"/>
  <c r="AV5576" i="2"/>
  <c r="AV5574" i="2"/>
  <c r="AU5669" i="2"/>
  <c r="AU5668" i="2"/>
  <c r="AU5667" i="2"/>
  <c r="AU5666" i="2"/>
  <c r="AU5665" i="2"/>
  <c r="AU5664" i="2"/>
  <c r="AU5663" i="2"/>
  <c r="AU5662" i="2"/>
  <c r="AU5661" i="2"/>
  <c r="AU5660" i="2"/>
  <c r="AU5659" i="2"/>
  <c r="AU5658" i="2"/>
  <c r="AU5657" i="2"/>
  <c r="AU5656" i="2"/>
  <c r="AU5655" i="2"/>
  <c r="AU5654" i="2"/>
  <c r="AU5653" i="2"/>
  <c r="AU5652" i="2"/>
  <c r="AU5651" i="2"/>
  <c r="AU5650" i="2"/>
  <c r="AU5649" i="2"/>
  <c r="AU5648" i="2"/>
  <c r="AU5647" i="2"/>
  <c r="AU5646" i="2"/>
  <c r="AU5645" i="2"/>
  <c r="AU5644" i="2"/>
  <c r="AU5643" i="2"/>
  <c r="AU5642" i="2"/>
  <c r="AU5641" i="2"/>
  <c r="AU5640" i="2"/>
  <c r="AU5639" i="2"/>
  <c r="AU5638" i="2"/>
  <c r="AU5637" i="2"/>
  <c r="AU5636" i="2"/>
  <c r="AU5635" i="2"/>
  <c r="AU5634" i="2"/>
  <c r="AU5633" i="2"/>
  <c r="AU5632" i="2"/>
  <c r="AU5631" i="2"/>
  <c r="AU5630" i="2"/>
  <c r="AU5629" i="2"/>
  <c r="AU5628" i="2"/>
  <c r="AU5627" i="2"/>
  <c r="AU5626" i="2"/>
  <c r="AU5625" i="2"/>
  <c r="AU5624" i="2"/>
  <c r="AU5623" i="2"/>
  <c r="AU5622" i="2"/>
  <c r="AU5621" i="2"/>
  <c r="AU5620" i="2"/>
  <c r="AU5619" i="2"/>
  <c r="AU5618" i="2"/>
  <c r="AU5617" i="2"/>
  <c r="AU5616" i="2"/>
  <c r="AU5615" i="2"/>
  <c r="AU5614" i="2"/>
  <c r="AU5613" i="2"/>
  <c r="AU5612" i="2"/>
  <c r="AU5611" i="2"/>
  <c r="AU5610" i="2"/>
  <c r="AU5609" i="2"/>
  <c r="AU5608" i="2"/>
  <c r="AU5607" i="2"/>
  <c r="AU5606" i="2"/>
  <c r="AU5605" i="2"/>
  <c r="AU5604" i="2"/>
  <c r="AU5603" i="2"/>
  <c r="AU5602" i="2"/>
  <c r="AU5601" i="2"/>
  <c r="AU5600" i="2"/>
  <c r="AU5599" i="2"/>
  <c r="AU5598" i="2"/>
  <c r="AU5597" i="2"/>
  <c r="AU5596" i="2"/>
  <c r="AU5595" i="2"/>
  <c r="AU5594" i="2"/>
  <c r="AU5593" i="2"/>
  <c r="AU5592" i="2"/>
  <c r="AU5591" i="2"/>
  <c r="AU5590" i="2"/>
  <c r="AU5589" i="2"/>
  <c r="AU5588" i="2"/>
  <c r="AU5586" i="2"/>
  <c r="AU5585" i="2"/>
  <c r="AU5584" i="2"/>
  <c r="AU5583" i="2"/>
  <c r="AU5582" i="2"/>
  <c r="AU5581" i="2"/>
  <c r="AU5580" i="2"/>
  <c r="AU5579" i="2"/>
  <c r="AU5578" i="2"/>
  <c r="AU5577" i="2"/>
  <c r="AU5576" i="2"/>
  <c r="AU5575" i="2"/>
  <c r="AU5574" i="2"/>
  <c r="AR5611" i="2"/>
  <c r="AR5661" i="2"/>
  <c r="AR5641" i="2"/>
  <c r="AR5635" i="2"/>
  <c r="AR5632" i="2"/>
  <c r="AR5623" i="2"/>
  <c r="AR5608" i="2"/>
  <c r="AR5607" i="2"/>
  <c r="AR5606" i="2"/>
  <c r="AR5600" i="2"/>
  <c r="AR5599" i="2"/>
  <c r="AR5598" i="2"/>
  <c r="AR5597" i="2"/>
  <c r="AR5596" i="2"/>
  <c r="AR5594" i="2"/>
  <c r="AR5593" i="2"/>
  <c r="AR5591" i="2"/>
  <c r="AR5590" i="2"/>
  <c r="AR5589" i="2"/>
  <c r="AR5588" i="2"/>
  <c r="AR5587" i="2"/>
  <c r="AR5586" i="2"/>
  <c r="AR5585" i="2"/>
  <c r="AR5584" i="2"/>
  <c r="AR5583" i="2"/>
  <c r="AR5582" i="2"/>
  <c r="AR5578" i="2"/>
  <c r="AR5577" i="2"/>
  <c r="AR5575" i="2"/>
  <c r="AR5574" i="2"/>
  <c r="AT5667" i="2"/>
  <c r="AT5660" i="2"/>
  <c r="AT5635" i="2"/>
  <c r="AT5630" i="2"/>
  <c r="AT5618" i="2"/>
  <c r="AT5608" i="2"/>
  <c r="AT5607" i="2"/>
  <c r="AT5617" i="2"/>
  <c r="AT5613" i="2"/>
  <c r="AT5612" i="2"/>
  <c r="AT5599" i="2"/>
  <c r="AT5598" i="2"/>
  <c r="AT5596" i="2"/>
  <c r="AT5595" i="2"/>
  <c r="AT5592" i="2"/>
  <c r="AT5591" i="2"/>
  <c r="AT5589" i="2"/>
  <c r="AT5588" i="2"/>
  <c r="AT5587" i="2"/>
  <c r="AT5585" i="2"/>
  <c r="AT5584" i="2"/>
  <c r="AT5583" i="2"/>
  <c r="AT5582" i="2"/>
  <c r="AT5581" i="2"/>
  <c r="AT5580" i="2"/>
  <c r="AT5579" i="2"/>
  <c r="AT5578" i="2"/>
  <c r="AT5577" i="2"/>
  <c r="AT5575" i="2"/>
  <c r="AT5574" i="2"/>
  <c r="L5573" i="2"/>
  <c r="L5572" i="2"/>
  <c r="L5571" i="2"/>
  <c r="L5570" i="2"/>
  <c r="L5569" i="2"/>
  <c r="L5568" i="2"/>
  <c r="L5567" i="2"/>
  <c r="L5566" i="2"/>
  <c r="L5565" i="2"/>
  <c r="L5564" i="2"/>
  <c r="L5563" i="2"/>
  <c r="L5562" i="2"/>
  <c r="L5561" i="2"/>
  <c r="L5560" i="2"/>
  <c r="L5559" i="2"/>
  <c r="L4879" i="2"/>
  <c r="D5573" i="2"/>
  <c r="D5572" i="2"/>
  <c r="D5571" i="2"/>
  <c r="D5570" i="2"/>
  <c r="D5569" i="2"/>
  <c r="D5568" i="2"/>
  <c r="D5567" i="2"/>
  <c r="D5566" i="2"/>
  <c r="D5565" i="2"/>
  <c r="D5564" i="2"/>
  <c r="D5563" i="2"/>
  <c r="D5562" i="2"/>
  <c r="D5561" i="2"/>
  <c r="D5560" i="2"/>
  <c r="D5559" i="2"/>
  <c r="D4879" i="2"/>
  <c r="L5555" i="2"/>
  <c r="L5556" i="2"/>
  <c r="L5557" i="2"/>
  <c r="L5558" i="2"/>
  <c r="L5551" i="2"/>
  <c r="L5552" i="2"/>
  <c r="L5553" i="2"/>
  <c r="L5554" i="2"/>
  <c r="L5548" i="2"/>
  <c r="L5549" i="2"/>
  <c r="L5550" i="2"/>
  <c r="L5545" i="2"/>
  <c r="L5546" i="2"/>
  <c r="L5547" i="2"/>
  <c r="L5542" i="2"/>
  <c r="L5543" i="2"/>
  <c r="L5544" i="2"/>
  <c r="L5539" i="2"/>
  <c r="L5540" i="2"/>
  <c r="L5541" i="2"/>
  <c r="L5536" i="2"/>
  <c r="L5537" i="2"/>
  <c r="L5538" i="2"/>
  <c r="L5535" i="2"/>
  <c r="L5534" i="2"/>
  <c r="L5533" i="2"/>
  <c r="D5520" i="2"/>
  <c r="D5521" i="2"/>
  <c r="D5522" i="2"/>
  <c r="D5523" i="2"/>
  <c r="D5524" i="2"/>
  <c r="D5525" i="2"/>
  <c r="D5526" i="2"/>
  <c r="D5527" i="2"/>
  <c r="D5528" i="2"/>
  <c r="D5529" i="2"/>
  <c r="D5530" i="2"/>
  <c r="D5531" i="2"/>
  <c r="D5504" i="2"/>
  <c r="D5505" i="2"/>
  <c r="D5506" i="2"/>
  <c r="D5507" i="2"/>
  <c r="D5508" i="2"/>
  <c r="D5509" i="2"/>
  <c r="D5510" i="2"/>
  <c r="D5511" i="2"/>
  <c r="D5512" i="2"/>
  <c r="D5513" i="2"/>
  <c r="D5514" i="2"/>
  <c r="D5515" i="2"/>
  <c r="D5516" i="2"/>
  <c r="D5517" i="2"/>
  <c r="D5518" i="2"/>
  <c r="D5519" i="2"/>
  <c r="D5491" i="2"/>
  <c r="D5492" i="2"/>
  <c r="D5493" i="2"/>
  <c r="D5494" i="2"/>
  <c r="D5495" i="2"/>
  <c r="D5496" i="2"/>
  <c r="D5497" i="2"/>
  <c r="D5498" i="2"/>
  <c r="D5499" i="2"/>
  <c r="D5500" i="2"/>
  <c r="D5501" i="2"/>
  <c r="D5502" i="2"/>
  <c r="D5503" i="2"/>
  <c r="D5480" i="2"/>
  <c r="D5481" i="2"/>
  <c r="D5482" i="2"/>
  <c r="D5483" i="2"/>
  <c r="D5484" i="2"/>
  <c r="D5485" i="2"/>
  <c r="D5486" i="2"/>
  <c r="D5487" i="2"/>
  <c r="D5488" i="2"/>
  <c r="D5489" i="2"/>
  <c r="D5490" i="2"/>
  <c r="D5479" i="2"/>
  <c r="D5469" i="2"/>
  <c r="D5470" i="2"/>
  <c r="D5471" i="2"/>
  <c r="D5472" i="2"/>
  <c r="D5473" i="2"/>
  <c r="D5474" i="2"/>
  <c r="D5475" i="2"/>
  <c r="D5476" i="2"/>
  <c r="D5477" i="2"/>
  <c r="D5478" i="2"/>
  <c r="D5468" i="2"/>
  <c r="D5457" i="2"/>
  <c r="D5458" i="2"/>
  <c r="D5459" i="2"/>
  <c r="D5460" i="2"/>
  <c r="D5461" i="2"/>
  <c r="D5462" i="2"/>
  <c r="D5463" i="2"/>
  <c r="D5464" i="2"/>
  <c r="D5465" i="2"/>
  <c r="D5466" i="2"/>
  <c r="D5467" i="2"/>
  <c r="D5456" i="2"/>
  <c r="D5455" i="2"/>
  <c r="D5454" i="2"/>
  <c r="D5453" i="2"/>
  <c r="D5452" i="2"/>
  <c r="D5451" i="2"/>
  <c r="D5450" i="2"/>
  <c r="D5449" i="2"/>
  <c r="D5448" i="2"/>
  <c r="D5447" i="2"/>
  <c r="D5446" i="2"/>
  <c r="D5445" i="2"/>
  <c r="X4912" i="2"/>
  <c r="X4913" i="2"/>
  <c r="X4914" i="2"/>
  <c r="X4915" i="2"/>
  <c r="X4916" i="2"/>
  <c r="X4917" i="2"/>
  <c r="X4918" i="2"/>
  <c r="X4919" i="2"/>
  <c r="X4920" i="2"/>
  <c r="X4921" i="2"/>
  <c r="L4912" i="2"/>
  <c r="L4913" i="2"/>
  <c r="L4914" i="2"/>
  <c r="L4915" i="2"/>
  <c r="L4916" i="2"/>
  <c r="L4917" i="2"/>
  <c r="L4918" i="2"/>
  <c r="L4919" i="2"/>
  <c r="L4920" i="2"/>
  <c r="L4921" i="2"/>
  <c r="D4912" i="2"/>
  <c r="E4912" i="2"/>
  <c r="D4913" i="2"/>
  <c r="E4913" i="2"/>
  <c r="D4914" i="2"/>
  <c r="E4914" i="2"/>
  <c r="D4915" i="2"/>
  <c r="E4915" i="2"/>
  <c r="D4916" i="2"/>
  <c r="E4916" i="2"/>
  <c r="D4917" i="2"/>
  <c r="E4917" i="2"/>
  <c r="D4918" i="2"/>
  <c r="E4918" i="2"/>
  <c r="D4919" i="2"/>
  <c r="E4919" i="2"/>
  <c r="D4920" i="2"/>
  <c r="E4920" i="2"/>
  <c r="D4921" i="2"/>
  <c r="E4921" i="2"/>
  <c r="X4908" i="2"/>
  <c r="X4911" i="2"/>
  <c r="X4910" i="2"/>
  <c r="X4909" i="2"/>
  <c r="L4908" i="2"/>
  <c r="L4909" i="2"/>
  <c r="L4910" i="2"/>
  <c r="L4911" i="2"/>
  <c r="D4908" i="2"/>
  <c r="E4908" i="2"/>
  <c r="D4909" i="2"/>
  <c r="E4909" i="2"/>
  <c r="D4910" i="2"/>
  <c r="E4910" i="2"/>
  <c r="D4911" i="2"/>
  <c r="E4911" i="2"/>
  <c r="L4704" i="2"/>
  <c r="L4705" i="2"/>
  <c r="L4706" i="2"/>
  <c r="L4707" i="2"/>
  <c r="L4708" i="2"/>
  <c r="L4709" i="2"/>
  <c r="L4710" i="2"/>
  <c r="L4711" i="2"/>
  <c r="L4712" i="2"/>
  <c r="L4713" i="2"/>
  <c r="L4714" i="2"/>
  <c r="L4715" i="2"/>
  <c r="L4716" i="2"/>
  <c r="L4717" i="2"/>
  <c r="L4718" i="2"/>
  <c r="L4719" i="2"/>
  <c r="L4720" i="2"/>
  <c r="L4721" i="2"/>
  <c r="L4722" i="2"/>
  <c r="L4723" i="2"/>
  <c r="L4724" i="2"/>
  <c r="L4725" i="2"/>
  <c r="L4726" i="2"/>
  <c r="L4727" i="2"/>
  <c r="L4728" i="2"/>
  <c r="L4729" i="2"/>
  <c r="L4730" i="2"/>
  <c r="L4731" i="2"/>
  <c r="L4732" i="2"/>
  <c r="L4733" i="2"/>
  <c r="L4734" i="2"/>
  <c r="L4735" i="2"/>
  <c r="L4736" i="2"/>
  <c r="L4737" i="2"/>
  <c r="L4738" i="2"/>
  <c r="L4739" i="2"/>
  <c r="L4740" i="2"/>
  <c r="L4741" i="2"/>
  <c r="L4742" i="2"/>
  <c r="L4743" i="2"/>
  <c r="L4744" i="2"/>
  <c r="L4745" i="2"/>
  <c r="L4746" i="2"/>
  <c r="L4747" i="2"/>
  <c r="L4748" i="2"/>
  <c r="L4749" i="2"/>
  <c r="L4750" i="2"/>
  <c r="L4751" i="2"/>
  <c r="L4752" i="2"/>
  <c r="L4753" i="2"/>
  <c r="L4754" i="2"/>
  <c r="L4755" i="2"/>
  <c r="L4756" i="2"/>
  <c r="L4757" i="2"/>
  <c r="L4758" i="2"/>
  <c r="L4759" i="2"/>
  <c r="L4760" i="2"/>
  <c r="L4761" i="2"/>
  <c r="L4762" i="2"/>
  <c r="L4763" i="2"/>
  <c r="L4764" i="2"/>
  <c r="L4765" i="2"/>
  <c r="L4766" i="2"/>
  <c r="L4767" i="2"/>
  <c r="L4768" i="2"/>
  <c r="L4769" i="2"/>
  <c r="L4770" i="2"/>
  <c r="L4771" i="2"/>
  <c r="L4772" i="2"/>
  <c r="L4773" i="2"/>
  <c r="L4774" i="2"/>
  <c r="L4775" i="2"/>
  <c r="L4776" i="2"/>
  <c r="L4777" i="2"/>
  <c r="L4778" i="2"/>
  <c r="L4779" i="2"/>
  <c r="L4780" i="2"/>
  <c r="L4781" i="2"/>
  <c r="L4782" i="2"/>
  <c r="L4783" i="2"/>
  <c r="L4784" i="2"/>
  <c r="L4785" i="2"/>
  <c r="L4786" i="2"/>
  <c r="L4787" i="2"/>
  <c r="L4788" i="2"/>
  <c r="L4789" i="2"/>
  <c r="L4790" i="2"/>
  <c r="L4791" i="2"/>
  <c r="L4792" i="2"/>
  <c r="L4793" i="2"/>
  <c r="L4794" i="2"/>
  <c r="L4795" i="2"/>
  <c r="L4796" i="2"/>
  <c r="L4797" i="2"/>
  <c r="L4798" i="2"/>
  <c r="L4799" i="2"/>
  <c r="L4800" i="2"/>
  <c r="L4801" i="2"/>
  <c r="L4802" i="2"/>
  <c r="L4803" i="2"/>
  <c r="L4804" i="2"/>
  <c r="L4805" i="2"/>
  <c r="L4806" i="2"/>
  <c r="L4807" i="2"/>
  <c r="L4808" i="2"/>
  <c r="L4809" i="2"/>
  <c r="L4810" i="2"/>
  <c r="L4811" i="2"/>
  <c r="L4812" i="2"/>
  <c r="L4813" i="2"/>
  <c r="L4814" i="2"/>
  <c r="L4815" i="2"/>
  <c r="L4816" i="2"/>
  <c r="L4817" i="2"/>
  <c r="L4818" i="2"/>
  <c r="L4819" i="2"/>
  <c r="L4820" i="2"/>
  <c r="L4821" i="2"/>
  <c r="L4822" i="2"/>
  <c r="L4823" i="2"/>
  <c r="L4824" i="2"/>
  <c r="L4825" i="2"/>
  <c r="L4826" i="2"/>
  <c r="L4827" i="2"/>
  <c r="L4828" i="2"/>
  <c r="L4829" i="2"/>
  <c r="L4830" i="2"/>
  <c r="L4831" i="2"/>
  <c r="L4832" i="2"/>
  <c r="L4833" i="2"/>
  <c r="L4834" i="2"/>
  <c r="L4835" i="2"/>
  <c r="L4836" i="2"/>
  <c r="L4837" i="2"/>
  <c r="L4838" i="2"/>
  <c r="L4839" i="2"/>
  <c r="L4840" i="2"/>
  <c r="L4841" i="2"/>
  <c r="L4842" i="2"/>
  <c r="L4843" i="2"/>
  <c r="L4844" i="2"/>
  <c r="L4845" i="2"/>
  <c r="L4846" i="2"/>
  <c r="L4847" i="2"/>
  <c r="L4848" i="2"/>
  <c r="L4849" i="2"/>
  <c r="L4850" i="2"/>
  <c r="L4851" i="2"/>
  <c r="L4852" i="2"/>
  <c r="L4853" i="2"/>
  <c r="L4854" i="2"/>
  <c r="L4855" i="2"/>
  <c r="L4856" i="2"/>
  <c r="L4857" i="2"/>
  <c r="L4858" i="2"/>
  <c r="L4859" i="2"/>
  <c r="L4860" i="2"/>
  <c r="L4861" i="2"/>
  <c r="L4862" i="2"/>
  <c r="L4863" i="2"/>
  <c r="L4864" i="2"/>
  <c r="L4865" i="2"/>
  <c r="L4866" i="2"/>
  <c r="L4867" i="2"/>
  <c r="L4868" i="2"/>
  <c r="L4869" i="2"/>
  <c r="L4870" i="2"/>
  <c r="L4871" i="2"/>
  <c r="L4872" i="2"/>
  <c r="L4873" i="2"/>
  <c r="L4874" i="2"/>
  <c r="L4875" i="2"/>
  <c r="L4876" i="2"/>
  <c r="L4877" i="2"/>
  <c r="L4878" i="2"/>
  <c r="L4880" i="2"/>
  <c r="L4881" i="2"/>
  <c r="L4882" i="2"/>
  <c r="L4883" i="2"/>
  <c r="L4884" i="2"/>
  <c r="L4885" i="2"/>
  <c r="L4886" i="2"/>
  <c r="L4887" i="2"/>
  <c r="L4888" i="2"/>
  <c r="L4889" i="2"/>
  <c r="L4890" i="2"/>
  <c r="L4891" i="2"/>
  <c r="L4892" i="2"/>
  <c r="L4893" i="2"/>
  <c r="L4894" i="2"/>
  <c r="L4895" i="2"/>
  <c r="L4896" i="2"/>
  <c r="L4897" i="2"/>
  <c r="L4898" i="2"/>
  <c r="L4899" i="2"/>
  <c r="L4900" i="2"/>
  <c r="L4901" i="2"/>
  <c r="L4902" i="2"/>
  <c r="L4903" i="2"/>
  <c r="L4904" i="2"/>
  <c r="L4905" i="2"/>
  <c r="L4906" i="2"/>
  <c r="L4907" i="2"/>
  <c r="E4704" i="2"/>
  <c r="E4705" i="2"/>
  <c r="E4706" i="2"/>
  <c r="E4707" i="2"/>
  <c r="E4708" i="2"/>
  <c r="E4709" i="2"/>
  <c r="E4710" i="2"/>
  <c r="E4711" i="2"/>
  <c r="E4712" i="2"/>
  <c r="E4713" i="2"/>
  <c r="E4714" i="2"/>
  <c r="E4715" i="2"/>
  <c r="E4716" i="2"/>
  <c r="E4717" i="2"/>
  <c r="E4718" i="2"/>
  <c r="E4719" i="2"/>
  <c r="E4720" i="2"/>
  <c r="E4721" i="2"/>
  <c r="E4722" i="2"/>
  <c r="E4723" i="2"/>
  <c r="E4724" i="2"/>
  <c r="E4725" i="2"/>
  <c r="E4726" i="2"/>
  <c r="E4727" i="2"/>
  <c r="E4728" i="2"/>
  <c r="E4729" i="2"/>
  <c r="E4730" i="2"/>
  <c r="E4731" i="2"/>
  <c r="E4732" i="2"/>
  <c r="E4733" i="2"/>
  <c r="E4734" i="2"/>
  <c r="E4735" i="2"/>
  <c r="E4736" i="2"/>
  <c r="E4737" i="2"/>
  <c r="E4738" i="2"/>
  <c r="E4739" i="2"/>
  <c r="E4740" i="2"/>
  <c r="E4741" i="2"/>
  <c r="E4742" i="2"/>
  <c r="E4743" i="2"/>
  <c r="E4744" i="2"/>
  <c r="E4745" i="2"/>
  <c r="E4746" i="2"/>
  <c r="E4747" i="2"/>
  <c r="E4748" i="2"/>
  <c r="E4749" i="2"/>
  <c r="E4750" i="2"/>
  <c r="E4751" i="2"/>
  <c r="E4752" i="2"/>
  <c r="E4753" i="2"/>
  <c r="E4754" i="2"/>
  <c r="E4755" i="2"/>
  <c r="E4756" i="2"/>
  <c r="E4757" i="2"/>
  <c r="E4758" i="2"/>
  <c r="E4759" i="2"/>
  <c r="E4760" i="2"/>
  <c r="E4761" i="2"/>
  <c r="E4762" i="2"/>
  <c r="E4763" i="2"/>
  <c r="E4764" i="2"/>
  <c r="E4765" i="2"/>
  <c r="E4766" i="2"/>
  <c r="E4767" i="2"/>
  <c r="E4768" i="2"/>
  <c r="E4769" i="2"/>
  <c r="E4770" i="2"/>
  <c r="E4771" i="2"/>
  <c r="E4772" i="2"/>
  <c r="E4773" i="2"/>
  <c r="E4774" i="2"/>
  <c r="E4775" i="2"/>
  <c r="E4776" i="2"/>
  <c r="E4777" i="2"/>
  <c r="E4778" i="2"/>
  <c r="E4779" i="2"/>
  <c r="E4780" i="2"/>
  <c r="E4781" i="2"/>
  <c r="E4782" i="2"/>
  <c r="E4783" i="2"/>
  <c r="E4784" i="2"/>
  <c r="E4785" i="2"/>
  <c r="E4786" i="2"/>
  <c r="E4787" i="2"/>
  <c r="E4788" i="2"/>
  <c r="E4789" i="2"/>
  <c r="E4790" i="2"/>
  <c r="E4791" i="2"/>
  <c r="E4792" i="2"/>
  <c r="E4793" i="2"/>
  <c r="E4794" i="2"/>
  <c r="E4795" i="2"/>
  <c r="E4796" i="2"/>
  <c r="E4797" i="2"/>
  <c r="E4798" i="2"/>
  <c r="E4799" i="2"/>
  <c r="E4800" i="2"/>
  <c r="E4801" i="2"/>
  <c r="E4802" i="2"/>
  <c r="E4803" i="2"/>
  <c r="E4804" i="2"/>
  <c r="E4805" i="2"/>
  <c r="E4806" i="2"/>
  <c r="E4807" i="2"/>
  <c r="E4808" i="2"/>
  <c r="E4809" i="2"/>
  <c r="E4810" i="2"/>
  <c r="E4811" i="2"/>
  <c r="E4812" i="2"/>
  <c r="E4813" i="2"/>
  <c r="E4814" i="2"/>
  <c r="E4815" i="2"/>
  <c r="E4816" i="2"/>
  <c r="E4817" i="2"/>
  <c r="E4818" i="2"/>
  <c r="E4819" i="2"/>
  <c r="E4820" i="2"/>
  <c r="E4821" i="2"/>
  <c r="E4822" i="2"/>
  <c r="E4823" i="2"/>
  <c r="E4824" i="2"/>
  <c r="E4825" i="2"/>
  <c r="E4826" i="2"/>
  <c r="E4827" i="2"/>
  <c r="E4828" i="2"/>
  <c r="E4829" i="2"/>
  <c r="E4830" i="2"/>
  <c r="E4831" i="2"/>
  <c r="E4832" i="2"/>
  <c r="E4833" i="2"/>
  <c r="E4834" i="2"/>
  <c r="E4835" i="2"/>
  <c r="E4836" i="2"/>
  <c r="E4837" i="2"/>
  <c r="E4838" i="2"/>
  <c r="E4839" i="2"/>
  <c r="E4840" i="2"/>
  <c r="E4841" i="2"/>
  <c r="E4842" i="2"/>
  <c r="E4843" i="2"/>
  <c r="E4844" i="2"/>
  <c r="E4845" i="2"/>
  <c r="E4846" i="2"/>
  <c r="E4847" i="2"/>
  <c r="E4848" i="2"/>
  <c r="E4849" i="2"/>
  <c r="E4850" i="2"/>
  <c r="E4851" i="2"/>
  <c r="E4852" i="2"/>
  <c r="E4853" i="2"/>
  <c r="E4854" i="2"/>
  <c r="E4855" i="2"/>
  <c r="E4856" i="2"/>
  <c r="E4857" i="2"/>
  <c r="E4858" i="2"/>
  <c r="E4859" i="2"/>
  <c r="E4860" i="2"/>
  <c r="E4861" i="2"/>
  <c r="E4862" i="2"/>
  <c r="E4863" i="2"/>
  <c r="E4864" i="2"/>
  <c r="E4865" i="2"/>
  <c r="E4866" i="2"/>
  <c r="E4867" i="2"/>
  <c r="E4868" i="2"/>
  <c r="E4869" i="2"/>
  <c r="E4870" i="2"/>
  <c r="E4871" i="2"/>
  <c r="E4872" i="2"/>
  <c r="E4873" i="2"/>
  <c r="E4874" i="2"/>
  <c r="E4875" i="2"/>
  <c r="E4876" i="2"/>
  <c r="E4877" i="2"/>
  <c r="E4878" i="2"/>
  <c r="E4879" i="2"/>
  <c r="E4880" i="2"/>
  <c r="E4881" i="2"/>
  <c r="E4882" i="2"/>
  <c r="E4883" i="2"/>
  <c r="E4884" i="2"/>
  <c r="E4885" i="2"/>
  <c r="E4886" i="2"/>
  <c r="E4887" i="2"/>
  <c r="E4888" i="2"/>
  <c r="E4889" i="2"/>
  <c r="E4890" i="2"/>
  <c r="E4891" i="2"/>
  <c r="E4892" i="2"/>
  <c r="E4893" i="2"/>
  <c r="E4894" i="2"/>
  <c r="E4895" i="2"/>
  <c r="E4896" i="2"/>
  <c r="E4897" i="2"/>
  <c r="E4898" i="2"/>
  <c r="E4899" i="2"/>
  <c r="E4900" i="2"/>
  <c r="E4901" i="2"/>
  <c r="E4902" i="2"/>
  <c r="E4903" i="2"/>
  <c r="E4904" i="2"/>
  <c r="E4905" i="2"/>
  <c r="E4906" i="2"/>
  <c r="E4907" i="2"/>
  <c r="D4704" i="2"/>
  <c r="D4705" i="2"/>
  <c r="D4706" i="2"/>
  <c r="D4707" i="2"/>
  <c r="D4708" i="2"/>
  <c r="D4709" i="2"/>
  <c r="D4710" i="2"/>
  <c r="D4711" i="2"/>
  <c r="D4712" i="2"/>
  <c r="D4713" i="2"/>
  <c r="D4714" i="2"/>
  <c r="D4715" i="2"/>
  <c r="D4716" i="2"/>
  <c r="D4717" i="2"/>
  <c r="D4718" i="2"/>
  <c r="D4719" i="2"/>
  <c r="D4720" i="2"/>
  <c r="D4721" i="2"/>
  <c r="D4722" i="2"/>
  <c r="D4723" i="2"/>
  <c r="D4724" i="2"/>
  <c r="D4725" i="2"/>
  <c r="D4726" i="2"/>
  <c r="D4727" i="2"/>
  <c r="D4728" i="2"/>
  <c r="D4729" i="2"/>
  <c r="D4730" i="2"/>
  <c r="D4731" i="2"/>
  <c r="D4732" i="2"/>
  <c r="D4733" i="2"/>
  <c r="D4734" i="2"/>
  <c r="D4735" i="2"/>
  <c r="D4736" i="2"/>
  <c r="D4737" i="2"/>
  <c r="D4738" i="2"/>
  <c r="D4739" i="2"/>
  <c r="D4740" i="2"/>
  <c r="D4741" i="2"/>
  <c r="D4742" i="2"/>
  <c r="D4743" i="2"/>
  <c r="D4744" i="2"/>
  <c r="D4745" i="2"/>
  <c r="D4746" i="2"/>
  <c r="D4747" i="2"/>
  <c r="D4748" i="2"/>
  <c r="D4749" i="2"/>
  <c r="D4750" i="2"/>
  <c r="D4751" i="2"/>
  <c r="D4752" i="2"/>
  <c r="D4753" i="2"/>
  <c r="D4754" i="2"/>
  <c r="D4755" i="2"/>
  <c r="D4756" i="2"/>
  <c r="D4757" i="2"/>
  <c r="D4758" i="2"/>
  <c r="D4759" i="2"/>
  <c r="D4760" i="2"/>
  <c r="D4761" i="2"/>
  <c r="D4762" i="2"/>
  <c r="D4763" i="2"/>
  <c r="D4764" i="2"/>
  <c r="D4765" i="2"/>
  <c r="D4766" i="2"/>
  <c r="D4767" i="2"/>
  <c r="D4768" i="2"/>
  <c r="D4769" i="2"/>
  <c r="D4770" i="2"/>
  <c r="D4771" i="2"/>
  <c r="D4772" i="2"/>
  <c r="D4773" i="2"/>
  <c r="D4774" i="2"/>
  <c r="D4775" i="2"/>
  <c r="D4776" i="2"/>
  <c r="D4777" i="2"/>
  <c r="D4778" i="2"/>
  <c r="D4779" i="2"/>
  <c r="D4780" i="2"/>
  <c r="D4781" i="2"/>
  <c r="D4782" i="2"/>
  <c r="D4783" i="2"/>
  <c r="D4784" i="2"/>
  <c r="D4785" i="2"/>
  <c r="D4786" i="2"/>
  <c r="D4787" i="2"/>
  <c r="D4788" i="2"/>
  <c r="D4789" i="2"/>
  <c r="D4790" i="2"/>
  <c r="D4791" i="2"/>
  <c r="D4792" i="2"/>
  <c r="D4793" i="2"/>
  <c r="D4794" i="2"/>
  <c r="D4795" i="2"/>
  <c r="D4796" i="2"/>
  <c r="D4797" i="2"/>
  <c r="D4798" i="2"/>
  <c r="D4799" i="2"/>
  <c r="D4800" i="2"/>
  <c r="D4801" i="2"/>
  <c r="D4802" i="2"/>
  <c r="D4803" i="2"/>
  <c r="D4804" i="2"/>
  <c r="D4805" i="2"/>
  <c r="D4806" i="2"/>
  <c r="D4807" i="2"/>
  <c r="D4808" i="2"/>
  <c r="D4809" i="2"/>
  <c r="D4810" i="2"/>
  <c r="D4811" i="2"/>
  <c r="D4812" i="2"/>
  <c r="D4813" i="2"/>
  <c r="D4814" i="2"/>
  <c r="D4815" i="2"/>
  <c r="D4816" i="2"/>
  <c r="D4817" i="2"/>
  <c r="D4818" i="2"/>
  <c r="D4819" i="2"/>
  <c r="D4820" i="2"/>
  <c r="D4821" i="2"/>
  <c r="D4822" i="2"/>
  <c r="D4823" i="2"/>
  <c r="D4824" i="2"/>
  <c r="D4825" i="2"/>
  <c r="D4826" i="2"/>
  <c r="D4827" i="2"/>
  <c r="D4828" i="2"/>
  <c r="D4829" i="2"/>
  <c r="D4830" i="2"/>
  <c r="D4831" i="2"/>
  <c r="D4832" i="2"/>
  <c r="D4833" i="2"/>
  <c r="D4834" i="2"/>
  <c r="D4835" i="2"/>
  <c r="D4836" i="2"/>
  <c r="D4837" i="2"/>
  <c r="D4838" i="2"/>
  <c r="D4839" i="2"/>
  <c r="D4840" i="2"/>
  <c r="D4841" i="2"/>
  <c r="D4842" i="2"/>
  <c r="D4843" i="2"/>
  <c r="D4844" i="2"/>
  <c r="D4845" i="2"/>
  <c r="D4846" i="2"/>
  <c r="D4847" i="2"/>
  <c r="D4848" i="2"/>
  <c r="D4849" i="2"/>
  <c r="D4850" i="2"/>
  <c r="D4851" i="2"/>
  <c r="D4852" i="2"/>
  <c r="D4853" i="2"/>
  <c r="D4854" i="2"/>
  <c r="D4855" i="2"/>
  <c r="D4856" i="2"/>
  <c r="D4857" i="2"/>
  <c r="D4858" i="2"/>
  <c r="D4859" i="2"/>
  <c r="D4860" i="2"/>
  <c r="D4861" i="2"/>
  <c r="D4862" i="2"/>
  <c r="D4863" i="2"/>
  <c r="D4864" i="2"/>
  <c r="D4865" i="2"/>
  <c r="D4866" i="2"/>
  <c r="D4867" i="2"/>
  <c r="D4868" i="2"/>
  <c r="D4869" i="2"/>
  <c r="D4870" i="2"/>
  <c r="D4871" i="2"/>
  <c r="D4872" i="2"/>
  <c r="D4873" i="2"/>
  <c r="D4874" i="2"/>
  <c r="D4875" i="2"/>
  <c r="D4876" i="2"/>
  <c r="D4877" i="2"/>
  <c r="D4878" i="2"/>
  <c r="D4880" i="2"/>
  <c r="D4881" i="2"/>
  <c r="D4882" i="2"/>
  <c r="D4883" i="2"/>
  <c r="D4884" i="2"/>
  <c r="D4885" i="2"/>
  <c r="D4886" i="2"/>
  <c r="D4887" i="2"/>
  <c r="D4888" i="2"/>
  <c r="D4889" i="2"/>
  <c r="D4890" i="2"/>
  <c r="D4891" i="2"/>
  <c r="D4892" i="2"/>
  <c r="D4893" i="2"/>
  <c r="D4894" i="2"/>
  <c r="D4895" i="2"/>
  <c r="D4896" i="2"/>
  <c r="D4897" i="2"/>
  <c r="D4898" i="2"/>
  <c r="D4899" i="2"/>
  <c r="D4900" i="2"/>
  <c r="D4901" i="2"/>
  <c r="D4902" i="2"/>
  <c r="D4903" i="2"/>
  <c r="D4904" i="2"/>
  <c r="D4905" i="2"/>
  <c r="D4906" i="2"/>
  <c r="D4907" i="2"/>
  <c r="L4655" i="2"/>
  <c r="L4656" i="2"/>
  <c r="L4657" i="2"/>
  <c r="L4658" i="2"/>
  <c r="L4659" i="2"/>
  <c r="L4660" i="2"/>
  <c r="L4661" i="2"/>
  <c r="L4662" i="2"/>
  <c r="L4663" i="2"/>
  <c r="L4664" i="2"/>
  <c r="L4665" i="2"/>
  <c r="L4666" i="2"/>
  <c r="L4667" i="2"/>
  <c r="L4668" i="2"/>
  <c r="L4669" i="2"/>
  <c r="L4670" i="2"/>
  <c r="L4671" i="2"/>
  <c r="L4672" i="2"/>
  <c r="L4673" i="2"/>
  <c r="L4674" i="2"/>
  <c r="L4675" i="2"/>
  <c r="L4676" i="2"/>
  <c r="L4677" i="2"/>
  <c r="L4678" i="2"/>
  <c r="L4679" i="2"/>
  <c r="L4680" i="2"/>
  <c r="L4681" i="2"/>
  <c r="L4682" i="2"/>
  <c r="L4683" i="2"/>
  <c r="L4684" i="2"/>
  <c r="L4685" i="2"/>
  <c r="L4686" i="2"/>
  <c r="L4687" i="2"/>
  <c r="L4688" i="2"/>
  <c r="L4689" i="2"/>
  <c r="L4690" i="2"/>
  <c r="L4691" i="2"/>
  <c r="L4692" i="2"/>
  <c r="L4693" i="2"/>
  <c r="L4694" i="2"/>
  <c r="L4695" i="2"/>
  <c r="L4696" i="2"/>
  <c r="L4697" i="2"/>
  <c r="L4698" i="2"/>
  <c r="L4699" i="2"/>
  <c r="L4700" i="2"/>
  <c r="L4701" i="2"/>
  <c r="L4702" i="2"/>
  <c r="L4703" i="2"/>
  <c r="E4655" i="2"/>
  <c r="E4656" i="2"/>
  <c r="E4657" i="2"/>
  <c r="E4658" i="2"/>
  <c r="E4659" i="2"/>
  <c r="E4660" i="2"/>
  <c r="E4661" i="2"/>
  <c r="E4662" i="2"/>
  <c r="E4663" i="2"/>
  <c r="E4664" i="2"/>
  <c r="E4665" i="2"/>
  <c r="E4666" i="2"/>
  <c r="E4667" i="2"/>
  <c r="E4668" i="2"/>
  <c r="E4669" i="2"/>
  <c r="E4670" i="2"/>
  <c r="E4671" i="2"/>
  <c r="E4672" i="2"/>
  <c r="E4673" i="2"/>
  <c r="E4674" i="2"/>
  <c r="E4675" i="2"/>
  <c r="E4676" i="2"/>
  <c r="E4677" i="2"/>
  <c r="E4678" i="2"/>
  <c r="E4679" i="2"/>
  <c r="E4680" i="2"/>
  <c r="E4681" i="2"/>
  <c r="E4682" i="2"/>
  <c r="E4683" i="2"/>
  <c r="E4684" i="2"/>
  <c r="E4685" i="2"/>
  <c r="E4686" i="2"/>
  <c r="E4687" i="2"/>
  <c r="E4688" i="2"/>
  <c r="E4689" i="2"/>
  <c r="E4690" i="2"/>
  <c r="E4691" i="2"/>
  <c r="E4692" i="2"/>
  <c r="E4693" i="2"/>
  <c r="E4694" i="2"/>
  <c r="E4695" i="2"/>
  <c r="E4696" i="2"/>
  <c r="E4697" i="2"/>
  <c r="E4698" i="2"/>
  <c r="E4699" i="2"/>
  <c r="E4700" i="2"/>
  <c r="E4701" i="2"/>
  <c r="E4702" i="2"/>
  <c r="E4703" i="2"/>
  <c r="D4655" i="2"/>
  <c r="D4656" i="2"/>
  <c r="D4657" i="2"/>
  <c r="D4658" i="2"/>
  <c r="D4659" i="2"/>
  <c r="D4660" i="2"/>
  <c r="D4661" i="2"/>
  <c r="D4662" i="2"/>
  <c r="D4663" i="2"/>
  <c r="D4664" i="2"/>
  <c r="D4665" i="2"/>
  <c r="D4666" i="2"/>
  <c r="D4667" i="2"/>
  <c r="D4668" i="2"/>
  <c r="D4669" i="2"/>
  <c r="D4670" i="2"/>
  <c r="D4671" i="2"/>
  <c r="D4672" i="2"/>
  <c r="D4673" i="2"/>
  <c r="D4674" i="2"/>
  <c r="D4675" i="2"/>
  <c r="D4676" i="2"/>
  <c r="D4677" i="2"/>
  <c r="D4678" i="2"/>
  <c r="D4679" i="2"/>
  <c r="D4680" i="2"/>
  <c r="D4681" i="2"/>
  <c r="D4682" i="2"/>
  <c r="D4683" i="2"/>
  <c r="D4684" i="2"/>
  <c r="D4685" i="2"/>
  <c r="D4686" i="2"/>
  <c r="D4687" i="2"/>
  <c r="D4688" i="2"/>
  <c r="D4689" i="2"/>
  <c r="D4690" i="2"/>
  <c r="D4691" i="2"/>
  <c r="D4692" i="2"/>
  <c r="D4693" i="2"/>
  <c r="D4694" i="2"/>
  <c r="D4695" i="2"/>
  <c r="D4696" i="2"/>
  <c r="D4697" i="2"/>
  <c r="D4698" i="2"/>
  <c r="D4699" i="2"/>
  <c r="D4700" i="2"/>
  <c r="D4701" i="2"/>
  <c r="D4702" i="2"/>
  <c r="D4703" i="2"/>
  <c r="L4606" i="2" l="1"/>
  <c r="L4607" i="2"/>
  <c r="L4608" i="2"/>
  <c r="L4609" i="2"/>
  <c r="L4610" i="2"/>
  <c r="L4611" i="2"/>
  <c r="L4612" i="2"/>
  <c r="L4613" i="2"/>
  <c r="L4614" i="2"/>
  <c r="L4615" i="2"/>
  <c r="L4616" i="2"/>
  <c r="L4617" i="2"/>
  <c r="L4618" i="2"/>
  <c r="L4619" i="2"/>
  <c r="L4620" i="2"/>
  <c r="L4621" i="2"/>
  <c r="L4622" i="2"/>
  <c r="L4623" i="2"/>
  <c r="L4624" i="2"/>
  <c r="L4625" i="2"/>
  <c r="L4626" i="2"/>
  <c r="L4627" i="2"/>
  <c r="L4628" i="2"/>
  <c r="L4629" i="2"/>
  <c r="L4630" i="2"/>
  <c r="L4631" i="2"/>
  <c r="L4632" i="2"/>
  <c r="L4633" i="2"/>
  <c r="L4634" i="2"/>
  <c r="L4635" i="2"/>
  <c r="L4636" i="2"/>
  <c r="L4637" i="2"/>
  <c r="L4638" i="2"/>
  <c r="L4639" i="2"/>
  <c r="L4640" i="2"/>
  <c r="L4641" i="2"/>
  <c r="L4642" i="2"/>
  <c r="L4643" i="2"/>
  <c r="L4644" i="2"/>
  <c r="L4645" i="2"/>
  <c r="L4646" i="2"/>
  <c r="L4647" i="2"/>
  <c r="L4648" i="2"/>
  <c r="L4649" i="2"/>
  <c r="L4650" i="2"/>
  <c r="L4651" i="2"/>
  <c r="L4652" i="2"/>
  <c r="L4653" i="2"/>
  <c r="L4654" i="2"/>
  <c r="D4606" i="2"/>
  <c r="E4606" i="2"/>
  <c r="D4607" i="2"/>
  <c r="E4607" i="2"/>
  <c r="D4608" i="2"/>
  <c r="E4608" i="2"/>
  <c r="D4609" i="2"/>
  <c r="E4609" i="2"/>
  <c r="D4610" i="2"/>
  <c r="E4610" i="2"/>
  <c r="D4611" i="2"/>
  <c r="E4611" i="2"/>
  <c r="D4612" i="2"/>
  <c r="E4612" i="2"/>
  <c r="D4613" i="2"/>
  <c r="E4613" i="2"/>
  <c r="D4614" i="2"/>
  <c r="E4614" i="2"/>
  <c r="D4615" i="2"/>
  <c r="E4615" i="2"/>
  <c r="D4616" i="2"/>
  <c r="E4616" i="2"/>
  <c r="D4617" i="2"/>
  <c r="E4617" i="2"/>
  <c r="D4618" i="2"/>
  <c r="E4618" i="2"/>
  <c r="D4619" i="2"/>
  <c r="E4619" i="2"/>
  <c r="D4620" i="2"/>
  <c r="E4620" i="2"/>
  <c r="D4621" i="2"/>
  <c r="E4621" i="2"/>
  <c r="D4622" i="2"/>
  <c r="E4622" i="2"/>
  <c r="D4623" i="2"/>
  <c r="E4623" i="2"/>
  <c r="D4624" i="2"/>
  <c r="E4624" i="2"/>
  <c r="D4625" i="2"/>
  <c r="E4625" i="2"/>
  <c r="D4626" i="2"/>
  <c r="E4626" i="2"/>
  <c r="D4627" i="2"/>
  <c r="E4627" i="2"/>
  <c r="D4628" i="2"/>
  <c r="E4628" i="2"/>
  <c r="D4629" i="2"/>
  <c r="E4629" i="2"/>
  <c r="D4630" i="2"/>
  <c r="E4630" i="2"/>
  <c r="D4631" i="2"/>
  <c r="E4631" i="2"/>
  <c r="D4632" i="2"/>
  <c r="E4632" i="2"/>
  <c r="D4633" i="2"/>
  <c r="E4633" i="2"/>
  <c r="D4634" i="2"/>
  <c r="E4634" i="2"/>
  <c r="D4635" i="2"/>
  <c r="E4635" i="2"/>
  <c r="D4636" i="2"/>
  <c r="E4636" i="2"/>
  <c r="D4637" i="2"/>
  <c r="E4637" i="2"/>
  <c r="D4638" i="2"/>
  <c r="E4638" i="2"/>
  <c r="D4639" i="2"/>
  <c r="E4639" i="2"/>
  <c r="D4640" i="2"/>
  <c r="E4640" i="2"/>
  <c r="D4641" i="2"/>
  <c r="E4641" i="2"/>
  <c r="D4642" i="2"/>
  <c r="E4642" i="2"/>
  <c r="D4643" i="2"/>
  <c r="E4643" i="2"/>
  <c r="D4644" i="2"/>
  <c r="E4644" i="2"/>
  <c r="D4645" i="2"/>
  <c r="E4645" i="2"/>
  <c r="D4646" i="2"/>
  <c r="E4646" i="2"/>
  <c r="D4647" i="2"/>
  <c r="E4647" i="2"/>
  <c r="D4648" i="2"/>
  <c r="E4648" i="2"/>
  <c r="D4649" i="2"/>
  <c r="E4649" i="2"/>
  <c r="D4650" i="2"/>
  <c r="E4650" i="2"/>
  <c r="D4651" i="2"/>
  <c r="E4651" i="2"/>
  <c r="D4652" i="2"/>
  <c r="E4652" i="2"/>
  <c r="D4653" i="2"/>
  <c r="E4653" i="2"/>
  <c r="D4654" i="2"/>
  <c r="E4654" i="2"/>
  <c r="L4582" i="2"/>
  <c r="L4583" i="2"/>
  <c r="L4584" i="2"/>
  <c r="L4585" i="2"/>
  <c r="L4586" i="2"/>
  <c r="L4587" i="2"/>
  <c r="L4588" i="2"/>
  <c r="L4589" i="2"/>
  <c r="L4590" i="2"/>
  <c r="L4591" i="2"/>
  <c r="L4592" i="2"/>
  <c r="L4593" i="2"/>
  <c r="L4594" i="2"/>
  <c r="L4595" i="2"/>
  <c r="L4596" i="2"/>
  <c r="L4597" i="2"/>
  <c r="L4598" i="2"/>
  <c r="L4599" i="2"/>
  <c r="L4600" i="2"/>
  <c r="L4601" i="2"/>
  <c r="L4602" i="2"/>
  <c r="L4603" i="2"/>
  <c r="L4604" i="2"/>
  <c r="L4605" i="2"/>
  <c r="D4582" i="2"/>
  <c r="E4582" i="2"/>
  <c r="D4583" i="2"/>
  <c r="E4583" i="2"/>
  <c r="D4584" i="2"/>
  <c r="E4584" i="2"/>
  <c r="D4585" i="2"/>
  <c r="E4585" i="2"/>
  <c r="D4586" i="2"/>
  <c r="E4586" i="2"/>
  <c r="D4587" i="2"/>
  <c r="E4587" i="2"/>
  <c r="D4588" i="2"/>
  <c r="E4588" i="2"/>
  <c r="D4589" i="2"/>
  <c r="E4589" i="2"/>
  <c r="D4590" i="2"/>
  <c r="E4590" i="2"/>
  <c r="D4591" i="2"/>
  <c r="E4591" i="2"/>
  <c r="D4592" i="2"/>
  <c r="E4592" i="2"/>
  <c r="D4593" i="2"/>
  <c r="E4593" i="2"/>
  <c r="D4594" i="2"/>
  <c r="E4594" i="2"/>
  <c r="D4595" i="2"/>
  <c r="E4595" i="2"/>
  <c r="D4596" i="2"/>
  <c r="E4596" i="2"/>
  <c r="D4597" i="2"/>
  <c r="E4597" i="2"/>
  <c r="D4598" i="2"/>
  <c r="E4598" i="2"/>
  <c r="D4599" i="2"/>
  <c r="E4599" i="2"/>
  <c r="D4600" i="2"/>
  <c r="E4600" i="2"/>
  <c r="D4601" i="2"/>
  <c r="E4601" i="2"/>
  <c r="D4602" i="2"/>
  <c r="E4602" i="2"/>
  <c r="D4603" i="2"/>
  <c r="E4603" i="2"/>
  <c r="D4604" i="2"/>
  <c r="E4604" i="2"/>
  <c r="D4605" i="2"/>
  <c r="E4605" i="2"/>
  <c r="L4402" i="2"/>
  <c r="L4403" i="2"/>
  <c r="L4404" i="2"/>
  <c r="L4405" i="2"/>
  <c r="L4406" i="2"/>
  <c r="L4407" i="2"/>
  <c r="L4408" i="2"/>
  <c r="L4409" i="2"/>
  <c r="L4410" i="2"/>
  <c r="L4411" i="2"/>
  <c r="L4412" i="2"/>
  <c r="L4413" i="2"/>
  <c r="L4414" i="2"/>
  <c r="L4415" i="2"/>
  <c r="L4416" i="2"/>
  <c r="L4417" i="2"/>
  <c r="L4418" i="2"/>
  <c r="L4419" i="2"/>
  <c r="L4420" i="2"/>
  <c r="L4421" i="2"/>
  <c r="L4422" i="2"/>
  <c r="L4423" i="2"/>
  <c r="L4424" i="2"/>
  <c r="L4425" i="2"/>
  <c r="L4426" i="2"/>
  <c r="L4427" i="2"/>
  <c r="L4428" i="2"/>
  <c r="L4429" i="2"/>
  <c r="L4430" i="2"/>
  <c r="L4431" i="2"/>
  <c r="L4432" i="2"/>
  <c r="L4433" i="2"/>
  <c r="L4434" i="2"/>
  <c r="L4435" i="2"/>
  <c r="L4436" i="2"/>
  <c r="L4437" i="2"/>
  <c r="L4438" i="2"/>
  <c r="L4439" i="2"/>
  <c r="L4440" i="2"/>
  <c r="L4441" i="2"/>
  <c r="L4442" i="2"/>
  <c r="L4443" i="2"/>
  <c r="L4444" i="2"/>
  <c r="L4445" i="2"/>
  <c r="L4446" i="2"/>
  <c r="L4447" i="2"/>
  <c r="L4448" i="2"/>
  <c r="L4449" i="2"/>
  <c r="L4450" i="2"/>
  <c r="L4451" i="2"/>
  <c r="L4452" i="2"/>
  <c r="L4453" i="2"/>
  <c r="L4454" i="2"/>
  <c r="L4455" i="2"/>
  <c r="L4456" i="2"/>
  <c r="L4457" i="2"/>
  <c r="L4458" i="2"/>
  <c r="L4459" i="2"/>
  <c r="L4460" i="2"/>
  <c r="L4461" i="2"/>
  <c r="L4462" i="2"/>
  <c r="L4463" i="2"/>
  <c r="L4464" i="2"/>
  <c r="L4465" i="2"/>
  <c r="L4466" i="2"/>
  <c r="L4467" i="2"/>
  <c r="L4468" i="2"/>
  <c r="L4469" i="2"/>
  <c r="L4470" i="2"/>
  <c r="L4471" i="2"/>
  <c r="L4472" i="2"/>
  <c r="L4473" i="2"/>
  <c r="L4474" i="2"/>
  <c r="L4475" i="2"/>
  <c r="L4476" i="2"/>
  <c r="L4477" i="2"/>
  <c r="L4478" i="2"/>
  <c r="L4479" i="2"/>
  <c r="L4480" i="2"/>
  <c r="L4481" i="2"/>
  <c r="L4482" i="2"/>
  <c r="L4483" i="2"/>
  <c r="L4484" i="2"/>
  <c r="L4485" i="2"/>
  <c r="L4486" i="2"/>
  <c r="L4487" i="2"/>
  <c r="L4488" i="2"/>
  <c r="L4489" i="2"/>
  <c r="L4490" i="2"/>
  <c r="L4491" i="2"/>
  <c r="L4492" i="2"/>
  <c r="L4493" i="2"/>
  <c r="L4494" i="2"/>
  <c r="L4495" i="2"/>
  <c r="L4496" i="2"/>
  <c r="L4497" i="2"/>
  <c r="L4498" i="2"/>
  <c r="L4499" i="2"/>
  <c r="L4500" i="2"/>
  <c r="L4501" i="2"/>
  <c r="L4502" i="2"/>
  <c r="L4503" i="2"/>
  <c r="L4504" i="2"/>
  <c r="L4505" i="2"/>
  <c r="L4506" i="2"/>
  <c r="L4507" i="2"/>
  <c r="L4508" i="2"/>
  <c r="L4509" i="2"/>
  <c r="L4510" i="2"/>
  <c r="L4511" i="2"/>
  <c r="L4512" i="2"/>
  <c r="L4513" i="2"/>
  <c r="L4514" i="2"/>
  <c r="L4515" i="2"/>
  <c r="L4516" i="2"/>
  <c r="L4517" i="2"/>
  <c r="L4518" i="2"/>
  <c r="L4519" i="2"/>
  <c r="L4520" i="2"/>
  <c r="L4521" i="2"/>
  <c r="L4522" i="2"/>
  <c r="L4523" i="2"/>
  <c r="L4524" i="2"/>
  <c r="L4525" i="2"/>
  <c r="L4526" i="2"/>
  <c r="L4527" i="2"/>
  <c r="L4528" i="2"/>
  <c r="L4529" i="2"/>
  <c r="L4530" i="2"/>
  <c r="L4531" i="2"/>
  <c r="L4532" i="2"/>
  <c r="L4533" i="2"/>
  <c r="L4534" i="2"/>
  <c r="L4535" i="2"/>
  <c r="L4536" i="2"/>
  <c r="L4537" i="2"/>
  <c r="L4538" i="2"/>
  <c r="L4539" i="2"/>
  <c r="L4540" i="2"/>
  <c r="L4541" i="2"/>
  <c r="L4542" i="2"/>
  <c r="L4543" i="2"/>
  <c r="L4544" i="2"/>
  <c r="L4545" i="2"/>
  <c r="L4546" i="2"/>
  <c r="L4547" i="2"/>
  <c r="L4548" i="2"/>
  <c r="L4549" i="2"/>
  <c r="L4550" i="2"/>
  <c r="L4551" i="2"/>
  <c r="L4552" i="2"/>
  <c r="L4553" i="2"/>
  <c r="L4554" i="2"/>
  <c r="L4555" i="2"/>
  <c r="L4556" i="2"/>
  <c r="L4557" i="2"/>
  <c r="L4558" i="2"/>
  <c r="L4559" i="2"/>
  <c r="L4560" i="2"/>
  <c r="L4561" i="2"/>
  <c r="L4562" i="2"/>
  <c r="L4563" i="2"/>
  <c r="L4564" i="2"/>
  <c r="L4565" i="2"/>
  <c r="L4566" i="2"/>
  <c r="L4567" i="2"/>
  <c r="L4568" i="2"/>
  <c r="L4569" i="2"/>
  <c r="L4570" i="2"/>
  <c r="L4571" i="2"/>
  <c r="L4572" i="2"/>
  <c r="L4573" i="2"/>
  <c r="L4574" i="2"/>
  <c r="L4575" i="2"/>
  <c r="L4576" i="2"/>
  <c r="L4577" i="2"/>
  <c r="L4578" i="2"/>
  <c r="L4579" i="2"/>
  <c r="L4580" i="2"/>
  <c r="L4581" i="2"/>
  <c r="D4402" i="2"/>
  <c r="E4402" i="2"/>
  <c r="D4403" i="2"/>
  <c r="E4403" i="2"/>
  <c r="D4404" i="2"/>
  <c r="E4404" i="2"/>
  <c r="D4405" i="2"/>
  <c r="E4405" i="2"/>
  <c r="D4406" i="2"/>
  <c r="E4406" i="2"/>
  <c r="D4407" i="2"/>
  <c r="E4407" i="2"/>
  <c r="D4408" i="2"/>
  <c r="E4408" i="2"/>
  <c r="D4409" i="2"/>
  <c r="E4409" i="2"/>
  <c r="D4410" i="2"/>
  <c r="E4410" i="2"/>
  <c r="D4411" i="2"/>
  <c r="E4411" i="2"/>
  <c r="D4412" i="2"/>
  <c r="E4412" i="2"/>
  <c r="D4413" i="2"/>
  <c r="E4413" i="2"/>
  <c r="D4414" i="2"/>
  <c r="E4414" i="2"/>
  <c r="D4415" i="2"/>
  <c r="E4415" i="2"/>
  <c r="D4416" i="2"/>
  <c r="E4416" i="2"/>
  <c r="D4417" i="2"/>
  <c r="E4417" i="2"/>
  <c r="D4418" i="2"/>
  <c r="E4418" i="2"/>
  <c r="D4419" i="2"/>
  <c r="E4419" i="2"/>
  <c r="D4420" i="2"/>
  <c r="E4420" i="2"/>
  <c r="D4421" i="2"/>
  <c r="E4421" i="2"/>
  <c r="D4422" i="2"/>
  <c r="E4422" i="2"/>
  <c r="D4423" i="2"/>
  <c r="E4423" i="2"/>
  <c r="D4424" i="2"/>
  <c r="E4424" i="2"/>
  <c r="D4425" i="2"/>
  <c r="E4425" i="2"/>
  <c r="D4426" i="2"/>
  <c r="E4426" i="2"/>
  <c r="D4427" i="2"/>
  <c r="E4427" i="2"/>
  <c r="D4428" i="2"/>
  <c r="E4428" i="2"/>
  <c r="D4429" i="2"/>
  <c r="E4429" i="2"/>
  <c r="D4430" i="2"/>
  <c r="E4430" i="2"/>
  <c r="D4431" i="2"/>
  <c r="E4431" i="2"/>
  <c r="D4432" i="2"/>
  <c r="E4432" i="2"/>
  <c r="D4433" i="2"/>
  <c r="E4433" i="2"/>
  <c r="D4434" i="2"/>
  <c r="E4434" i="2"/>
  <c r="D4435" i="2"/>
  <c r="E4435" i="2"/>
  <c r="D4436" i="2"/>
  <c r="E4436" i="2"/>
  <c r="D4437" i="2"/>
  <c r="E4437" i="2"/>
  <c r="D4438" i="2"/>
  <c r="E4438" i="2"/>
  <c r="D4439" i="2"/>
  <c r="E4439" i="2"/>
  <c r="D4440" i="2"/>
  <c r="E4440" i="2"/>
  <c r="D4441" i="2"/>
  <c r="E4441" i="2"/>
  <c r="D4442" i="2"/>
  <c r="E4442" i="2"/>
  <c r="D4443" i="2"/>
  <c r="E4443" i="2"/>
  <c r="D4444" i="2"/>
  <c r="E4444" i="2"/>
  <c r="D4445" i="2"/>
  <c r="E4445" i="2"/>
  <c r="D4446" i="2"/>
  <c r="E4446" i="2"/>
  <c r="D4447" i="2"/>
  <c r="E4447" i="2"/>
  <c r="D4448" i="2"/>
  <c r="E4448" i="2"/>
  <c r="D4449" i="2"/>
  <c r="E4449" i="2"/>
  <c r="D4450" i="2"/>
  <c r="E4450" i="2"/>
  <c r="D4451" i="2"/>
  <c r="E4451" i="2"/>
  <c r="D4452" i="2"/>
  <c r="E4452" i="2"/>
  <c r="D4453" i="2"/>
  <c r="E4453" i="2"/>
  <c r="D4454" i="2"/>
  <c r="E4454" i="2"/>
  <c r="D4455" i="2"/>
  <c r="E4455" i="2"/>
  <c r="D4456" i="2"/>
  <c r="E4456" i="2"/>
  <c r="D4457" i="2"/>
  <c r="E4457" i="2"/>
  <c r="D4458" i="2"/>
  <c r="E4458" i="2"/>
  <c r="D4459" i="2"/>
  <c r="E4459" i="2"/>
  <c r="D4460" i="2"/>
  <c r="E4460" i="2"/>
  <c r="D4461" i="2"/>
  <c r="E4461" i="2"/>
  <c r="D4462" i="2"/>
  <c r="E4462" i="2"/>
  <c r="D4463" i="2"/>
  <c r="E4463" i="2"/>
  <c r="D4464" i="2"/>
  <c r="E4464" i="2"/>
  <c r="D4465" i="2"/>
  <c r="E4465" i="2"/>
  <c r="D4466" i="2"/>
  <c r="E4466" i="2"/>
  <c r="D4467" i="2"/>
  <c r="E4467" i="2"/>
  <c r="D4468" i="2"/>
  <c r="E4468" i="2"/>
  <c r="D4469" i="2"/>
  <c r="E4469" i="2"/>
  <c r="D4470" i="2"/>
  <c r="E4470" i="2"/>
  <c r="D4471" i="2"/>
  <c r="E4471" i="2"/>
  <c r="D4472" i="2"/>
  <c r="E4472" i="2"/>
  <c r="D4473" i="2"/>
  <c r="E4473" i="2"/>
  <c r="D4474" i="2"/>
  <c r="E4474" i="2"/>
  <c r="D4475" i="2"/>
  <c r="E4475" i="2"/>
  <c r="D4476" i="2"/>
  <c r="E4476" i="2"/>
  <c r="D4477" i="2"/>
  <c r="E4477" i="2"/>
  <c r="D4478" i="2"/>
  <c r="E4478" i="2"/>
  <c r="D4479" i="2"/>
  <c r="E4479" i="2"/>
  <c r="D4480" i="2"/>
  <c r="E4480" i="2"/>
  <c r="D4481" i="2"/>
  <c r="E4481" i="2"/>
  <c r="D4482" i="2"/>
  <c r="E4482" i="2"/>
  <c r="D4483" i="2"/>
  <c r="E4483" i="2"/>
  <c r="D4484" i="2"/>
  <c r="E4484" i="2"/>
  <c r="D4485" i="2"/>
  <c r="E4485" i="2"/>
  <c r="D4486" i="2"/>
  <c r="E4486" i="2"/>
  <c r="D4487" i="2"/>
  <c r="E4487" i="2"/>
  <c r="D4488" i="2"/>
  <c r="E4488" i="2"/>
  <c r="D4489" i="2"/>
  <c r="E4489" i="2"/>
  <c r="D4490" i="2"/>
  <c r="E4490" i="2"/>
  <c r="D4491" i="2"/>
  <c r="E4491" i="2"/>
  <c r="D4492" i="2"/>
  <c r="E4492" i="2"/>
  <c r="D4493" i="2"/>
  <c r="E4493" i="2"/>
  <c r="D4494" i="2"/>
  <c r="E4494" i="2"/>
  <c r="D4495" i="2"/>
  <c r="E4495" i="2"/>
  <c r="D4496" i="2"/>
  <c r="E4496" i="2"/>
  <c r="D4497" i="2"/>
  <c r="E4497" i="2"/>
  <c r="D4498" i="2"/>
  <c r="E4498" i="2"/>
  <c r="D4499" i="2"/>
  <c r="E4499" i="2"/>
  <c r="D4500" i="2"/>
  <c r="E4500" i="2"/>
  <c r="D4501" i="2"/>
  <c r="E4501" i="2"/>
  <c r="D4502" i="2"/>
  <c r="E4502" i="2"/>
  <c r="D4503" i="2"/>
  <c r="E4503" i="2"/>
  <c r="D4504" i="2"/>
  <c r="E4504" i="2"/>
  <c r="D4505" i="2"/>
  <c r="E4505" i="2"/>
  <c r="D4506" i="2"/>
  <c r="E4506" i="2"/>
  <c r="D4507" i="2"/>
  <c r="E4507" i="2"/>
  <c r="D4508" i="2"/>
  <c r="E4508" i="2"/>
  <c r="D4509" i="2"/>
  <c r="E4509" i="2"/>
  <c r="D4510" i="2"/>
  <c r="E4510" i="2"/>
  <c r="D4511" i="2"/>
  <c r="E4511" i="2"/>
  <c r="D4512" i="2"/>
  <c r="E4512" i="2"/>
  <c r="D4513" i="2"/>
  <c r="E4513" i="2"/>
  <c r="D4514" i="2"/>
  <c r="E4514" i="2"/>
  <c r="D4515" i="2"/>
  <c r="E4515" i="2"/>
  <c r="D4516" i="2"/>
  <c r="E4516" i="2"/>
  <c r="D4517" i="2"/>
  <c r="E4517" i="2"/>
  <c r="D4518" i="2"/>
  <c r="E4518" i="2"/>
  <c r="D4519" i="2"/>
  <c r="E4519" i="2"/>
  <c r="D4520" i="2"/>
  <c r="E4520" i="2"/>
  <c r="D4521" i="2"/>
  <c r="E4521" i="2"/>
  <c r="D4522" i="2"/>
  <c r="E4522" i="2"/>
  <c r="D4523" i="2"/>
  <c r="E4523" i="2"/>
  <c r="D4524" i="2"/>
  <c r="E4524" i="2"/>
  <c r="D4525" i="2"/>
  <c r="E4525" i="2"/>
  <c r="D4526" i="2"/>
  <c r="E4526" i="2"/>
  <c r="D4527" i="2"/>
  <c r="E4527" i="2"/>
  <c r="D4528" i="2"/>
  <c r="E4528" i="2"/>
  <c r="D4529" i="2"/>
  <c r="E4529" i="2"/>
  <c r="D4530" i="2"/>
  <c r="E4530" i="2"/>
  <c r="D4531" i="2"/>
  <c r="E4531" i="2"/>
  <c r="D4532" i="2"/>
  <c r="E4532" i="2"/>
  <c r="D4533" i="2"/>
  <c r="E4533" i="2"/>
  <c r="D4534" i="2"/>
  <c r="E4534" i="2"/>
  <c r="D4535" i="2"/>
  <c r="E4535" i="2"/>
  <c r="D4536" i="2"/>
  <c r="E4536" i="2"/>
  <c r="D4537" i="2"/>
  <c r="E4537" i="2"/>
  <c r="D4538" i="2"/>
  <c r="E4538" i="2"/>
  <c r="D4539" i="2"/>
  <c r="E4539" i="2"/>
  <c r="D4540" i="2"/>
  <c r="E4540" i="2"/>
  <c r="D4541" i="2"/>
  <c r="E4541" i="2"/>
  <c r="D4542" i="2"/>
  <c r="E4542" i="2"/>
  <c r="D4543" i="2"/>
  <c r="E4543" i="2"/>
  <c r="D4544" i="2"/>
  <c r="E4544" i="2"/>
  <c r="D4545" i="2"/>
  <c r="E4545" i="2"/>
  <c r="D4546" i="2"/>
  <c r="E4546" i="2"/>
  <c r="D4547" i="2"/>
  <c r="E4547" i="2"/>
  <c r="D4548" i="2"/>
  <c r="E4548" i="2"/>
  <c r="D4549" i="2"/>
  <c r="E4549" i="2"/>
  <c r="D4550" i="2"/>
  <c r="E4550" i="2"/>
  <c r="D4551" i="2"/>
  <c r="E4551" i="2"/>
  <c r="D4552" i="2"/>
  <c r="E4552" i="2"/>
  <c r="D4553" i="2"/>
  <c r="E4553" i="2"/>
  <c r="D4554" i="2"/>
  <c r="E4554" i="2"/>
  <c r="D4555" i="2"/>
  <c r="E4555" i="2"/>
  <c r="D4556" i="2"/>
  <c r="E4556" i="2"/>
  <c r="D4557" i="2"/>
  <c r="E4557" i="2"/>
  <c r="D4558" i="2"/>
  <c r="E4558" i="2"/>
  <c r="D4559" i="2"/>
  <c r="E4559" i="2"/>
  <c r="D4560" i="2"/>
  <c r="E4560" i="2"/>
  <c r="D4561" i="2"/>
  <c r="E4561" i="2"/>
  <c r="D4562" i="2"/>
  <c r="E4562" i="2"/>
  <c r="D4563" i="2"/>
  <c r="E4563" i="2"/>
  <c r="D4564" i="2"/>
  <c r="E4564" i="2"/>
  <c r="D4565" i="2"/>
  <c r="E4565" i="2"/>
  <c r="D4566" i="2"/>
  <c r="E4566" i="2"/>
  <c r="D4567" i="2"/>
  <c r="E4567" i="2"/>
  <c r="D4568" i="2"/>
  <c r="E4568" i="2"/>
  <c r="D4569" i="2"/>
  <c r="E4569" i="2"/>
  <c r="D4570" i="2"/>
  <c r="E4570" i="2"/>
  <c r="D4571" i="2"/>
  <c r="E4571" i="2"/>
  <c r="D4572" i="2"/>
  <c r="E4572" i="2"/>
  <c r="D4573" i="2"/>
  <c r="E4573" i="2"/>
  <c r="D4574" i="2"/>
  <c r="E4574" i="2"/>
  <c r="D4575" i="2"/>
  <c r="E4575" i="2"/>
  <c r="D4576" i="2"/>
  <c r="E4576" i="2"/>
  <c r="D4577" i="2"/>
  <c r="E4577" i="2"/>
  <c r="D4578" i="2"/>
  <c r="E4578" i="2"/>
  <c r="D4579" i="2"/>
  <c r="E4579" i="2"/>
  <c r="D4580" i="2"/>
  <c r="E4580" i="2"/>
  <c r="D4581" i="2"/>
  <c r="E4581" i="2"/>
  <c r="L4397" i="2"/>
  <c r="L4398" i="2"/>
  <c r="L4399" i="2"/>
  <c r="L4400" i="2"/>
  <c r="L4401" i="2"/>
  <c r="D4397" i="2"/>
  <c r="E4397" i="2"/>
  <c r="D4398" i="2"/>
  <c r="E4398" i="2"/>
  <c r="D4399" i="2"/>
  <c r="E4399" i="2"/>
  <c r="D4400" i="2"/>
  <c r="E4400" i="2"/>
  <c r="D4401" i="2"/>
  <c r="E4401" i="2"/>
  <c r="L4383" i="2"/>
  <c r="L4384" i="2"/>
  <c r="L4385" i="2"/>
  <c r="L4386" i="2"/>
  <c r="L4387" i="2"/>
  <c r="L4388" i="2"/>
  <c r="L4389" i="2"/>
  <c r="L4390" i="2"/>
  <c r="L4391" i="2"/>
  <c r="L4392" i="2"/>
  <c r="L4393" i="2"/>
  <c r="L4394" i="2"/>
  <c r="L4395" i="2"/>
  <c r="L4396" i="2"/>
  <c r="D4383" i="2"/>
  <c r="E4383" i="2"/>
  <c r="D4384" i="2"/>
  <c r="E4384" i="2"/>
  <c r="D4385" i="2"/>
  <c r="E4385" i="2"/>
  <c r="D4386" i="2"/>
  <c r="E4386" i="2"/>
  <c r="D4387" i="2"/>
  <c r="E4387" i="2"/>
  <c r="D4388" i="2"/>
  <c r="E4388" i="2"/>
  <c r="D4389" i="2"/>
  <c r="E4389" i="2"/>
  <c r="D4390" i="2"/>
  <c r="E4390" i="2"/>
  <c r="D4391" i="2"/>
  <c r="E4391" i="2"/>
  <c r="D4392" i="2"/>
  <c r="E4392" i="2"/>
  <c r="D4393" i="2"/>
  <c r="E4393" i="2"/>
  <c r="D4394" i="2"/>
  <c r="E4394" i="2"/>
  <c r="D4395" i="2"/>
  <c r="E4395" i="2"/>
  <c r="D4396" i="2"/>
  <c r="E4396" i="2"/>
  <c r="L4372" i="2" l="1"/>
  <c r="L4373" i="2"/>
  <c r="L4374" i="2"/>
  <c r="L4382" i="2" l="1"/>
  <c r="E4382" i="2"/>
  <c r="D4382" i="2"/>
  <c r="L4381" i="2"/>
  <c r="E4381" i="2"/>
  <c r="D4381" i="2"/>
  <c r="L4380" i="2"/>
  <c r="E4380" i="2"/>
  <c r="D4380" i="2"/>
  <c r="L4379" i="2"/>
  <c r="E4379" i="2"/>
  <c r="D4379" i="2"/>
  <c r="L4378" i="2"/>
  <c r="E4378" i="2"/>
  <c r="D4378" i="2"/>
  <c r="L4377" i="2"/>
  <c r="E4377" i="2"/>
  <c r="D4377" i="2"/>
  <c r="L4376" i="2"/>
  <c r="E4376" i="2"/>
  <c r="D4376" i="2"/>
  <c r="L4375" i="2"/>
  <c r="E4375" i="2"/>
  <c r="D4375" i="2"/>
  <c r="E4374" i="2"/>
  <c r="D4374" i="2"/>
  <c r="E4373" i="2"/>
  <c r="D4373" i="2"/>
  <c r="E4372" i="2"/>
  <c r="D4372" i="2"/>
  <c r="L4371" i="2"/>
  <c r="E4371" i="2"/>
  <c r="D4371" i="2"/>
  <c r="L4370" i="2"/>
  <c r="E4370" i="2"/>
  <c r="D4370" i="2"/>
  <c r="L4369" i="2"/>
  <c r="E4369" i="2"/>
  <c r="D4369" i="2"/>
  <c r="L4368" i="2"/>
  <c r="E4368" i="2"/>
  <c r="D4368" i="2"/>
  <c r="L4367" i="2"/>
  <c r="E4367" i="2"/>
  <c r="D4367" i="2"/>
  <c r="L4366" i="2"/>
  <c r="E4366" i="2"/>
  <c r="D4366" i="2"/>
  <c r="L4365" i="2"/>
  <c r="E4365" i="2"/>
  <c r="D4365" i="2"/>
  <c r="L4364" i="2"/>
  <c r="E4364" i="2"/>
  <c r="D4364" i="2"/>
  <c r="L4363" i="2"/>
  <c r="E4363" i="2"/>
  <c r="D4363" i="2"/>
  <c r="L4362" i="2"/>
  <c r="E4362" i="2"/>
  <c r="D4362" i="2"/>
  <c r="L4361" i="2"/>
  <c r="E4361" i="2"/>
  <c r="D4361" i="2"/>
  <c r="L4360" i="2"/>
  <c r="E4360" i="2"/>
  <c r="D4360" i="2"/>
  <c r="L4359" i="2"/>
  <c r="E4359" i="2"/>
  <c r="D4359" i="2"/>
  <c r="L4358" i="2"/>
  <c r="E4358" i="2"/>
  <c r="D4358" i="2"/>
  <c r="L4357" i="2"/>
  <c r="E4357" i="2"/>
  <c r="D4357" i="2"/>
  <c r="L4356" i="2"/>
  <c r="E4356" i="2"/>
  <c r="D4356" i="2"/>
  <c r="L4355" i="2"/>
  <c r="E4355" i="2"/>
  <c r="D4355" i="2"/>
  <c r="L4354" i="2"/>
  <c r="E4354" i="2"/>
  <c r="D4354" i="2"/>
  <c r="L4353" i="2"/>
  <c r="E4353" i="2"/>
  <c r="D4353" i="2"/>
  <c r="L4352" i="2"/>
  <c r="E4352" i="2"/>
  <c r="D4352" i="2"/>
  <c r="L4351" i="2"/>
  <c r="E4351" i="2"/>
  <c r="D4351" i="2"/>
  <c r="L4350" i="2"/>
  <c r="E4350" i="2"/>
  <c r="D4350" i="2"/>
  <c r="L4349" i="2"/>
  <c r="E4349" i="2"/>
  <c r="D4349" i="2"/>
  <c r="L4348" i="2"/>
  <c r="E4348" i="2"/>
  <c r="D4348" i="2"/>
  <c r="L4347" i="2"/>
  <c r="E4347" i="2"/>
  <c r="D4347" i="2"/>
  <c r="L4346" i="2"/>
  <c r="E4346" i="2"/>
  <c r="D4346" i="2"/>
  <c r="L4345" i="2"/>
  <c r="E4345" i="2"/>
  <c r="D4345" i="2"/>
  <c r="L4344" i="2"/>
  <c r="E4344" i="2"/>
  <c r="D4344" i="2"/>
  <c r="L4343" i="2"/>
  <c r="E4343" i="2"/>
  <c r="D4343" i="2"/>
  <c r="L4342" i="2"/>
  <c r="E4342" i="2"/>
  <c r="D4342" i="2"/>
  <c r="L4341" i="2"/>
  <c r="E4341" i="2"/>
  <c r="D4341" i="2"/>
  <c r="L4340" i="2"/>
  <c r="E4340" i="2"/>
  <c r="D4340" i="2"/>
  <c r="L4339" i="2"/>
  <c r="E4339" i="2"/>
  <c r="D4339" i="2"/>
  <c r="L4338" i="2"/>
  <c r="E4338" i="2"/>
  <c r="D4338" i="2"/>
  <c r="L4337" i="2"/>
  <c r="E4337" i="2"/>
  <c r="D4337" i="2"/>
  <c r="L4336" i="2"/>
  <c r="E4336" i="2"/>
  <c r="D4336" i="2"/>
  <c r="L4335" i="2"/>
  <c r="E4335" i="2"/>
  <c r="D4335" i="2"/>
  <c r="L4334" i="2"/>
  <c r="E4334" i="2"/>
  <c r="D4334" i="2"/>
  <c r="L4333" i="2"/>
  <c r="E4333" i="2"/>
  <c r="D4333" i="2"/>
  <c r="L4332" i="2"/>
  <c r="E4332" i="2"/>
  <c r="D4332" i="2"/>
  <c r="L4331" i="2"/>
  <c r="E4331" i="2"/>
  <c r="D4331" i="2"/>
  <c r="L4330" i="2"/>
  <c r="E4330" i="2"/>
  <c r="D4330" i="2"/>
  <c r="L4329" i="2"/>
  <c r="E4329" i="2"/>
  <c r="D4329" i="2"/>
  <c r="L4328" i="2"/>
  <c r="E4328" i="2"/>
  <c r="D4328" i="2"/>
  <c r="L4327" i="2"/>
  <c r="E4327" i="2"/>
  <c r="D4327" i="2"/>
  <c r="L4326" i="2"/>
  <c r="E4326" i="2"/>
  <c r="D4326" i="2"/>
  <c r="L4325" i="2"/>
  <c r="E4325" i="2"/>
  <c r="D4325" i="2"/>
  <c r="L4324" i="2"/>
  <c r="E4324" i="2"/>
  <c r="D4324" i="2"/>
  <c r="L4323" i="2"/>
  <c r="E4323" i="2"/>
  <c r="D4323" i="2"/>
  <c r="L4322" i="2"/>
  <c r="E4322" i="2"/>
  <c r="D4322" i="2"/>
  <c r="L4321" i="2"/>
  <c r="E4321" i="2"/>
  <c r="D4321" i="2"/>
  <c r="L4320" i="2"/>
  <c r="E4320" i="2"/>
  <c r="D4320" i="2"/>
  <c r="L4319" i="2"/>
  <c r="E4319" i="2"/>
  <c r="D4319" i="2"/>
  <c r="L4318" i="2"/>
  <c r="E4318" i="2"/>
  <c r="D4318" i="2"/>
  <c r="L4317" i="2"/>
  <c r="E4317" i="2"/>
  <c r="D4317" i="2"/>
  <c r="L4316" i="2"/>
  <c r="E4316" i="2"/>
  <c r="D4316" i="2"/>
  <c r="L4315" i="2"/>
  <c r="E4315" i="2"/>
  <c r="D4315" i="2"/>
  <c r="L4314" i="2"/>
  <c r="E4314" i="2"/>
  <c r="D4314" i="2"/>
  <c r="L4313" i="2"/>
  <c r="E4313" i="2"/>
  <c r="D4313" i="2"/>
  <c r="L4312" i="2"/>
  <c r="E4312" i="2"/>
  <c r="D4312" i="2"/>
  <c r="L4311" i="2"/>
  <c r="E4311" i="2"/>
  <c r="D4311" i="2"/>
  <c r="L4310" i="2"/>
  <c r="E4310" i="2"/>
  <c r="D4310" i="2"/>
  <c r="L4309" i="2"/>
  <c r="E4309" i="2"/>
  <c r="D4309" i="2"/>
  <c r="L4308" i="2"/>
  <c r="E4308" i="2"/>
  <c r="D4308" i="2"/>
  <c r="L4307" i="2"/>
  <c r="E4307" i="2"/>
  <c r="D4307" i="2"/>
  <c r="L4306" i="2"/>
  <c r="E4306" i="2"/>
  <c r="D4306" i="2"/>
  <c r="L4305" i="2"/>
  <c r="E4305" i="2"/>
  <c r="D4305" i="2"/>
  <c r="L4304" i="2"/>
  <c r="E4304" i="2"/>
  <c r="D4304" i="2"/>
  <c r="L4303" i="2"/>
  <c r="E4303" i="2"/>
  <c r="D4303" i="2"/>
  <c r="L4302" i="2"/>
  <c r="E4302" i="2"/>
  <c r="D4302" i="2"/>
  <c r="L4301" i="2"/>
  <c r="E4301" i="2"/>
  <c r="D4301" i="2"/>
  <c r="L4300" i="2"/>
  <c r="E4300" i="2"/>
  <c r="D4300" i="2"/>
  <c r="L4299" i="2"/>
  <c r="E4299" i="2"/>
  <c r="D4299" i="2"/>
  <c r="L4298" i="2"/>
  <c r="E4298" i="2"/>
  <c r="D4298" i="2"/>
  <c r="L4297" i="2"/>
  <c r="E4297" i="2"/>
  <c r="D4297" i="2"/>
  <c r="L4296" i="2"/>
  <c r="E4296" i="2"/>
  <c r="D4296" i="2"/>
  <c r="L4295" i="2"/>
  <c r="E4295" i="2"/>
  <c r="D4295" i="2"/>
  <c r="L4294" i="2"/>
  <c r="E4294" i="2"/>
  <c r="D4294" i="2"/>
  <c r="L4293" i="2"/>
  <c r="E4293" i="2"/>
  <c r="D4293" i="2"/>
  <c r="L4292" i="2"/>
  <c r="E4292" i="2"/>
  <c r="D4292" i="2"/>
  <c r="L4291" i="2"/>
  <c r="E4291" i="2"/>
  <c r="D4291" i="2"/>
  <c r="L4290" i="2"/>
  <c r="E4290" i="2"/>
  <c r="D4290" i="2"/>
  <c r="L4289" i="2"/>
  <c r="E4289" i="2"/>
  <c r="D4289" i="2"/>
  <c r="L4288" i="2"/>
  <c r="E4288" i="2"/>
  <c r="D4288" i="2"/>
  <c r="L4287" i="2"/>
  <c r="E4287" i="2"/>
  <c r="D4287" i="2"/>
  <c r="L4286" i="2"/>
  <c r="E4286" i="2"/>
  <c r="D4286" i="2"/>
  <c r="L4285" i="2"/>
  <c r="E4285" i="2"/>
  <c r="D4285" i="2"/>
  <c r="L4284" i="2"/>
  <c r="E4284" i="2"/>
  <c r="D4284" i="2"/>
  <c r="L4283" i="2"/>
  <c r="E4283" i="2"/>
  <c r="D4283" i="2"/>
  <c r="L4282" i="2"/>
  <c r="E4282" i="2"/>
  <c r="D4282" i="2"/>
  <c r="L4281" i="2"/>
  <c r="E4281" i="2"/>
  <c r="D4281" i="2"/>
  <c r="L4280" i="2"/>
  <c r="E4280" i="2"/>
  <c r="D4280" i="2"/>
  <c r="L4279" i="2"/>
  <c r="E4279" i="2"/>
  <c r="D4279" i="2"/>
  <c r="L4278" i="2"/>
  <c r="E4278" i="2"/>
  <c r="D4278" i="2"/>
  <c r="L4277" i="2"/>
  <c r="E4277" i="2"/>
  <c r="D4277" i="2"/>
  <c r="L4276" i="2"/>
  <c r="E4276" i="2"/>
  <c r="D4276" i="2"/>
  <c r="L4275" i="2"/>
  <c r="E4275" i="2"/>
  <c r="D4275" i="2"/>
  <c r="L4274" i="2"/>
  <c r="E4274" i="2"/>
  <c r="D4274" i="2"/>
  <c r="L4273" i="2"/>
  <c r="E4273" i="2"/>
  <c r="D4273" i="2"/>
  <c r="L4272" i="2"/>
  <c r="E4272" i="2"/>
  <c r="D4272" i="2"/>
  <c r="L4271" i="2"/>
  <c r="E4271" i="2"/>
  <c r="D4271" i="2"/>
  <c r="L4270" i="2"/>
  <c r="E4270" i="2"/>
  <c r="D4270" i="2"/>
  <c r="L4269" i="2"/>
  <c r="E4269" i="2"/>
  <c r="D4269" i="2"/>
  <c r="L4268" i="2"/>
  <c r="E4268" i="2"/>
  <c r="D4268" i="2"/>
  <c r="L4267" i="2"/>
  <c r="E4267" i="2"/>
  <c r="D4267" i="2"/>
  <c r="L4266" i="2"/>
  <c r="E4266" i="2"/>
  <c r="D4266" i="2"/>
  <c r="L4265" i="2"/>
  <c r="E4265" i="2"/>
  <c r="D4265" i="2"/>
  <c r="L4264" i="2"/>
  <c r="E4264" i="2"/>
  <c r="D4264" i="2"/>
  <c r="L4263" i="2"/>
  <c r="E4263" i="2"/>
  <c r="D4263" i="2"/>
  <c r="L4262" i="2"/>
  <c r="E4262" i="2"/>
  <c r="D4262" i="2"/>
  <c r="L4261" i="2"/>
  <c r="E4261" i="2"/>
  <c r="D4261" i="2"/>
  <c r="L4260" i="2"/>
  <c r="E4260" i="2"/>
  <c r="D4260" i="2"/>
  <c r="L4259" i="2"/>
  <c r="E4259" i="2"/>
  <c r="D4259" i="2"/>
  <c r="L4258" i="2"/>
  <c r="E4258" i="2"/>
  <c r="D4258" i="2"/>
  <c r="L4257" i="2"/>
  <c r="E4257" i="2"/>
  <c r="D4257" i="2"/>
  <c r="L4256" i="2"/>
  <c r="E4256" i="2"/>
  <c r="D4256" i="2"/>
  <c r="L4255" i="2"/>
  <c r="E4255" i="2"/>
  <c r="D4255" i="2"/>
  <c r="L4254" i="2"/>
  <c r="E4254" i="2"/>
  <c r="D4254" i="2"/>
  <c r="L4253" i="2"/>
  <c r="E4253" i="2"/>
  <c r="D4253" i="2"/>
  <c r="L4252" i="2"/>
  <c r="E4252" i="2"/>
  <c r="D4252" i="2"/>
  <c r="L4251" i="2"/>
  <c r="E4251" i="2"/>
  <c r="D4251" i="2"/>
  <c r="L4250" i="2"/>
  <c r="E4250" i="2"/>
  <c r="D4250" i="2"/>
  <c r="L4249" i="2"/>
  <c r="E4249" i="2"/>
  <c r="D4249" i="2"/>
  <c r="L4248" i="2"/>
  <c r="E4248" i="2"/>
  <c r="D4248" i="2"/>
  <c r="L4247" i="2"/>
  <c r="E4247" i="2"/>
  <c r="D4247" i="2"/>
  <c r="L4246" i="2"/>
  <c r="E4246" i="2"/>
  <c r="D4246" i="2"/>
  <c r="L4245" i="2"/>
  <c r="E4245" i="2"/>
  <c r="D4245" i="2"/>
  <c r="L4244" i="2"/>
  <c r="E4244" i="2"/>
  <c r="D4244" i="2"/>
  <c r="L4243" i="2"/>
  <c r="E4243" i="2"/>
  <c r="D4243" i="2"/>
  <c r="L4242" i="2"/>
  <c r="E4242" i="2"/>
  <c r="D4242" i="2"/>
  <c r="L4241" i="2"/>
  <c r="E4241" i="2"/>
  <c r="D4241" i="2"/>
  <c r="L4240" i="2"/>
  <c r="E4240" i="2"/>
  <c r="D4240" i="2"/>
  <c r="L4239" i="2"/>
  <c r="E4239" i="2"/>
  <c r="D4239" i="2"/>
  <c r="L4238" i="2"/>
  <c r="E4238" i="2"/>
  <c r="D4238" i="2"/>
  <c r="L4237" i="2"/>
  <c r="E4237" i="2"/>
  <c r="D4237" i="2"/>
  <c r="L4236" i="2"/>
  <c r="E4236" i="2"/>
  <c r="D4236" i="2"/>
  <c r="L4235" i="2"/>
  <c r="E4235" i="2"/>
  <c r="D4235" i="2"/>
  <c r="L4234" i="2"/>
  <c r="E4234" i="2"/>
  <c r="D4234" i="2"/>
  <c r="L4233" i="2"/>
  <c r="E4233" i="2"/>
  <c r="D4233" i="2"/>
  <c r="L4232" i="2"/>
  <c r="E4232" i="2"/>
  <c r="D4232" i="2"/>
  <c r="L4231" i="2"/>
  <c r="E4231" i="2"/>
  <c r="D4231" i="2"/>
  <c r="L4230" i="2"/>
  <c r="E4230" i="2"/>
  <c r="D4230" i="2"/>
  <c r="L4229" i="2"/>
  <c r="E4229" i="2"/>
  <c r="D4229" i="2"/>
  <c r="L4228" i="2"/>
  <c r="E4228" i="2"/>
  <c r="D4228" i="2"/>
  <c r="L4227" i="2"/>
  <c r="E4227" i="2"/>
  <c r="D4227" i="2"/>
  <c r="L4226" i="2"/>
  <c r="E4226" i="2"/>
  <c r="D4226" i="2"/>
  <c r="L4225" i="2"/>
  <c r="E4225" i="2"/>
  <c r="D4225" i="2"/>
  <c r="L4224" i="2"/>
  <c r="E4224" i="2"/>
  <c r="D4224" i="2"/>
  <c r="L4223" i="2"/>
  <c r="E4223" i="2"/>
  <c r="D4223" i="2"/>
  <c r="L4222" i="2"/>
  <c r="E4222" i="2"/>
  <c r="D4222" i="2"/>
  <c r="L4221" i="2"/>
  <c r="E4221" i="2"/>
  <c r="D4221" i="2"/>
  <c r="L4220" i="2"/>
  <c r="E4220" i="2"/>
  <c r="D4220" i="2"/>
  <c r="L4219" i="2"/>
  <c r="E4219" i="2"/>
  <c r="D4219" i="2"/>
  <c r="L4218" i="2"/>
  <c r="E4218" i="2"/>
  <c r="D4218" i="2"/>
  <c r="L4217" i="2"/>
  <c r="E4217" i="2"/>
  <c r="D4217" i="2"/>
  <c r="L4216" i="2"/>
  <c r="E4216" i="2"/>
  <c r="D4216" i="2"/>
  <c r="L4215" i="2"/>
  <c r="E4215" i="2"/>
  <c r="D4215" i="2"/>
  <c r="L4214" i="2"/>
  <c r="E4214" i="2"/>
  <c r="D4214" i="2"/>
  <c r="L4213" i="2"/>
  <c r="E4213" i="2"/>
  <c r="D4213" i="2"/>
  <c r="L4212" i="2"/>
  <c r="E4212" i="2"/>
  <c r="D4212" i="2"/>
  <c r="L4211" i="2"/>
  <c r="E4211" i="2"/>
  <c r="D4211" i="2"/>
  <c r="L4210" i="2"/>
  <c r="E4210" i="2"/>
  <c r="D4210" i="2"/>
  <c r="L4209" i="2"/>
  <c r="E4209" i="2"/>
  <c r="D4209" i="2"/>
  <c r="L4208" i="2"/>
  <c r="E4208" i="2"/>
  <c r="D4208" i="2"/>
  <c r="L4207" i="2"/>
  <c r="E4207" i="2"/>
  <c r="D4207" i="2"/>
  <c r="L4206" i="2"/>
  <c r="E4206" i="2"/>
  <c r="D4206" i="2"/>
  <c r="L4205" i="2"/>
  <c r="E4205" i="2"/>
  <c r="D4205" i="2"/>
  <c r="L4204" i="2"/>
  <c r="E4204" i="2"/>
  <c r="D4204" i="2"/>
  <c r="L4203" i="2"/>
  <c r="E4203" i="2"/>
  <c r="D4203" i="2"/>
  <c r="L4202" i="2"/>
  <c r="E4202" i="2"/>
  <c r="D4202" i="2"/>
  <c r="L4201" i="2"/>
  <c r="E4201" i="2"/>
  <c r="D4201" i="2"/>
  <c r="L4200" i="2"/>
  <c r="E4200" i="2"/>
  <c r="D4200" i="2"/>
  <c r="L4199" i="2"/>
  <c r="E4199" i="2"/>
  <c r="D4199" i="2"/>
  <c r="L4198" i="2"/>
  <c r="E4198" i="2"/>
  <c r="D4198" i="2"/>
  <c r="L4197" i="2"/>
  <c r="E4197" i="2"/>
  <c r="D4197" i="2"/>
  <c r="L4196" i="2"/>
  <c r="E4196" i="2"/>
  <c r="D4196" i="2"/>
  <c r="L4195" i="2"/>
  <c r="E4195" i="2"/>
  <c r="D4195" i="2"/>
  <c r="L4194" i="2"/>
  <c r="E4194" i="2"/>
  <c r="D4194" i="2"/>
  <c r="L4193" i="2"/>
  <c r="E4193" i="2"/>
  <c r="D4193" i="2"/>
  <c r="L4192" i="2"/>
  <c r="E4192" i="2"/>
  <c r="D4192" i="2"/>
  <c r="L4191" i="2"/>
  <c r="E4191" i="2"/>
  <c r="D4191" i="2"/>
  <c r="L4190" i="2"/>
  <c r="E4190" i="2"/>
  <c r="D4190" i="2"/>
  <c r="L4189" i="2"/>
  <c r="E4189" i="2"/>
  <c r="D4189" i="2"/>
  <c r="L4188" i="2"/>
  <c r="E4188" i="2"/>
  <c r="D4188" i="2"/>
  <c r="L4187" i="2"/>
  <c r="E4187" i="2"/>
  <c r="D4187" i="2"/>
  <c r="L4186" i="2"/>
  <c r="E4186" i="2"/>
  <c r="D4186" i="2"/>
  <c r="L4185" i="2"/>
  <c r="E4185" i="2"/>
  <c r="D4185" i="2"/>
  <c r="L4184" i="2"/>
  <c r="E4184" i="2"/>
  <c r="D4184" i="2"/>
  <c r="L4183" i="2"/>
  <c r="E4183" i="2"/>
  <c r="D4183" i="2"/>
  <c r="L4182" i="2"/>
  <c r="E4182" i="2"/>
  <c r="D4182" i="2"/>
  <c r="L4181" i="2"/>
  <c r="E4181" i="2"/>
  <c r="D4181" i="2"/>
  <c r="L4180" i="2"/>
  <c r="E4180" i="2"/>
  <c r="D4180" i="2"/>
  <c r="L4179" i="2"/>
  <c r="E4179" i="2"/>
  <c r="D4179" i="2"/>
  <c r="L4178" i="2"/>
  <c r="E4178" i="2"/>
  <c r="D4178" i="2"/>
  <c r="L4177" i="2"/>
  <c r="E4177" i="2"/>
  <c r="D4177" i="2"/>
  <c r="L4176" i="2"/>
  <c r="E4176" i="2"/>
  <c r="D4176" i="2"/>
  <c r="L4175" i="2"/>
  <c r="E4175" i="2"/>
  <c r="D4175" i="2"/>
  <c r="L4174" i="2"/>
  <c r="E4174" i="2"/>
  <c r="D4174" i="2"/>
  <c r="L4173" i="2"/>
  <c r="E4173" i="2"/>
  <c r="D4173" i="2"/>
  <c r="L4172" i="2"/>
  <c r="E4172" i="2"/>
  <c r="D4172" i="2"/>
  <c r="L4171" i="2"/>
  <c r="E4171" i="2"/>
  <c r="D4171" i="2"/>
  <c r="L4170" i="2"/>
  <c r="E4170" i="2"/>
  <c r="D4170" i="2"/>
  <c r="L4169" i="2"/>
  <c r="E4169" i="2"/>
  <c r="D4169" i="2"/>
  <c r="L4168" i="2"/>
  <c r="E4168" i="2"/>
  <c r="D4168" i="2"/>
  <c r="L4167" i="2"/>
  <c r="E4167" i="2"/>
  <c r="D4167" i="2"/>
  <c r="L4166" i="2"/>
  <c r="E4166" i="2"/>
  <c r="D4166" i="2"/>
  <c r="L4165" i="2"/>
  <c r="E4165" i="2"/>
  <c r="D4165" i="2"/>
  <c r="L4164" i="2"/>
  <c r="E4164" i="2"/>
  <c r="D4164" i="2"/>
  <c r="L4163" i="2"/>
  <c r="E4163" i="2"/>
  <c r="D4163" i="2"/>
  <c r="L4162" i="2"/>
  <c r="E4162" i="2"/>
  <c r="D4162" i="2"/>
  <c r="L4161" i="2"/>
  <c r="E4161" i="2"/>
  <c r="D4161" i="2"/>
  <c r="L4160" i="2"/>
  <c r="E4160" i="2"/>
  <c r="D4160" i="2"/>
  <c r="L4159" i="2"/>
  <c r="E4159" i="2"/>
  <c r="D4159" i="2"/>
  <c r="L4158" i="2"/>
  <c r="E4158" i="2"/>
  <c r="D4158" i="2"/>
  <c r="L4157" i="2"/>
  <c r="E4157" i="2"/>
  <c r="D4157" i="2"/>
  <c r="L4156" i="2"/>
  <c r="E4156" i="2"/>
  <c r="D4156" i="2"/>
  <c r="L4155" i="2"/>
  <c r="E4155" i="2"/>
  <c r="D4155" i="2"/>
  <c r="L4154" i="2"/>
  <c r="E4154" i="2"/>
  <c r="D4154" i="2"/>
  <c r="L4153" i="2"/>
  <c r="E4153" i="2"/>
  <c r="D4153" i="2"/>
  <c r="L4152" i="2"/>
  <c r="E4152" i="2"/>
  <c r="D4152" i="2"/>
  <c r="L4151" i="2"/>
  <c r="E4151" i="2"/>
  <c r="D4151" i="2"/>
  <c r="L4150" i="2"/>
  <c r="E4150" i="2"/>
  <c r="D4150" i="2"/>
  <c r="L4149" i="2"/>
  <c r="E4149" i="2"/>
  <c r="D4149" i="2"/>
  <c r="L4148" i="2"/>
  <c r="E4148" i="2"/>
  <c r="D4148" i="2"/>
  <c r="L4147" i="2"/>
  <c r="E4147" i="2"/>
  <c r="D4147" i="2"/>
  <c r="L4146" i="2"/>
  <c r="E4146" i="2"/>
  <c r="D4146" i="2"/>
  <c r="L4145" i="2"/>
  <c r="E4145" i="2"/>
  <c r="D4145" i="2"/>
  <c r="L4144" i="2"/>
  <c r="E4144" i="2"/>
  <c r="D4144" i="2"/>
  <c r="L4143" i="2"/>
  <c r="E4143" i="2"/>
  <c r="D4143" i="2"/>
  <c r="L4142" i="2"/>
  <c r="E4142" i="2"/>
  <c r="D4142" i="2"/>
  <c r="L4141" i="2"/>
  <c r="E4141" i="2"/>
  <c r="D4141" i="2"/>
  <c r="L4140" i="2"/>
  <c r="E4140" i="2"/>
  <c r="D4140" i="2"/>
  <c r="L4139" i="2"/>
  <c r="E4139" i="2"/>
  <c r="D4139" i="2"/>
  <c r="L4138" i="2"/>
  <c r="E4138" i="2"/>
  <c r="D4138" i="2"/>
  <c r="L4137" i="2"/>
  <c r="E4137" i="2"/>
  <c r="D4137" i="2"/>
  <c r="L4136" i="2"/>
  <c r="E4136" i="2"/>
  <c r="D4136" i="2"/>
  <c r="L4135" i="2"/>
  <c r="E4135" i="2"/>
  <c r="D4135" i="2"/>
  <c r="L4134" i="2"/>
  <c r="E4134" i="2"/>
  <c r="D4134" i="2"/>
  <c r="L4133" i="2"/>
  <c r="E4133" i="2"/>
  <c r="D4133" i="2"/>
  <c r="L4132" i="2"/>
  <c r="E4132" i="2"/>
  <c r="D4132" i="2"/>
  <c r="L4131" i="2"/>
  <c r="E4131" i="2"/>
  <c r="D4131" i="2"/>
  <c r="L4130" i="2"/>
  <c r="E4130" i="2"/>
  <c r="D4130" i="2"/>
  <c r="L4129" i="2"/>
  <c r="E4129" i="2"/>
  <c r="D4129" i="2"/>
  <c r="L4128" i="2"/>
  <c r="E4128" i="2"/>
  <c r="D4128" i="2"/>
  <c r="L4127" i="2"/>
  <c r="E4127" i="2"/>
  <c r="D4127" i="2"/>
  <c r="L4126" i="2"/>
  <c r="E4126" i="2"/>
  <c r="D4126" i="2"/>
  <c r="L4125" i="2"/>
  <c r="E4125" i="2"/>
  <c r="D4125" i="2"/>
  <c r="L4124" i="2"/>
  <c r="E4124" i="2"/>
  <c r="D4124" i="2"/>
  <c r="L4123" i="2"/>
  <c r="E4123" i="2"/>
  <c r="D4123" i="2"/>
  <c r="L4122" i="2"/>
  <c r="E4122" i="2"/>
  <c r="D4122" i="2"/>
  <c r="L4121" i="2"/>
  <c r="E4121" i="2"/>
  <c r="D4121" i="2"/>
  <c r="L4120" i="2"/>
  <c r="E4120" i="2"/>
  <c r="D4120" i="2"/>
  <c r="L4119" i="2"/>
  <c r="E4119" i="2"/>
  <c r="D4119" i="2"/>
  <c r="L4118" i="2"/>
  <c r="E4118" i="2"/>
  <c r="D4118" i="2"/>
  <c r="L4117" i="2"/>
  <c r="E4117" i="2"/>
  <c r="D4117" i="2"/>
  <c r="L4116" i="2"/>
  <c r="E4116" i="2"/>
  <c r="D4116" i="2"/>
  <c r="L4115" i="2"/>
  <c r="E4115" i="2"/>
  <c r="D4115" i="2"/>
  <c r="L4114" i="2"/>
  <c r="E4114" i="2"/>
  <c r="D4114" i="2"/>
  <c r="L4113" i="2"/>
  <c r="E4113" i="2"/>
  <c r="D4113" i="2"/>
  <c r="L4112" i="2"/>
  <c r="E4112" i="2"/>
  <c r="D4112" i="2"/>
  <c r="L4111" i="2"/>
  <c r="E4111" i="2"/>
  <c r="D4111" i="2"/>
  <c r="L4110" i="2"/>
  <c r="E4110" i="2"/>
  <c r="D4110" i="2"/>
  <c r="L4109" i="2"/>
  <c r="E4109" i="2"/>
  <c r="D4109" i="2"/>
  <c r="L4108" i="2"/>
  <c r="E4108" i="2"/>
  <c r="D4108" i="2"/>
  <c r="L4107" i="2"/>
  <c r="E4107" i="2"/>
  <c r="D4107" i="2"/>
  <c r="L4106" i="2"/>
  <c r="E4106" i="2"/>
  <c r="D4106" i="2"/>
  <c r="L4105" i="2"/>
  <c r="E4105" i="2"/>
  <c r="D4105" i="2"/>
  <c r="L4104" i="2"/>
  <c r="E4104" i="2"/>
  <c r="D4104" i="2"/>
  <c r="L4103" i="2"/>
  <c r="E4103" i="2"/>
  <c r="D4103" i="2"/>
  <c r="L4102" i="2"/>
  <c r="E4102" i="2"/>
  <c r="D4102" i="2"/>
  <c r="L4101" i="2"/>
  <c r="E4101" i="2"/>
  <c r="D4101" i="2"/>
  <c r="L4100" i="2"/>
  <c r="E4100" i="2"/>
  <c r="D4100" i="2"/>
  <c r="L4099" i="2"/>
  <c r="E4099" i="2"/>
  <c r="D4099" i="2"/>
  <c r="L4098" i="2"/>
  <c r="E4098" i="2"/>
  <c r="D4098" i="2"/>
  <c r="L4097" i="2"/>
  <c r="E4097" i="2"/>
  <c r="D4097" i="2"/>
  <c r="L4096" i="2"/>
  <c r="E4096" i="2"/>
  <c r="D4096" i="2"/>
  <c r="L4095" i="2"/>
  <c r="E4095" i="2"/>
  <c r="D4095" i="2"/>
  <c r="L4094" i="2"/>
  <c r="E4094" i="2"/>
  <c r="D4094" i="2"/>
  <c r="L4093" i="2"/>
  <c r="E4093" i="2"/>
  <c r="D4093" i="2"/>
  <c r="L4092" i="2"/>
  <c r="E4092" i="2"/>
  <c r="D4092" i="2"/>
  <c r="L4091" i="2"/>
  <c r="E4091" i="2"/>
  <c r="D4091" i="2"/>
  <c r="L4090" i="2"/>
  <c r="E4090" i="2"/>
  <c r="D4090" i="2"/>
  <c r="L4089" i="2"/>
  <c r="E4089" i="2"/>
  <c r="D4089" i="2"/>
  <c r="L4088" i="2"/>
  <c r="E4088" i="2"/>
  <c r="D4088" i="2"/>
  <c r="L4087" i="2"/>
  <c r="E4087" i="2"/>
  <c r="D4087" i="2"/>
  <c r="L4086" i="2"/>
  <c r="E4086" i="2"/>
  <c r="D4086" i="2"/>
  <c r="L4085" i="2"/>
  <c r="E4085" i="2"/>
  <c r="D4085" i="2"/>
  <c r="L4084" i="2"/>
  <c r="E4084" i="2"/>
  <c r="D4084" i="2"/>
  <c r="L4083" i="2"/>
  <c r="E4083" i="2"/>
  <c r="D4083" i="2"/>
  <c r="L4082" i="2"/>
  <c r="E4082" i="2"/>
  <c r="D4082" i="2"/>
  <c r="L4081" i="2"/>
  <c r="E4081" i="2"/>
  <c r="D4081" i="2"/>
  <c r="L4080" i="2"/>
  <c r="E4080" i="2"/>
  <c r="D4080" i="2"/>
  <c r="L4079" i="2"/>
  <c r="E4079" i="2"/>
  <c r="D4079" i="2"/>
  <c r="L4078" i="2"/>
  <c r="E4078" i="2"/>
  <c r="D4078" i="2"/>
  <c r="L4077" i="2"/>
  <c r="E4077" i="2"/>
  <c r="D4077" i="2"/>
  <c r="L4076" i="2"/>
  <c r="E4076" i="2"/>
  <c r="D4076" i="2"/>
  <c r="L4075" i="2"/>
  <c r="E4075" i="2"/>
  <c r="D4075" i="2"/>
  <c r="L4074" i="2"/>
  <c r="E4074" i="2"/>
  <c r="D4074" i="2"/>
  <c r="L4073" i="2"/>
  <c r="E4073" i="2"/>
  <c r="D4073" i="2"/>
  <c r="L4072" i="2"/>
  <c r="E4072" i="2"/>
  <c r="D4072" i="2"/>
  <c r="L4071" i="2"/>
  <c r="E4071" i="2"/>
  <c r="D4071" i="2"/>
  <c r="L4070" i="2"/>
  <c r="E4070" i="2"/>
  <c r="D4070" i="2"/>
  <c r="L4069" i="2"/>
  <c r="E4069" i="2"/>
  <c r="D4069" i="2"/>
  <c r="L4068" i="2"/>
  <c r="E4068" i="2"/>
  <c r="D4068" i="2"/>
  <c r="L4067" i="2"/>
  <c r="E4067" i="2"/>
  <c r="D4067" i="2"/>
  <c r="L4066" i="2"/>
  <c r="E4066" i="2"/>
  <c r="D4066" i="2"/>
  <c r="L4065" i="2"/>
  <c r="E4065" i="2"/>
  <c r="D4065" i="2"/>
  <c r="L4064" i="2"/>
  <c r="E4064" i="2"/>
  <c r="D4064" i="2"/>
  <c r="L4063" i="2"/>
  <c r="E4063" i="2"/>
  <c r="D4063" i="2"/>
  <c r="L4062" i="2"/>
  <c r="E4062" i="2"/>
  <c r="D4062" i="2"/>
  <c r="L4061" i="2"/>
  <c r="E4061" i="2"/>
  <c r="D4061" i="2"/>
  <c r="L4060" i="2"/>
  <c r="E4060" i="2"/>
  <c r="D4060" i="2"/>
  <c r="L4059" i="2"/>
  <c r="E4059" i="2"/>
  <c r="D4059" i="2"/>
  <c r="L4058" i="2"/>
  <c r="E4058" i="2"/>
  <c r="D4058" i="2"/>
  <c r="L4057" i="2"/>
  <c r="E4057" i="2"/>
  <c r="D4057" i="2"/>
  <c r="L4056" i="2"/>
  <c r="E4056" i="2"/>
  <c r="D4056" i="2"/>
  <c r="L4055" i="2"/>
  <c r="E4055" i="2"/>
  <c r="D4055" i="2"/>
  <c r="L4054" i="2"/>
  <c r="E4054" i="2"/>
  <c r="D4054" i="2"/>
  <c r="L4053" i="2"/>
  <c r="E4053" i="2"/>
  <c r="D4053" i="2"/>
  <c r="L4052" i="2"/>
  <c r="E4052" i="2"/>
  <c r="D4052" i="2"/>
  <c r="L4051" i="2"/>
  <c r="E4051" i="2"/>
  <c r="D4051" i="2"/>
  <c r="L4050" i="2"/>
  <c r="E4050" i="2"/>
  <c r="D4050" i="2"/>
  <c r="L4049" i="2"/>
  <c r="E4049" i="2"/>
  <c r="D4049" i="2"/>
  <c r="L4048" i="2"/>
  <c r="E4048" i="2"/>
  <c r="D4048" i="2"/>
  <c r="L4047" i="2"/>
  <c r="E4047" i="2"/>
  <c r="D4047" i="2"/>
  <c r="L4046" i="2"/>
  <c r="E4046" i="2"/>
  <c r="D4046" i="2"/>
  <c r="L4045" i="2"/>
  <c r="E4045" i="2"/>
  <c r="D4045" i="2"/>
  <c r="L4044" i="2"/>
  <c r="E4044" i="2"/>
  <c r="D4044" i="2"/>
  <c r="L4043" i="2"/>
  <c r="E4043" i="2"/>
  <c r="D4043" i="2"/>
  <c r="L4042" i="2"/>
  <c r="E4042" i="2"/>
  <c r="D4042" i="2"/>
  <c r="L4041" i="2"/>
  <c r="E4041" i="2"/>
  <c r="D4041" i="2"/>
  <c r="L4040" i="2"/>
  <c r="E4040" i="2"/>
  <c r="D4040" i="2"/>
  <c r="L4039" i="2"/>
  <c r="E4039" i="2"/>
  <c r="D4039" i="2"/>
  <c r="L4038" i="2"/>
  <c r="E4038" i="2"/>
  <c r="D4038" i="2"/>
  <c r="L4037" i="2"/>
  <c r="E4037" i="2"/>
  <c r="D4037" i="2"/>
  <c r="L4036" i="2"/>
  <c r="E4036" i="2"/>
  <c r="D4036" i="2"/>
  <c r="L4035" i="2"/>
  <c r="E4035" i="2"/>
  <c r="D4035" i="2"/>
  <c r="L4034" i="2"/>
  <c r="E4034" i="2"/>
  <c r="D4034" i="2"/>
  <c r="L4033" i="2"/>
  <c r="E4033" i="2"/>
  <c r="D4033" i="2"/>
  <c r="L4032" i="2"/>
  <c r="E4032" i="2"/>
  <c r="D4032" i="2"/>
  <c r="L4031" i="2"/>
  <c r="E4031" i="2"/>
  <c r="D4031" i="2"/>
  <c r="L4030" i="2"/>
  <c r="E4030" i="2"/>
  <c r="D4030" i="2"/>
  <c r="L4029" i="2"/>
  <c r="E4029" i="2"/>
  <c r="D4029" i="2"/>
  <c r="L4028" i="2"/>
  <c r="E4028" i="2"/>
  <c r="D4028" i="2"/>
  <c r="L4027" i="2"/>
  <c r="E4027" i="2"/>
  <c r="D4027" i="2"/>
  <c r="L4026" i="2"/>
  <c r="E4026" i="2"/>
  <c r="D4026" i="2"/>
  <c r="L4025" i="2"/>
  <c r="E4025" i="2"/>
  <c r="D4025" i="2"/>
  <c r="L4024" i="2"/>
  <c r="E4024" i="2"/>
  <c r="D4024" i="2"/>
  <c r="L4023" i="2"/>
  <c r="E4023" i="2"/>
  <c r="D4023" i="2"/>
  <c r="L4022" i="2"/>
  <c r="E4022" i="2"/>
  <c r="D4022" i="2"/>
  <c r="L4021" i="2"/>
  <c r="E4021" i="2"/>
  <c r="D4021" i="2"/>
  <c r="L4020" i="2"/>
  <c r="E4020" i="2"/>
  <c r="D4020" i="2"/>
  <c r="L4019" i="2"/>
  <c r="E4019" i="2"/>
  <c r="D4019" i="2"/>
  <c r="L4018" i="2"/>
  <c r="E4018" i="2"/>
  <c r="D4018" i="2"/>
  <c r="L4017" i="2"/>
  <c r="E4017" i="2"/>
  <c r="D4017" i="2"/>
  <c r="L4016" i="2"/>
  <c r="E4016" i="2"/>
  <c r="D4016" i="2"/>
  <c r="L4015" i="2"/>
  <c r="E4015" i="2"/>
  <c r="D4015" i="2"/>
  <c r="L4014" i="2"/>
  <c r="E4014" i="2"/>
  <c r="D4014" i="2"/>
  <c r="L4013" i="2"/>
  <c r="E4013" i="2"/>
  <c r="D4013" i="2"/>
  <c r="L4012" i="2"/>
  <c r="E4012" i="2"/>
  <c r="D4012" i="2"/>
  <c r="L4011" i="2"/>
  <c r="E4011" i="2"/>
  <c r="D4011" i="2"/>
  <c r="L4010" i="2"/>
  <c r="E4010" i="2"/>
  <c r="D4010" i="2"/>
  <c r="L4009" i="2"/>
  <c r="E4009" i="2"/>
  <c r="D4009" i="2"/>
  <c r="L4008" i="2"/>
  <c r="E4008" i="2"/>
  <c r="D4008" i="2"/>
  <c r="L4007" i="2"/>
  <c r="E4007" i="2"/>
  <c r="D4007" i="2"/>
  <c r="L4006" i="2"/>
  <c r="E4006" i="2"/>
  <c r="D4006" i="2"/>
  <c r="L4005" i="2"/>
  <c r="E4005" i="2"/>
  <c r="D4005" i="2"/>
  <c r="L4004" i="2"/>
  <c r="E4004" i="2"/>
  <c r="D4004" i="2"/>
  <c r="L4003" i="2"/>
  <c r="E4003" i="2"/>
  <c r="D4003" i="2"/>
  <c r="L4002" i="2"/>
  <c r="E4002" i="2"/>
  <c r="D4002" i="2"/>
  <c r="L4001" i="2"/>
  <c r="E4001" i="2"/>
  <c r="D4001" i="2"/>
  <c r="L4000" i="2"/>
  <c r="E4000" i="2"/>
  <c r="D4000" i="2"/>
  <c r="L3999" i="2"/>
  <c r="E3999" i="2"/>
  <c r="D3999" i="2"/>
  <c r="L3998" i="2"/>
  <c r="E3998" i="2"/>
  <c r="D3998" i="2"/>
  <c r="L3997" i="2"/>
  <c r="E3997" i="2"/>
  <c r="D3997" i="2"/>
  <c r="L3996" i="2"/>
  <c r="E3996" i="2"/>
  <c r="D3996" i="2"/>
  <c r="L3995" i="2"/>
  <c r="E3995" i="2"/>
  <c r="D3995" i="2"/>
  <c r="L3994" i="2"/>
  <c r="E3994" i="2"/>
  <c r="D3994" i="2"/>
  <c r="L3993" i="2"/>
  <c r="E3993" i="2"/>
  <c r="D3993" i="2"/>
  <c r="L3992" i="2"/>
  <c r="E3992" i="2"/>
  <c r="D3992" i="2"/>
  <c r="L3991" i="2"/>
  <c r="E3991" i="2"/>
  <c r="D3991" i="2"/>
  <c r="L3990" i="2"/>
  <c r="E3990" i="2"/>
  <c r="D3990" i="2"/>
  <c r="L3989" i="2"/>
  <c r="E3989" i="2"/>
  <c r="D3989" i="2"/>
  <c r="L3988" i="2"/>
  <c r="E3988" i="2"/>
  <c r="D3988" i="2"/>
  <c r="L3987" i="2"/>
  <c r="E3987" i="2"/>
  <c r="D3987" i="2"/>
  <c r="L3986" i="2"/>
  <c r="E3986" i="2"/>
  <c r="D3986" i="2"/>
  <c r="L3985" i="2"/>
  <c r="E3985" i="2"/>
  <c r="D3985" i="2"/>
  <c r="L3984" i="2"/>
  <c r="E3984" i="2"/>
  <c r="D3984" i="2"/>
  <c r="L3983" i="2"/>
  <c r="E3983" i="2"/>
  <c r="D3983" i="2"/>
  <c r="L3982" i="2"/>
  <c r="E3982" i="2"/>
  <c r="D3982" i="2"/>
  <c r="L3981" i="2"/>
  <c r="E3981" i="2"/>
  <c r="D3981" i="2"/>
  <c r="L3980" i="2"/>
  <c r="E3980" i="2"/>
  <c r="D3980" i="2"/>
  <c r="L3979" i="2"/>
  <c r="E3979" i="2"/>
  <c r="D3979" i="2"/>
  <c r="L3978" i="2"/>
  <c r="E3978" i="2"/>
  <c r="D3978" i="2"/>
  <c r="L3977" i="2"/>
  <c r="E3977" i="2"/>
  <c r="D3977" i="2"/>
  <c r="L3976" i="2"/>
  <c r="E3976" i="2"/>
  <c r="D3976" i="2"/>
  <c r="L3975" i="2"/>
  <c r="E3975" i="2"/>
  <c r="D3975" i="2"/>
  <c r="L3974" i="2"/>
  <c r="E3974" i="2"/>
  <c r="D3974" i="2"/>
  <c r="L3973" i="2"/>
  <c r="E3973" i="2"/>
  <c r="D3973" i="2"/>
  <c r="L3972" i="2"/>
  <c r="E3972" i="2"/>
  <c r="D3972" i="2"/>
  <c r="L3971" i="2"/>
  <c r="E3971" i="2"/>
  <c r="D3971" i="2"/>
  <c r="L3970" i="2"/>
  <c r="E3970" i="2"/>
  <c r="D3970" i="2"/>
  <c r="L3969" i="2"/>
  <c r="E3969" i="2"/>
  <c r="D3969" i="2"/>
  <c r="L3968" i="2"/>
  <c r="E3968" i="2"/>
  <c r="D3968" i="2"/>
  <c r="L3967" i="2"/>
  <c r="E3967" i="2"/>
  <c r="D3967" i="2"/>
  <c r="L3966" i="2"/>
  <c r="E3966" i="2"/>
  <c r="D3966" i="2"/>
  <c r="L3965" i="2"/>
  <c r="E3965" i="2"/>
  <c r="D3965" i="2"/>
  <c r="L3964" i="2"/>
  <c r="E3964" i="2"/>
  <c r="D3964" i="2"/>
  <c r="L3963" i="2"/>
  <c r="E3963" i="2"/>
  <c r="D3963" i="2"/>
  <c r="L3962" i="2"/>
  <c r="E3962" i="2"/>
  <c r="D3962" i="2"/>
  <c r="L3961" i="2"/>
  <c r="E3961" i="2"/>
  <c r="D3961" i="2"/>
  <c r="L3960" i="2"/>
  <c r="E3960" i="2"/>
  <c r="D3960" i="2"/>
  <c r="L3959" i="2"/>
  <c r="E3959" i="2"/>
  <c r="D3959" i="2"/>
  <c r="L3958" i="2"/>
  <c r="E3958" i="2"/>
  <c r="D3958" i="2"/>
  <c r="L3957" i="2"/>
  <c r="E3957" i="2"/>
  <c r="D3957" i="2"/>
  <c r="L3956" i="2"/>
  <c r="E3956" i="2"/>
  <c r="D3956" i="2"/>
  <c r="L3955" i="2"/>
  <c r="E3955" i="2"/>
  <c r="D3955" i="2"/>
  <c r="L3954" i="2"/>
  <c r="E3954" i="2"/>
  <c r="D3954" i="2"/>
  <c r="L3953" i="2"/>
  <c r="E3953" i="2"/>
  <c r="D3953" i="2"/>
  <c r="L3952" i="2"/>
  <c r="E3952" i="2"/>
  <c r="D3952" i="2"/>
  <c r="L3951" i="2"/>
  <c r="E3951" i="2"/>
  <c r="D3951" i="2"/>
  <c r="L3950" i="2"/>
  <c r="E3950" i="2"/>
  <c r="D3950" i="2"/>
  <c r="L3949" i="2"/>
  <c r="E3949" i="2"/>
  <c r="D3949" i="2"/>
  <c r="L3948" i="2"/>
  <c r="E3948" i="2"/>
  <c r="D3948" i="2"/>
  <c r="L3947" i="2"/>
  <c r="E3947" i="2"/>
  <c r="D3947" i="2"/>
  <c r="L3946" i="2"/>
  <c r="E3946" i="2"/>
  <c r="D3946" i="2"/>
  <c r="L3945" i="2"/>
  <c r="E3945" i="2"/>
  <c r="D3945" i="2"/>
  <c r="L3944" i="2"/>
  <c r="E3944" i="2"/>
  <c r="D3944" i="2"/>
  <c r="L3943" i="2"/>
  <c r="E3943" i="2"/>
  <c r="D3943" i="2"/>
  <c r="L3942" i="2"/>
  <c r="E3942" i="2"/>
  <c r="D3942" i="2"/>
  <c r="L3941" i="2"/>
  <c r="E3941" i="2"/>
  <c r="D3941" i="2"/>
  <c r="L3940" i="2"/>
  <c r="E3940" i="2"/>
  <c r="D3940" i="2"/>
  <c r="L3939" i="2"/>
  <c r="E3939" i="2"/>
  <c r="D3939" i="2"/>
  <c r="L3938" i="2"/>
  <c r="E3938" i="2"/>
  <c r="D3938" i="2"/>
  <c r="L3937" i="2"/>
  <c r="E3937" i="2"/>
  <c r="D3937" i="2"/>
  <c r="L3936" i="2"/>
  <c r="E3936" i="2"/>
  <c r="D3936" i="2"/>
  <c r="L3935" i="2"/>
  <c r="E3935" i="2"/>
  <c r="D3935" i="2"/>
  <c r="L3934" i="2"/>
  <c r="E3934" i="2"/>
  <c r="D3934" i="2"/>
  <c r="L3933" i="2"/>
  <c r="E3933" i="2"/>
  <c r="D3933" i="2"/>
  <c r="L3932" i="2"/>
  <c r="E3932" i="2"/>
  <c r="D3932" i="2"/>
  <c r="L3931" i="2"/>
  <c r="E3931" i="2"/>
  <c r="D3931" i="2"/>
  <c r="L3930" i="2"/>
  <c r="E3930" i="2"/>
  <c r="D3930" i="2"/>
  <c r="L3929" i="2"/>
  <c r="E3929" i="2"/>
  <c r="D3929" i="2"/>
  <c r="L3928" i="2"/>
  <c r="E3928" i="2"/>
  <c r="D3928" i="2"/>
  <c r="L3927" i="2"/>
  <c r="E3927" i="2"/>
  <c r="D3927" i="2"/>
  <c r="L3926" i="2"/>
  <c r="E3926" i="2"/>
  <c r="D3926" i="2"/>
  <c r="L3925" i="2"/>
  <c r="E3925" i="2"/>
  <c r="D3925" i="2"/>
  <c r="L3924" i="2"/>
  <c r="E3924" i="2"/>
  <c r="D3924" i="2"/>
  <c r="L3923" i="2"/>
  <c r="E3923" i="2"/>
  <c r="D3923" i="2"/>
  <c r="L3922" i="2"/>
  <c r="E3922" i="2"/>
  <c r="D3922" i="2"/>
  <c r="L3921" i="2"/>
  <c r="E3921" i="2"/>
  <c r="D3921" i="2"/>
  <c r="L3920" i="2"/>
  <c r="E3920" i="2"/>
  <c r="D3920" i="2"/>
  <c r="L3919" i="2"/>
  <c r="E3919" i="2"/>
  <c r="D3919" i="2"/>
  <c r="L3918" i="2"/>
  <c r="E3918" i="2"/>
  <c r="D3918" i="2"/>
  <c r="L3917" i="2"/>
  <c r="E3917" i="2"/>
  <c r="D3917" i="2"/>
  <c r="L3916" i="2"/>
  <c r="E3916" i="2"/>
  <c r="D3916" i="2"/>
  <c r="L3915" i="2"/>
  <c r="E3915" i="2"/>
  <c r="D3915" i="2"/>
  <c r="L3914" i="2"/>
  <c r="E3914" i="2"/>
  <c r="D3914" i="2"/>
  <c r="L3913" i="2"/>
  <c r="E3913" i="2"/>
  <c r="D3913" i="2"/>
  <c r="L3912" i="2"/>
  <c r="E3912" i="2"/>
  <c r="D3912" i="2"/>
  <c r="L3911" i="2"/>
  <c r="E3911" i="2"/>
  <c r="D3911" i="2"/>
  <c r="L3910" i="2"/>
  <c r="E3910" i="2"/>
  <c r="D3910" i="2"/>
  <c r="L3909" i="2"/>
  <c r="E3909" i="2"/>
  <c r="D3909" i="2"/>
  <c r="L3908" i="2"/>
  <c r="E3908" i="2"/>
  <c r="D3908" i="2"/>
  <c r="L3907" i="2"/>
  <c r="E3907" i="2"/>
  <c r="D3907" i="2"/>
  <c r="L3906" i="2"/>
  <c r="E3906" i="2"/>
  <c r="D3906" i="2"/>
  <c r="L3905" i="2"/>
  <c r="E3905" i="2"/>
  <c r="D3905" i="2"/>
  <c r="L3904" i="2"/>
  <c r="E3904" i="2"/>
  <c r="D3904" i="2"/>
  <c r="L3903" i="2"/>
  <c r="E3903" i="2"/>
  <c r="D3903" i="2"/>
  <c r="L3902" i="2"/>
  <c r="E3902" i="2"/>
  <c r="D3902" i="2"/>
  <c r="L3901" i="2"/>
  <c r="E3901" i="2"/>
  <c r="D3901" i="2"/>
  <c r="L3900" i="2"/>
  <c r="E3900" i="2"/>
  <c r="D3900" i="2"/>
  <c r="L3899" i="2"/>
  <c r="E3899" i="2"/>
  <c r="D3899" i="2"/>
  <c r="L3898" i="2"/>
  <c r="E3898" i="2"/>
  <c r="D3898" i="2"/>
  <c r="L3897" i="2"/>
  <c r="E3897" i="2"/>
  <c r="D3897" i="2"/>
  <c r="L3896" i="2"/>
  <c r="E3896" i="2"/>
  <c r="D3896" i="2"/>
  <c r="L3895" i="2"/>
  <c r="E3895" i="2"/>
  <c r="D3895" i="2"/>
  <c r="L3894" i="2"/>
  <c r="E3894" i="2"/>
  <c r="D3894" i="2"/>
  <c r="L3893" i="2"/>
  <c r="E3893" i="2"/>
  <c r="D3893" i="2"/>
  <c r="L3892" i="2"/>
  <c r="E3892" i="2"/>
  <c r="D3892" i="2"/>
  <c r="L3891" i="2"/>
  <c r="E3891" i="2"/>
  <c r="D3891" i="2"/>
  <c r="L3890" i="2"/>
  <c r="E3890" i="2"/>
  <c r="D3890" i="2"/>
  <c r="L3889" i="2"/>
  <c r="E3889" i="2"/>
  <c r="D3889" i="2"/>
  <c r="L3888" i="2"/>
  <c r="E3888" i="2"/>
  <c r="D3888" i="2"/>
  <c r="L3887" i="2"/>
  <c r="E3887" i="2"/>
  <c r="D3887" i="2"/>
  <c r="L3886" i="2"/>
  <c r="E3886" i="2"/>
  <c r="D3886" i="2"/>
  <c r="L3885" i="2"/>
  <c r="E3885" i="2"/>
  <c r="D3885" i="2"/>
  <c r="L3884" i="2"/>
  <c r="E3884" i="2"/>
  <c r="D3884" i="2"/>
  <c r="L3883" i="2"/>
  <c r="E3883" i="2"/>
  <c r="D3883" i="2"/>
  <c r="L3882" i="2"/>
  <c r="E3882" i="2"/>
  <c r="D3882" i="2"/>
  <c r="L3881" i="2"/>
  <c r="E3881" i="2"/>
  <c r="D3881" i="2"/>
  <c r="L3880" i="2"/>
  <c r="E3880" i="2"/>
  <c r="D3880" i="2"/>
  <c r="L3879" i="2"/>
  <c r="E3879" i="2"/>
  <c r="D3879" i="2"/>
  <c r="L3878" i="2"/>
  <c r="E3878" i="2"/>
  <c r="D3878" i="2"/>
  <c r="L3877" i="2"/>
  <c r="E3877" i="2"/>
  <c r="D3877" i="2"/>
  <c r="L3876" i="2"/>
  <c r="E3876" i="2"/>
  <c r="D3876" i="2"/>
  <c r="L3875" i="2"/>
  <c r="E3875" i="2"/>
  <c r="D3875" i="2"/>
  <c r="L3874" i="2"/>
  <c r="E3874" i="2"/>
  <c r="D3874" i="2"/>
  <c r="L3873" i="2"/>
  <c r="E3873" i="2"/>
  <c r="D3873" i="2"/>
  <c r="L3872" i="2"/>
  <c r="E3872" i="2"/>
  <c r="D3872" i="2"/>
  <c r="L3871" i="2"/>
  <c r="E3871" i="2"/>
  <c r="D3871" i="2"/>
  <c r="L3870" i="2"/>
  <c r="E3870" i="2"/>
  <c r="D3870" i="2"/>
  <c r="L3869" i="2"/>
  <c r="E3869" i="2"/>
  <c r="D3869" i="2"/>
  <c r="L3868" i="2"/>
  <c r="E3868" i="2"/>
  <c r="D3868" i="2"/>
  <c r="L3867" i="2"/>
  <c r="E3867" i="2"/>
  <c r="D3867" i="2"/>
  <c r="L3866" i="2"/>
  <c r="E3866" i="2"/>
  <c r="D3866" i="2"/>
  <c r="L3865" i="2"/>
  <c r="E3865" i="2"/>
  <c r="D3865" i="2"/>
  <c r="L3864" i="2"/>
  <c r="E3864" i="2"/>
  <c r="D3864" i="2"/>
  <c r="L3863" i="2"/>
  <c r="E3863" i="2"/>
  <c r="D3863" i="2"/>
  <c r="L3862" i="2"/>
  <c r="E3862" i="2"/>
  <c r="D3862" i="2"/>
  <c r="L3861" i="2"/>
  <c r="E3861" i="2"/>
  <c r="D3861" i="2"/>
  <c r="L3860" i="2"/>
  <c r="E3860" i="2"/>
  <c r="D3860" i="2"/>
  <c r="L3859" i="2"/>
  <c r="E3859" i="2"/>
  <c r="D3859" i="2"/>
  <c r="L3858" i="2"/>
  <c r="E3858" i="2"/>
  <c r="D3858" i="2"/>
  <c r="L3857" i="2"/>
  <c r="E3857" i="2"/>
  <c r="D3857" i="2"/>
  <c r="L3856" i="2"/>
  <c r="E3856" i="2"/>
  <c r="D3856" i="2"/>
  <c r="L3855" i="2"/>
  <c r="E3855" i="2"/>
  <c r="D3855" i="2"/>
  <c r="L3854" i="2"/>
  <c r="E3854" i="2"/>
  <c r="D3854" i="2"/>
  <c r="L3853" i="2"/>
  <c r="E3853" i="2"/>
  <c r="D3853" i="2"/>
  <c r="L3852" i="2"/>
  <c r="E3852" i="2"/>
  <c r="D3852" i="2"/>
  <c r="L3851" i="2"/>
  <c r="E3851" i="2"/>
  <c r="D3851" i="2"/>
  <c r="L3850" i="2"/>
  <c r="E3850" i="2"/>
  <c r="D3850" i="2"/>
  <c r="L3849" i="2"/>
  <c r="E3849" i="2"/>
  <c r="D3849" i="2"/>
  <c r="L3848" i="2"/>
  <c r="E3848" i="2"/>
  <c r="D3848" i="2"/>
  <c r="L3847" i="2"/>
  <c r="E3847" i="2"/>
  <c r="D3847" i="2"/>
  <c r="L3846" i="2"/>
  <c r="E3846" i="2"/>
  <c r="D3846" i="2"/>
  <c r="L3845" i="2"/>
  <c r="E3845" i="2"/>
  <c r="D3845" i="2"/>
  <c r="L3844" i="2"/>
  <c r="E3844" i="2"/>
  <c r="D3844" i="2"/>
  <c r="L3843" i="2"/>
  <c r="E3843" i="2"/>
  <c r="D3843" i="2"/>
  <c r="L3842" i="2"/>
  <c r="E3842" i="2"/>
  <c r="D3842" i="2"/>
  <c r="L3841" i="2"/>
  <c r="E3841" i="2"/>
  <c r="D3841" i="2"/>
  <c r="L3840" i="2"/>
  <c r="E3840" i="2"/>
  <c r="D3840" i="2"/>
  <c r="L3839" i="2"/>
  <c r="E3839" i="2"/>
  <c r="D3839" i="2"/>
  <c r="L3838" i="2"/>
  <c r="E3838" i="2"/>
  <c r="D3838" i="2"/>
  <c r="L3837" i="2"/>
  <c r="E3837" i="2"/>
  <c r="D3837" i="2"/>
  <c r="L3836" i="2"/>
  <c r="E3836" i="2"/>
  <c r="D3836" i="2"/>
  <c r="L3835" i="2"/>
  <c r="E3835" i="2"/>
  <c r="D3835" i="2"/>
  <c r="L3834" i="2"/>
  <c r="E3834" i="2"/>
  <c r="D3834" i="2"/>
  <c r="L3833" i="2"/>
  <c r="E3833" i="2"/>
  <c r="D3833" i="2"/>
  <c r="L3832" i="2"/>
  <c r="E3832" i="2"/>
  <c r="D3832" i="2"/>
  <c r="L3831" i="2"/>
  <c r="E3831" i="2"/>
  <c r="D3831" i="2"/>
  <c r="L3830" i="2"/>
  <c r="E3830" i="2"/>
  <c r="D3830" i="2"/>
  <c r="L3829" i="2"/>
  <c r="E3829" i="2"/>
  <c r="D3829" i="2"/>
  <c r="L3828" i="2"/>
  <c r="E3828" i="2"/>
  <c r="D3828" i="2"/>
  <c r="L3827" i="2"/>
  <c r="E3827" i="2"/>
  <c r="D3827" i="2"/>
  <c r="L3826" i="2"/>
  <c r="E3826" i="2"/>
  <c r="D3826" i="2"/>
  <c r="L3825" i="2"/>
  <c r="E3825" i="2"/>
  <c r="D3825" i="2"/>
  <c r="L3824" i="2"/>
  <c r="E3824" i="2"/>
  <c r="D3824" i="2"/>
  <c r="L3823" i="2"/>
  <c r="E3823" i="2"/>
  <c r="D3823" i="2"/>
  <c r="L3822" i="2"/>
  <c r="E3822" i="2"/>
  <c r="D3822" i="2"/>
  <c r="L3821" i="2"/>
  <c r="E3821" i="2"/>
  <c r="D3821" i="2"/>
  <c r="L3820" i="2"/>
  <c r="E3820" i="2"/>
  <c r="D3820" i="2"/>
  <c r="L3819" i="2"/>
  <c r="E3819" i="2"/>
  <c r="D3819" i="2"/>
  <c r="L3818" i="2"/>
  <c r="E3818" i="2"/>
  <c r="D3818" i="2"/>
  <c r="L3817" i="2"/>
  <c r="E3817" i="2"/>
  <c r="D3817" i="2"/>
  <c r="L3816" i="2"/>
  <c r="E3816" i="2"/>
  <c r="D3816" i="2"/>
  <c r="L3815" i="2"/>
  <c r="E3815" i="2"/>
  <c r="D3815" i="2"/>
  <c r="L3814" i="2"/>
  <c r="E3814" i="2"/>
  <c r="D3814" i="2"/>
  <c r="L3813" i="2"/>
  <c r="E3813" i="2"/>
  <c r="D3813" i="2"/>
  <c r="L3812" i="2"/>
  <c r="E3812" i="2"/>
  <c r="D3812" i="2"/>
  <c r="L3811" i="2"/>
  <c r="E3811" i="2"/>
  <c r="D3811" i="2"/>
  <c r="L3810" i="2"/>
  <c r="E3810" i="2"/>
  <c r="D3810" i="2"/>
  <c r="L3809" i="2"/>
  <c r="E3809" i="2"/>
  <c r="D3809" i="2"/>
  <c r="L3808" i="2"/>
  <c r="E3808" i="2"/>
  <c r="D3808" i="2"/>
  <c r="L3807" i="2"/>
  <c r="E3807" i="2"/>
  <c r="D3807" i="2"/>
  <c r="L3806" i="2"/>
  <c r="E3806" i="2"/>
  <c r="D3806" i="2"/>
  <c r="L3805" i="2"/>
  <c r="E3805" i="2"/>
  <c r="D3805" i="2"/>
  <c r="L3804" i="2"/>
  <c r="E3804" i="2"/>
  <c r="D3804" i="2"/>
  <c r="L3803" i="2"/>
  <c r="E3803" i="2"/>
  <c r="D3803" i="2"/>
  <c r="L3802" i="2"/>
  <c r="E3802" i="2"/>
  <c r="D3802" i="2"/>
  <c r="L3801" i="2"/>
  <c r="E3801" i="2"/>
  <c r="D3801" i="2"/>
  <c r="L3800" i="2"/>
  <c r="E3800" i="2"/>
  <c r="D3800" i="2"/>
  <c r="L3799" i="2"/>
  <c r="E3799" i="2"/>
  <c r="D3799" i="2"/>
  <c r="L3798" i="2"/>
  <c r="E3798" i="2"/>
  <c r="D3798" i="2"/>
  <c r="L3797" i="2"/>
  <c r="E3797" i="2"/>
  <c r="D3797" i="2"/>
  <c r="L3796" i="2"/>
  <c r="E3796" i="2"/>
  <c r="D3796" i="2"/>
  <c r="L3795" i="2"/>
  <c r="E3795" i="2"/>
  <c r="D3795" i="2"/>
  <c r="L3794" i="2"/>
  <c r="E3794" i="2"/>
  <c r="D3794" i="2"/>
  <c r="L3793" i="2"/>
  <c r="E3793" i="2"/>
  <c r="D3793" i="2"/>
  <c r="L3792" i="2"/>
  <c r="E3792" i="2"/>
  <c r="D3792" i="2"/>
  <c r="L3791" i="2"/>
  <c r="E3791" i="2"/>
  <c r="D3791" i="2"/>
  <c r="L3790" i="2"/>
  <c r="E3790" i="2"/>
  <c r="D3790" i="2"/>
  <c r="L3789" i="2"/>
  <c r="E3789" i="2"/>
  <c r="D3789" i="2"/>
  <c r="L3788" i="2"/>
  <c r="E3788" i="2"/>
  <c r="D3788" i="2"/>
  <c r="L3787" i="2"/>
  <c r="E3787" i="2"/>
  <c r="D3787" i="2"/>
  <c r="L3786" i="2"/>
  <c r="E3786" i="2"/>
  <c r="D3786" i="2"/>
  <c r="L3785" i="2"/>
  <c r="E3785" i="2"/>
  <c r="D3785" i="2"/>
  <c r="L3784" i="2"/>
  <c r="E3784" i="2"/>
  <c r="D3784" i="2"/>
  <c r="L3783" i="2"/>
  <c r="E3783" i="2"/>
  <c r="D3783" i="2"/>
  <c r="L3782" i="2"/>
  <c r="E3782" i="2"/>
  <c r="D3782" i="2"/>
  <c r="L3781" i="2"/>
  <c r="E3781" i="2"/>
  <c r="D3781" i="2"/>
  <c r="L3780" i="2"/>
  <c r="E3780" i="2"/>
  <c r="D3780" i="2"/>
  <c r="L3779" i="2"/>
  <c r="E3779" i="2"/>
  <c r="D3779" i="2"/>
  <c r="L3778" i="2"/>
  <c r="E3778" i="2"/>
  <c r="D3778" i="2"/>
  <c r="L3777" i="2"/>
  <c r="E3777" i="2"/>
  <c r="D3777" i="2"/>
  <c r="L3776" i="2"/>
  <c r="E3776" i="2"/>
  <c r="D3776" i="2"/>
  <c r="L3775" i="2"/>
  <c r="E3775" i="2"/>
  <c r="D3775" i="2"/>
  <c r="L3774" i="2"/>
  <c r="E3774" i="2"/>
  <c r="D3774" i="2"/>
  <c r="L3773" i="2"/>
  <c r="E3773" i="2"/>
  <c r="D3773" i="2"/>
  <c r="L3772" i="2"/>
  <c r="E3772" i="2"/>
  <c r="D3772" i="2"/>
  <c r="L3771" i="2"/>
  <c r="E3771" i="2"/>
  <c r="D3771" i="2"/>
  <c r="L3770" i="2"/>
  <c r="E3770" i="2"/>
  <c r="D3770" i="2"/>
  <c r="L3769" i="2"/>
  <c r="E3769" i="2"/>
  <c r="D3769" i="2"/>
  <c r="L3768" i="2"/>
  <c r="E3768" i="2"/>
  <c r="D3768" i="2"/>
  <c r="L3767" i="2"/>
  <c r="E3767" i="2"/>
  <c r="D3767" i="2"/>
  <c r="L3766" i="2"/>
  <c r="E3766" i="2"/>
  <c r="D3766" i="2"/>
  <c r="L3765" i="2"/>
  <c r="E3765" i="2"/>
  <c r="D3765" i="2"/>
  <c r="L3764" i="2"/>
  <c r="E3764" i="2"/>
  <c r="D3764" i="2"/>
  <c r="L3763" i="2"/>
  <c r="E3763" i="2"/>
  <c r="D3763" i="2"/>
  <c r="L3762" i="2"/>
  <c r="E3762" i="2"/>
  <c r="D3762" i="2"/>
  <c r="L3761" i="2"/>
  <c r="E3761" i="2"/>
  <c r="D3761" i="2"/>
  <c r="L3760" i="2"/>
  <c r="E3760" i="2"/>
  <c r="D3760" i="2"/>
  <c r="L3759" i="2"/>
  <c r="E3759" i="2"/>
  <c r="D3759" i="2"/>
  <c r="L3758" i="2"/>
  <c r="E3758" i="2"/>
  <c r="D3758" i="2"/>
  <c r="L3757" i="2"/>
  <c r="E3757" i="2"/>
  <c r="D3757" i="2"/>
  <c r="L3756" i="2"/>
  <c r="E3756" i="2"/>
  <c r="D3756" i="2"/>
  <c r="L3755" i="2"/>
  <c r="E3755" i="2"/>
  <c r="D3755" i="2"/>
  <c r="L3754" i="2"/>
  <c r="E3754" i="2"/>
  <c r="D3754" i="2"/>
  <c r="L3753" i="2"/>
  <c r="E3753" i="2"/>
  <c r="D3753" i="2"/>
  <c r="L3752" i="2"/>
  <c r="E3752" i="2"/>
  <c r="D3752" i="2"/>
  <c r="L3751" i="2"/>
  <c r="E3751" i="2"/>
  <c r="D3751" i="2"/>
  <c r="L3750" i="2"/>
  <c r="E3750" i="2"/>
  <c r="D3750" i="2"/>
  <c r="L3749" i="2"/>
  <c r="E3749" i="2"/>
  <c r="D3749" i="2"/>
  <c r="L3748" i="2"/>
  <c r="E3748" i="2"/>
  <c r="D3748" i="2"/>
  <c r="L3747" i="2"/>
  <c r="E3747" i="2"/>
  <c r="D3747" i="2"/>
  <c r="L3746" i="2"/>
  <c r="E3746" i="2"/>
  <c r="D3746" i="2"/>
  <c r="L3745" i="2"/>
  <c r="E3745" i="2"/>
  <c r="D3745" i="2"/>
  <c r="L3744" i="2"/>
  <c r="E3744" i="2"/>
  <c r="D3744" i="2"/>
  <c r="L3743" i="2"/>
  <c r="E3743" i="2"/>
  <c r="D3743" i="2"/>
  <c r="L3742" i="2"/>
  <c r="E3742" i="2"/>
  <c r="D3742" i="2"/>
  <c r="L3741" i="2"/>
  <c r="E3741" i="2"/>
  <c r="D3741" i="2"/>
  <c r="L3740" i="2"/>
  <c r="E3740" i="2"/>
  <c r="D3740" i="2"/>
  <c r="L3739" i="2"/>
  <c r="E3739" i="2"/>
  <c r="D3739" i="2"/>
  <c r="L3738" i="2"/>
  <c r="E3738" i="2"/>
  <c r="D3738" i="2"/>
  <c r="L3737" i="2"/>
  <c r="E3737" i="2"/>
  <c r="D3737" i="2"/>
  <c r="L3736" i="2"/>
  <c r="E3736" i="2"/>
  <c r="D3736" i="2"/>
  <c r="L3735" i="2"/>
  <c r="E3735" i="2"/>
  <c r="D3735" i="2"/>
  <c r="L3734" i="2"/>
  <c r="E3734" i="2"/>
  <c r="D3734" i="2"/>
  <c r="L3733" i="2"/>
  <c r="E3733" i="2"/>
  <c r="D3733" i="2"/>
  <c r="L3732" i="2"/>
  <c r="E3732" i="2"/>
  <c r="D3732" i="2"/>
  <c r="L3731" i="2"/>
  <c r="E3731" i="2"/>
  <c r="D3731" i="2"/>
  <c r="L3730" i="2"/>
  <c r="E3730" i="2"/>
  <c r="D3730" i="2"/>
  <c r="L3729" i="2"/>
  <c r="E3729" i="2"/>
  <c r="D3729" i="2"/>
  <c r="L3728" i="2"/>
  <c r="E3728" i="2"/>
  <c r="D3728" i="2"/>
  <c r="L3727" i="2"/>
  <c r="E3727" i="2"/>
  <c r="D3727" i="2"/>
  <c r="L3726" i="2"/>
  <c r="E3726" i="2"/>
  <c r="D3726" i="2"/>
  <c r="L3725" i="2"/>
  <c r="E3725" i="2"/>
  <c r="D3725" i="2"/>
  <c r="L3724" i="2"/>
  <c r="E3724" i="2"/>
  <c r="D3724" i="2"/>
  <c r="L3723" i="2"/>
  <c r="E3723" i="2"/>
  <c r="D3723" i="2"/>
  <c r="L3722" i="2"/>
  <c r="E3722" i="2"/>
  <c r="D3722" i="2"/>
  <c r="L3721" i="2"/>
  <c r="E3721" i="2"/>
  <c r="D3721" i="2"/>
  <c r="L3720" i="2"/>
  <c r="E3720" i="2"/>
  <c r="D3720" i="2"/>
  <c r="L3719" i="2"/>
  <c r="E3719" i="2"/>
  <c r="D3719" i="2"/>
  <c r="L3718" i="2"/>
  <c r="E3718" i="2"/>
  <c r="D3718" i="2"/>
  <c r="L3717" i="2"/>
  <c r="E3717" i="2"/>
  <c r="D3717" i="2"/>
  <c r="L3716" i="2"/>
  <c r="E3716" i="2"/>
  <c r="D3716" i="2"/>
  <c r="L3715" i="2"/>
  <c r="E3715" i="2"/>
  <c r="D3715" i="2"/>
  <c r="L3714" i="2"/>
  <c r="E3714" i="2"/>
  <c r="D3714" i="2"/>
  <c r="L3713" i="2"/>
  <c r="E3713" i="2"/>
  <c r="D3713" i="2"/>
  <c r="L3712" i="2"/>
  <c r="E3712" i="2"/>
  <c r="D3712" i="2"/>
  <c r="L3711" i="2"/>
  <c r="E3711" i="2"/>
  <c r="D3711" i="2"/>
  <c r="L3710" i="2"/>
  <c r="E3710" i="2"/>
  <c r="D3710" i="2"/>
  <c r="L3709" i="2"/>
  <c r="E3709" i="2"/>
  <c r="D3709" i="2"/>
  <c r="L3708" i="2"/>
  <c r="E3708" i="2"/>
  <c r="D3708" i="2"/>
  <c r="L3707" i="2"/>
  <c r="E3707" i="2"/>
  <c r="D3707" i="2"/>
  <c r="L3706" i="2"/>
  <c r="E3706" i="2"/>
  <c r="D3706" i="2"/>
  <c r="L3705" i="2"/>
  <c r="E3705" i="2"/>
  <c r="D3705" i="2"/>
  <c r="L3704" i="2"/>
  <c r="E3704" i="2"/>
  <c r="D3704" i="2"/>
  <c r="L3703" i="2"/>
  <c r="E3703" i="2"/>
  <c r="D3703" i="2"/>
  <c r="L3702" i="2"/>
  <c r="E3702" i="2"/>
  <c r="D3702" i="2"/>
  <c r="L3701" i="2"/>
  <c r="E3701" i="2"/>
  <c r="D3701" i="2"/>
  <c r="L3700" i="2"/>
  <c r="E3700" i="2"/>
  <c r="D3700" i="2"/>
  <c r="L3699" i="2"/>
  <c r="E3699" i="2"/>
  <c r="D3699" i="2"/>
  <c r="L3698" i="2"/>
  <c r="E3698" i="2"/>
  <c r="D3698" i="2"/>
  <c r="L3697" i="2"/>
  <c r="E3697" i="2"/>
  <c r="D3697" i="2"/>
  <c r="L3696" i="2"/>
  <c r="E3696" i="2"/>
  <c r="D3696" i="2"/>
  <c r="L3695" i="2"/>
  <c r="E3695" i="2"/>
  <c r="D3695" i="2"/>
  <c r="L3694" i="2"/>
  <c r="E3694" i="2"/>
  <c r="D3694" i="2"/>
  <c r="L3693" i="2"/>
  <c r="E3693" i="2"/>
  <c r="D3693" i="2"/>
  <c r="L3692" i="2"/>
  <c r="E3692" i="2"/>
  <c r="D3692" i="2"/>
  <c r="L3691" i="2"/>
  <c r="E3691" i="2"/>
  <c r="D3691" i="2"/>
  <c r="L3690" i="2"/>
  <c r="E3690" i="2"/>
  <c r="D3690" i="2"/>
  <c r="L3689" i="2"/>
  <c r="E3689" i="2"/>
  <c r="D3689" i="2"/>
  <c r="L3688" i="2"/>
  <c r="E3688" i="2"/>
  <c r="D3688" i="2"/>
  <c r="L3687" i="2"/>
  <c r="E3687" i="2"/>
  <c r="D3687" i="2"/>
  <c r="L3686" i="2"/>
  <c r="E3686" i="2"/>
  <c r="D3686" i="2"/>
  <c r="L3685" i="2"/>
  <c r="E3685" i="2"/>
  <c r="D3685" i="2"/>
  <c r="L3684" i="2"/>
  <c r="E3684" i="2"/>
  <c r="D3684" i="2"/>
  <c r="L3683" i="2"/>
  <c r="E3683" i="2"/>
  <c r="D3683" i="2"/>
  <c r="L3682" i="2"/>
  <c r="E3682" i="2"/>
  <c r="D3682" i="2"/>
  <c r="L3681" i="2"/>
  <c r="E3681" i="2"/>
  <c r="D3681" i="2"/>
  <c r="L3680" i="2"/>
  <c r="E3680" i="2"/>
  <c r="D3680" i="2"/>
  <c r="L3679" i="2"/>
  <c r="E3679" i="2"/>
  <c r="D3679" i="2"/>
  <c r="L3678" i="2"/>
  <c r="E3678" i="2"/>
  <c r="D3678" i="2"/>
  <c r="L3677" i="2"/>
  <c r="E3677" i="2"/>
  <c r="D3677" i="2"/>
  <c r="L3676" i="2"/>
  <c r="E3676" i="2"/>
  <c r="D3676" i="2"/>
  <c r="L3675" i="2"/>
  <c r="E3675" i="2"/>
  <c r="D3675" i="2"/>
  <c r="L3674" i="2"/>
  <c r="E3674" i="2"/>
  <c r="D3674" i="2"/>
  <c r="L3673" i="2"/>
  <c r="E3673" i="2"/>
  <c r="D3673" i="2"/>
  <c r="L3672" i="2"/>
  <c r="E3672" i="2"/>
  <c r="D3672" i="2"/>
  <c r="L3671" i="2"/>
  <c r="E3671" i="2"/>
  <c r="D3671" i="2"/>
  <c r="L3670" i="2"/>
  <c r="E3670" i="2"/>
  <c r="D3670" i="2"/>
  <c r="L3669" i="2"/>
  <c r="E3669" i="2"/>
  <c r="D3669" i="2"/>
  <c r="L3668" i="2"/>
  <c r="E3668" i="2"/>
  <c r="D3668" i="2"/>
  <c r="L3667" i="2"/>
  <c r="E3667" i="2"/>
  <c r="D3667" i="2"/>
  <c r="L3666" i="2"/>
  <c r="E3666" i="2"/>
  <c r="D3666" i="2"/>
  <c r="L3665" i="2"/>
  <c r="E3665" i="2"/>
  <c r="D3665" i="2"/>
  <c r="X3664" i="2"/>
  <c r="L3664" i="2"/>
  <c r="E3664" i="2"/>
  <c r="D3664" i="2"/>
  <c r="X3663" i="2"/>
  <c r="L3663" i="2"/>
  <c r="E3663" i="2"/>
  <c r="D3663" i="2"/>
  <c r="X3662" i="2"/>
  <c r="L3662" i="2"/>
  <c r="E3662" i="2"/>
  <c r="D3662" i="2"/>
  <c r="X3661" i="2"/>
  <c r="L3661" i="2"/>
  <c r="E3661" i="2"/>
  <c r="D3661" i="2"/>
  <c r="X3660" i="2"/>
  <c r="L3660" i="2"/>
  <c r="E3660" i="2"/>
  <c r="D3660" i="2"/>
  <c r="X3659" i="2"/>
  <c r="L3659" i="2"/>
  <c r="E3659" i="2"/>
  <c r="D3659" i="2"/>
  <c r="X3658" i="2"/>
  <c r="L3658" i="2"/>
  <c r="E3658" i="2"/>
  <c r="D3658" i="2"/>
  <c r="X3657" i="2"/>
  <c r="L3657" i="2"/>
  <c r="E3657" i="2"/>
  <c r="D3657" i="2"/>
  <c r="X3656" i="2"/>
  <c r="L3656" i="2"/>
  <c r="E3656" i="2"/>
  <c r="D3656" i="2"/>
  <c r="X3655" i="2"/>
  <c r="L3655" i="2"/>
  <c r="E3655" i="2"/>
  <c r="D3655" i="2"/>
  <c r="X3654" i="2"/>
  <c r="L3654" i="2"/>
  <c r="E3654" i="2"/>
  <c r="D3654" i="2"/>
  <c r="X3653" i="2"/>
  <c r="L3653" i="2"/>
  <c r="E3653" i="2"/>
  <c r="D3653" i="2"/>
  <c r="X3652" i="2"/>
  <c r="L3652" i="2"/>
  <c r="E3652" i="2"/>
  <c r="D3652" i="2"/>
  <c r="X3651" i="2"/>
  <c r="L3651" i="2"/>
  <c r="E3651" i="2"/>
  <c r="D3651" i="2"/>
  <c r="L3650" i="2"/>
  <c r="E3650" i="2"/>
  <c r="D3650" i="2"/>
  <c r="L3649" i="2"/>
  <c r="E3649" i="2"/>
  <c r="D3649" i="2"/>
  <c r="L3648" i="2"/>
  <c r="E3648" i="2"/>
  <c r="D3648" i="2"/>
  <c r="L3647" i="2"/>
  <c r="E3647" i="2"/>
  <c r="D3647" i="2"/>
  <c r="L3646" i="2"/>
  <c r="E3646" i="2"/>
  <c r="D3646" i="2"/>
  <c r="L3645" i="2"/>
  <c r="E3645" i="2"/>
  <c r="D3645" i="2"/>
  <c r="L3644" i="2"/>
  <c r="E3644" i="2"/>
  <c r="D3644" i="2"/>
  <c r="L3643" i="2"/>
  <c r="E3643" i="2"/>
  <c r="D3643" i="2"/>
  <c r="L3642" i="2"/>
  <c r="E3642" i="2"/>
  <c r="D3642" i="2"/>
  <c r="L3641" i="2"/>
  <c r="E3641" i="2"/>
  <c r="D3641" i="2"/>
  <c r="L3640" i="2"/>
  <c r="E3640" i="2"/>
  <c r="D3640" i="2"/>
  <c r="L3639" i="2"/>
  <c r="E3639" i="2"/>
  <c r="D3639" i="2"/>
  <c r="L3638" i="2"/>
  <c r="E3638" i="2"/>
  <c r="D3638" i="2"/>
  <c r="L3637" i="2"/>
  <c r="E3637" i="2"/>
  <c r="D3637" i="2"/>
  <c r="L3636" i="2"/>
  <c r="E3636" i="2"/>
  <c r="D3636" i="2"/>
  <c r="L3635" i="2"/>
  <c r="E3635" i="2"/>
  <c r="D3635" i="2"/>
  <c r="L3634" i="2"/>
  <c r="E3634" i="2"/>
  <c r="D3634" i="2"/>
  <c r="L3633" i="2"/>
  <c r="E3633" i="2"/>
  <c r="D3633" i="2"/>
  <c r="L3632" i="2"/>
  <c r="E3632" i="2"/>
  <c r="D3632" i="2"/>
  <c r="L3631" i="2"/>
  <c r="E3631" i="2"/>
  <c r="D3631" i="2"/>
  <c r="L3630" i="2"/>
  <c r="E3630" i="2"/>
  <c r="D3630" i="2"/>
  <c r="L3629" i="2"/>
  <c r="E3629" i="2"/>
  <c r="D3629" i="2"/>
  <c r="L3628" i="2"/>
  <c r="E3628" i="2"/>
  <c r="D3628" i="2"/>
  <c r="L3627" i="2"/>
  <c r="E3627" i="2"/>
  <c r="D3627" i="2"/>
  <c r="L3626" i="2"/>
  <c r="E3626" i="2"/>
  <c r="D3626" i="2"/>
  <c r="L3625" i="2"/>
  <c r="E3625" i="2"/>
  <c r="D3625" i="2"/>
  <c r="L3624" i="2"/>
  <c r="E3624" i="2"/>
  <c r="D3624" i="2"/>
  <c r="L3623" i="2"/>
  <c r="E3623" i="2"/>
  <c r="D3623" i="2"/>
  <c r="L3622" i="2"/>
  <c r="E3622" i="2"/>
  <c r="D3622" i="2"/>
  <c r="L3621" i="2"/>
  <c r="E3621" i="2"/>
  <c r="D3621" i="2"/>
  <c r="L3620" i="2"/>
  <c r="E3620" i="2"/>
  <c r="D3620" i="2"/>
  <c r="L3619" i="2"/>
  <c r="E3619" i="2"/>
  <c r="D3619" i="2"/>
  <c r="L3618" i="2"/>
  <c r="E3618" i="2"/>
  <c r="D3618" i="2"/>
  <c r="L3617" i="2"/>
  <c r="E3617" i="2"/>
  <c r="D3617" i="2"/>
  <c r="L3616" i="2"/>
  <c r="E3616" i="2"/>
  <c r="D3616" i="2"/>
  <c r="L3615" i="2"/>
  <c r="E3615" i="2"/>
  <c r="D3615" i="2"/>
  <c r="X3614" i="2"/>
  <c r="L3614" i="2"/>
  <c r="E3614" i="2"/>
  <c r="D3614" i="2"/>
  <c r="X3613" i="2"/>
  <c r="L3613" i="2"/>
  <c r="E3613" i="2"/>
  <c r="D3613" i="2"/>
  <c r="X3612" i="2"/>
  <c r="L3612" i="2"/>
  <c r="E3612" i="2"/>
  <c r="D3612" i="2"/>
  <c r="X3611" i="2"/>
  <c r="L3611" i="2"/>
  <c r="E3611" i="2"/>
  <c r="D3611" i="2"/>
  <c r="L3610" i="2"/>
  <c r="E3610" i="2"/>
  <c r="D3610" i="2"/>
  <c r="L3609" i="2"/>
  <c r="E3609" i="2"/>
  <c r="D3609" i="2"/>
  <c r="L3608" i="2"/>
  <c r="E3608" i="2"/>
  <c r="D3608" i="2"/>
  <c r="L3607" i="2"/>
  <c r="E3607" i="2"/>
  <c r="D3607" i="2"/>
  <c r="L3606" i="2"/>
  <c r="E3606" i="2"/>
  <c r="D3606" i="2"/>
  <c r="L3605" i="2"/>
  <c r="E3605" i="2"/>
  <c r="D3605" i="2"/>
  <c r="L3604" i="2"/>
  <c r="E3604" i="2"/>
  <c r="D3604" i="2"/>
  <c r="L3603" i="2"/>
  <c r="E3603" i="2"/>
  <c r="D3603" i="2"/>
  <c r="L3602" i="2"/>
  <c r="E3602" i="2"/>
  <c r="D3602" i="2"/>
  <c r="L3601" i="2"/>
  <c r="E3601" i="2"/>
  <c r="D3601" i="2"/>
  <c r="L3600" i="2"/>
  <c r="E3600" i="2"/>
  <c r="D3600" i="2"/>
  <c r="L3599" i="2"/>
  <c r="E3599" i="2"/>
  <c r="D3599" i="2"/>
  <c r="L3598" i="2"/>
  <c r="E3598" i="2"/>
  <c r="D3598" i="2"/>
  <c r="L3597" i="2"/>
  <c r="E3597" i="2"/>
  <c r="D3597" i="2"/>
  <c r="L3596" i="2"/>
  <c r="E3596" i="2"/>
  <c r="D3596" i="2"/>
  <c r="L3595" i="2"/>
  <c r="E3595" i="2"/>
  <c r="D3595" i="2"/>
  <c r="L3594" i="2"/>
  <c r="E3594" i="2"/>
  <c r="D3594" i="2"/>
  <c r="L3593" i="2"/>
  <c r="E3593" i="2"/>
  <c r="D3593" i="2"/>
  <c r="L3592" i="2"/>
  <c r="E3592" i="2"/>
  <c r="D3592" i="2"/>
  <c r="L3591" i="2"/>
  <c r="E3591" i="2"/>
  <c r="D3591" i="2"/>
  <c r="L3590" i="2"/>
  <c r="E3590" i="2"/>
  <c r="D3590" i="2"/>
  <c r="L3589" i="2"/>
  <c r="E3589" i="2"/>
  <c r="D3589" i="2"/>
  <c r="L3588" i="2"/>
  <c r="E3588" i="2"/>
  <c r="D3588" i="2"/>
  <c r="L3587" i="2"/>
  <c r="E3587" i="2"/>
  <c r="D3587" i="2"/>
  <c r="L3586" i="2"/>
  <c r="E3586" i="2"/>
  <c r="D3586" i="2"/>
  <c r="L3585" i="2"/>
  <c r="E3585" i="2"/>
  <c r="D3585" i="2"/>
  <c r="L3584" i="2"/>
  <c r="E3584" i="2"/>
  <c r="D3584" i="2"/>
  <c r="L3583" i="2"/>
  <c r="E3583" i="2"/>
  <c r="D3583" i="2"/>
  <c r="L3582" i="2"/>
  <c r="E3582" i="2"/>
  <c r="D3582" i="2"/>
  <c r="L3581" i="2"/>
  <c r="E3581" i="2"/>
  <c r="D3581" i="2"/>
  <c r="L3580" i="2"/>
  <c r="E3580" i="2"/>
  <c r="D3580" i="2"/>
  <c r="L3579" i="2"/>
  <c r="E3579" i="2"/>
  <c r="D3579" i="2"/>
  <c r="L3578" i="2"/>
  <c r="E3578" i="2"/>
  <c r="D3578" i="2"/>
  <c r="L3577" i="2"/>
  <c r="E3577" i="2"/>
  <c r="D3577" i="2"/>
  <c r="L3576" i="2"/>
  <c r="E3576" i="2"/>
  <c r="D3576" i="2"/>
  <c r="L3575" i="2"/>
  <c r="E3575" i="2"/>
  <c r="D3575" i="2"/>
  <c r="L3574" i="2"/>
  <c r="E3574" i="2"/>
  <c r="D3574" i="2"/>
  <c r="L3573" i="2"/>
  <c r="E3573" i="2"/>
  <c r="D3573" i="2"/>
  <c r="L3572" i="2"/>
  <c r="E3572" i="2"/>
  <c r="D3572" i="2"/>
  <c r="L3571" i="2"/>
  <c r="E3571" i="2"/>
  <c r="D3571" i="2"/>
  <c r="L3570" i="2"/>
  <c r="E3570" i="2"/>
  <c r="D3570" i="2"/>
  <c r="L3569" i="2"/>
  <c r="E3569" i="2"/>
  <c r="D3569" i="2"/>
  <c r="L3568" i="2"/>
  <c r="E3568" i="2"/>
  <c r="D3568" i="2"/>
  <c r="L3567" i="2"/>
  <c r="E3567" i="2"/>
  <c r="D3567" i="2"/>
  <c r="L3566" i="2"/>
  <c r="E3566" i="2"/>
  <c r="D3566" i="2"/>
  <c r="L3565" i="2"/>
  <c r="E3565" i="2"/>
  <c r="D3565" i="2"/>
  <c r="L3564" i="2"/>
  <c r="E3564" i="2"/>
  <c r="D3564" i="2"/>
  <c r="L3563" i="2"/>
  <c r="E3563" i="2"/>
  <c r="D3563" i="2"/>
  <c r="L3562" i="2"/>
  <c r="E3562" i="2"/>
  <c r="D3562" i="2"/>
  <c r="L3561" i="2"/>
  <c r="E3561" i="2"/>
  <c r="D3561" i="2"/>
  <c r="L3560" i="2"/>
  <c r="E3560" i="2"/>
  <c r="D3560" i="2"/>
  <c r="L3559" i="2"/>
  <c r="E3559" i="2"/>
  <c r="D3559" i="2"/>
  <c r="L3558" i="2"/>
  <c r="E3558" i="2"/>
  <c r="D3558" i="2"/>
  <c r="L3557" i="2"/>
  <c r="E3557" i="2"/>
  <c r="D3557" i="2"/>
  <c r="L3556" i="2"/>
  <c r="E3556" i="2"/>
  <c r="D3556" i="2"/>
  <c r="L3555" i="2"/>
  <c r="E3555" i="2"/>
  <c r="D3555" i="2"/>
  <c r="L3554" i="2"/>
  <c r="E3554" i="2"/>
  <c r="D3554" i="2"/>
  <c r="L3553" i="2"/>
  <c r="E3553" i="2"/>
  <c r="D3553" i="2"/>
  <c r="L3552" i="2"/>
  <c r="E3552" i="2"/>
  <c r="D3552" i="2"/>
  <c r="L3551" i="2"/>
  <c r="E3551" i="2"/>
  <c r="D3551" i="2"/>
  <c r="L3550" i="2"/>
  <c r="E3550" i="2"/>
  <c r="D3550" i="2"/>
  <c r="L3549" i="2"/>
  <c r="E3549" i="2"/>
  <c r="D3549" i="2"/>
  <c r="L3548" i="2"/>
  <c r="E3548" i="2"/>
  <c r="D3548" i="2"/>
  <c r="L3547" i="2"/>
  <c r="E3547" i="2"/>
  <c r="D3547" i="2"/>
  <c r="L3546" i="2"/>
  <c r="E3546" i="2"/>
  <c r="D3546" i="2"/>
  <c r="L3545" i="2"/>
  <c r="E3545" i="2"/>
  <c r="D3545" i="2"/>
  <c r="L3544" i="2"/>
  <c r="E3544" i="2"/>
  <c r="D3544" i="2"/>
  <c r="L3543" i="2"/>
  <c r="E3543" i="2"/>
  <c r="D3543" i="2"/>
  <c r="L3542" i="2"/>
  <c r="E3542" i="2"/>
  <c r="D3542" i="2"/>
  <c r="L3541" i="2"/>
  <c r="E3541" i="2"/>
  <c r="D3541" i="2"/>
  <c r="L3540" i="2"/>
  <c r="E3540" i="2"/>
  <c r="D3540" i="2"/>
  <c r="L3539" i="2"/>
  <c r="E3539" i="2"/>
  <c r="D3539" i="2"/>
  <c r="L3538" i="2"/>
  <c r="E3538" i="2"/>
  <c r="D3538" i="2"/>
  <c r="L3537" i="2"/>
  <c r="E3537" i="2"/>
  <c r="D3537" i="2"/>
  <c r="L3536" i="2"/>
  <c r="E3536" i="2"/>
  <c r="D3536" i="2"/>
  <c r="L3535" i="2"/>
  <c r="E3535" i="2"/>
  <c r="D3535" i="2"/>
  <c r="L3534" i="2"/>
  <c r="E3534" i="2"/>
  <c r="D3534" i="2"/>
  <c r="L3533" i="2"/>
  <c r="E3533" i="2"/>
  <c r="D3533" i="2"/>
  <c r="L3532" i="2"/>
  <c r="E3532" i="2"/>
  <c r="D3532" i="2"/>
  <c r="L3531" i="2"/>
  <c r="E3531" i="2"/>
  <c r="D3531" i="2"/>
  <c r="L3530" i="2"/>
  <c r="E3530" i="2"/>
  <c r="D3530" i="2"/>
  <c r="L3529" i="2"/>
  <c r="E3529" i="2"/>
  <c r="D3529" i="2"/>
  <c r="L3528" i="2"/>
  <c r="E3528" i="2"/>
  <c r="D3528" i="2"/>
  <c r="L3527" i="2"/>
  <c r="E3527" i="2"/>
  <c r="D3527" i="2"/>
  <c r="L3526" i="2"/>
  <c r="E3526" i="2"/>
  <c r="D3526" i="2"/>
  <c r="L3525" i="2"/>
  <c r="E3525" i="2"/>
  <c r="D3525" i="2"/>
  <c r="L3524" i="2"/>
  <c r="E3524" i="2"/>
  <c r="D3524" i="2"/>
  <c r="L3523" i="2"/>
  <c r="E3523" i="2"/>
  <c r="D3523" i="2"/>
  <c r="L3522" i="2"/>
  <c r="E3522" i="2"/>
  <c r="D3522" i="2"/>
  <c r="L3521" i="2"/>
  <c r="E3521" i="2"/>
  <c r="D3521" i="2"/>
  <c r="L3520" i="2"/>
  <c r="E3520" i="2"/>
  <c r="D3520" i="2"/>
  <c r="L3519" i="2"/>
  <c r="E3519" i="2"/>
  <c r="D3519" i="2"/>
  <c r="L3518" i="2"/>
  <c r="E3518" i="2"/>
  <c r="D3518" i="2"/>
  <c r="L3517" i="2"/>
  <c r="E3517" i="2"/>
  <c r="D3517" i="2"/>
  <c r="L3516" i="2"/>
  <c r="E3516" i="2"/>
  <c r="D3516" i="2"/>
  <c r="L3515" i="2"/>
  <c r="E3515" i="2"/>
  <c r="D3515" i="2"/>
  <c r="L3514" i="2"/>
  <c r="E3514" i="2"/>
  <c r="D3514" i="2"/>
  <c r="L3513" i="2"/>
  <c r="E3513" i="2"/>
  <c r="D3513" i="2"/>
  <c r="L3512" i="2"/>
  <c r="E3512" i="2"/>
  <c r="D3512" i="2"/>
  <c r="L3511" i="2"/>
  <c r="E3511" i="2"/>
  <c r="D3511" i="2"/>
  <c r="L3510" i="2"/>
  <c r="E3510" i="2"/>
  <c r="D3510" i="2"/>
  <c r="L3509" i="2"/>
  <c r="E3509" i="2"/>
  <c r="D3509" i="2"/>
  <c r="L3508" i="2"/>
  <c r="E3508" i="2"/>
  <c r="D3508" i="2"/>
  <c r="L3507" i="2"/>
  <c r="E3507" i="2"/>
  <c r="D3507" i="2"/>
  <c r="L3506" i="2"/>
  <c r="E3506" i="2"/>
  <c r="D3506" i="2"/>
  <c r="L3505" i="2"/>
  <c r="E3505" i="2"/>
  <c r="D3505" i="2"/>
  <c r="L3504" i="2"/>
  <c r="E3504" i="2"/>
  <c r="D3504" i="2"/>
  <c r="L3503" i="2"/>
  <c r="E3503" i="2"/>
  <c r="D3503" i="2"/>
  <c r="L3502" i="2"/>
  <c r="E3502" i="2"/>
  <c r="D3502" i="2"/>
  <c r="L3501" i="2"/>
  <c r="E3501" i="2"/>
  <c r="D3501" i="2"/>
  <c r="L3500" i="2"/>
  <c r="E3500" i="2"/>
  <c r="D3500" i="2"/>
  <c r="L3499" i="2"/>
  <c r="E3499" i="2"/>
  <c r="D3499" i="2"/>
  <c r="L3498" i="2"/>
  <c r="E3498" i="2"/>
  <c r="D3498" i="2"/>
  <c r="L3497" i="2"/>
  <c r="E3497" i="2"/>
  <c r="D3497" i="2"/>
  <c r="L3496" i="2"/>
  <c r="E3496" i="2"/>
  <c r="D3496" i="2"/>
  <c r="L3495" i="2"/>
  <c r="E3495" i="2"/>
  <c r="D3495" i="2"/>
  <c r="L3494" i="2"/>
  <c r="E3494" i="2"/>
  <c r="D3494" i="2"/>
  <c r="L3493" i="2"/>
  <c r="E3493" i="2"/>
  <c r="D3493" i="2"/>
  <c r="L3492" i="2"/>
  <c r="E3492" i="2"/>
  <c r="D3492" i="2"/>
  <c r="L3491" i="2"/>
  <c r="E3491" i="2"/>
  <c r="D3491" i="2"/>
  <c r="L3490" i="2"/>
  <c r="E3490" i="2"/>
  <c r="D3490" i="2"/>
  <c r="L3489" i="2"/>
  <c r="E3489" i="2"/>
  <c r="D3489" i="2"/>
  <c r="L3488" i="2"/>
  <c r="E3488" i="2"/>
  <c r="D3488" i="2"/>
  <c r="L3487" i="2"/>
  <c r="E3487" i="2"/>
  <c r="D3487" i="2"/>
  <c r="L3486" i="2"/>
  <c r="E3486" i="2"/>
  <c r="D3486" i="2"/>
  <c r="L3485" i="2"/>
  <c r="E3485" i="2"/>
  <c r="D3485" i="2"/>
  <c r="L3484" i="2"/>
  <c r="E3484" i="2"/>
  <c r="D3484" i="2"/>
  <c r="L3483" i="2"/>
  <c r="E3483" i="2"/>
  <c r="D3483" i="2"/>
  <c r="L3482" i="2"/>
  <c r="E3482" i="2"/>
  <c r="D3482" i="2"/>
  <c r="L3481" i="2"/>
  <c r="E3481" i="2"/>
  <c r="D3481" i="2"/>
  <c r="L3480" i="2"/>
  <c r="E3480" i="2"/>
  <c r="D3480" i="2"/>
  <c r="L3479" i="2"/>
  <c r="E3479" i="2"/>
  <c r="D3479" i="2"/>
  <c r="L3478" i="2"/>
  <c r="E3478" i="2"/>
  <c r="D3478" i="2"/>
  <c r="L3477" i="2"/>
  <c r="E3477" i="2"/>
  <c r="D3477" i="2"/>
  <c r="L3476" i="2"/>
  <c r="E3476" i="2"/>
  <c r="D3476" i="2"/>
  <c r="L3475" i="2"/>
  <c r="E3475" i="2"/>
  <c r="D3475" i="2"/>
  <c r="L3474" i="2"/>
  <c r="E3474" i="2"/>
  <c r="D3474" i="2"/>
  <c r="L3473" i="2"/>
  <c r="E3473" i="2"/>
  <c r="D3473" i="2"/>
  <c r="L3472" i="2"/>
  <c r="E3472" i="2"/>
  <c r="D3472" i="2"/>
  <c r="L3471" i="2"/>
  <c r="E3471" i="2"/>
  <c r="D3471" i="2"/>
  <c r="L3470" i="2"/>
  <c r="E3470" i="2"/>
  <c r="D3470" i="2"/>
  <c r="L3469" i="2"/>
  <c r="E3469" i="2"/>
  <c r="D3469" i="2"/>
  <c r="L3468" i="2"/>
  <c r="E3468" i="2"/>
  <c r="D3468" i="2"/>
  <c r="L3467" i="2"/>
  <c r="E3467" i="2"/>
  <c r="D3467" i="2"/>
  <c r="L3466" i="2"/>
  <c r="E3466" i="2"/>
  <c r="D3466" i="2"/>
  <c r="L3465" i="2"/>
  <c r="E3465" i="2"/>
  <c r="D3465" i="2"/>
  <c r="L3464" i="2"/>
  <c r="E3464" i="2"/>
  <c r="D3464" i="2"/>
  <c r="L3463" i="2"/>
  <c r="E3463" i="2"/>
  <c r="D3463" i="2"/>
  <c r="L3462" i="2"/>
  <c r="E3462" i="2"/>
  <c r="D3462" i="2"/>
  <c r="L3461" i="2"/>
  <c r="E3461" i="2"/>
  <c r="D3461" i="2"/>
  <c r="L3460" i="2"/>
  <c r="E3460" i="2"/>
  <c r="D3460" i="2"/>
  <c r="L3459" i="2"/>
  <c r="E3459" i="2"/>
  <c r="D3459" i="2"/>
  <c r="L3458" i="2"/>
  <c r="E3458" i="2"/>
  <c r="D3458" i="2"/>
  <c r="L3457" i="2"/>
  <c r="E3457" i="2"/>
  <c r="D3457" i="2"/>
  <c r="L3456" i="2"/>
  <c r="E3456" i="2"/>
  <c r="D3456" i="2"/>
  <c r="L3455" i="2"/>
  <c r="E3455" i="2"/>
  <c r="D3455" i="2"/>
  <c r="L3454" i="2"/>
  <c r="E3454" i="2"/>
  <c r="D3454" i="2"/>
  <c r="L3453" i="2"/>
  <c r="E3453" i="2"/>
  <c r="D3453" i="2"/>
  <c r="L3452" i="2"/>
  <c r="E3452" i="2"/>
  <c r="D3452" i="2"/>
  <c r="L3451" i="2"/>
  <c r="E3451" i="2"/>
  <c r="D3451" i="2"/>
  <c r="L3450" i="2"/>
  <c r="E3450" i="2"/>
  <c r="D3450" i="2"/>
  <c r="L3449" i="2"/>
  <c r="E3449" i="2"/>
  <c r="D3449" i="2"/>
  <c r="L3448" i="2"/>
  <c r="E3448" i="2"/>
  <c r="D3448" i="2"/>
  <c r="L3447" i="2"/>
  <c r="E3447" i="2"/>
  <c r="D3447" i="2"/>
  <c r="L3446" i="2"/>
  <c r="E3446" i="2"/>
  <c r="D3446" i="2"/>
  <c r="L3445" i="2"/>
  <c r="E3445" i="2"/>
  <c r="D3445" i="2"/>
  <c r="L3444" i="2"/>
  <c r="E3444" i="2"/>
  <c r="D3444" i="2"/>
  <c r="L3443" i="2"/>
  <c r="E3443" i="2"/>
  <c r="D3443" i="2"/>
  <c r="L3442" i="2"/>
  <c r="E3442" i="2"/>
  <c r="D3442" i="2"/>
  <c r="L3441" i="2"/>
  <c r="E3441" i="2"/>
  <c r="D3441" i="2"/>
  <c r="L3440" i="2"/>
  <c r="E3440" i="2"/>
  <c r="D3440" i="2"/>
  <c r="L3439" i="2"/>
  <c r="E3439" i="2"/>
  <c r="D3439" i="2"/>
  <c r="L3438" i="2"/>
  <c r="E3438" i="2"/>
  <c r="D3438" i="2"/>
  <c r="L3437" i="2"/>
  <c r="E3437" i="2"/>
  <c r="D3437" i="2"/>
  <c r="L3436" i="2"/>
  <c r="E3436" i="2"/>
  <c r="D3436" i="2"/>
  <c r="L3435" i="2"/>
  <c r="E3435" i="2"/>
  <c r="D3435" i="2"/>
  <c r="L3434" i="2"/>
  <c r="E3434" i="2"/>
  <c r="D3434" i="2"/>
  <c r="L3433" i="2"/>
  <c r="E3433" i="2"/>
  <c r="D3433" i="2"/>
  <c r="L3432" i="2"/>
  <c r="E3432" i="2"/>
  <c r="D3432" i="2"/>
  <c r="L3431" i="2"/>
  <c r="E3431" i="2"/>
  <c r="D3431" i="2"/>
  <c r="L3430" i="2"/>
  <c r="E3430" i="2"/>
  <c r="D3430" i="2"/>
  <c r="L3429" i="2"/>
  <c r="E3429" i="2"/>
  <c r="D3429" i="2"/>
  <c r="L3428" i="2"/>
  <c r="E3428" i="2"/>
  <c r="D3428" i="2"/>
  <c r="L3427" i="2"/>
  <c r="E3427" i="2"/>
  <c r="D3427" i="2"/>
  <c r="L3426" i="2"/>
  <c r="E3426" i="2"/>
  <c r="D3426" i="2"/>
  <c r="L3425" i="2"/>
  <c r="E3425" i="2"/>
  <c r="D3425" i="2"/>
  <c r="L3424" i="2"/>
  <c r="E3424" i="2"/>
  <c r="D3424" i="2"/>
  <c r="L3423" i="2"/>
  <c r="E3423" i="2"/>
  <c r="D3423" i="2"/>
  <c r="L3422" i="2"/>
  <c r="E3422" i="2"/>
  <c r="D3422" i="2"/>
  <c r="L3421" i="2"/>
  <c r="E3421" i="2"/>
  <c r="D3421" i="2"/>
  <c r="L3420" i="2"/>
  <c r="E3420" i="2"/>
  <c r="D3420" i="2"/>
  <c r="L3419" i="2"/>
  <c r="E3419" i="2"/>
  <c r="D3419" i="2"/>
  <c r="L3418" i="2"/>
  <c r="E3418" i="2"/>
  <c r="D3418" i="2"/>
  <c r="L3417" i="2"/>
  <c r="E3417" i="2"/>
  <c r="D3417" i="2"/>
  <c r="L3416" i="2"/>
  <c r="E3416" i="2"/>
  <c r="D3416" i="2"/>
  <c r="L3415" i="2"/>
  <c r="E3415" i="2"/>
  <c r="D3415" i="2"/>
  <c r="L3414" i="2"/>
  <c r="E3414" i="2"/>
  <c r="D3414" i="2"/>
  <c r="L3413" i="2"/>
  <c r="E3413" i="2"/>
  <c r="D3413" i="2"/>
  <c r="L3412" i="2"/>
  <c r="E3412" i="2"/>
  <c r="D3412" i="2"/>
  <c r="L3411" i="2"/>
  <c r="E3411" i="2"/>
  <c r="D3411" i="2"/>
  <c r="L3410" i="2"/>
  <c r="E3410" i="2"/>
  <c r="D3410" i="2"/>
  <c r="L3409" i="2"/>
  <c r="E3409" i="2"/>
  <c r="D3409" i="2"/>
  <c r="L3408" i="2"/>
  <c r="E3408" i="2"/>
  <c r="D3408" i="2"/>
  <c r="L3407" i="2"/>
  <c r="E3407" i="2"/>
  <c r="D3407" i="2"/>
  <c r="L3406" i="2"/>
  <c r="E3406" i="2"/>
  <c r="D3406" i="2"/>
  <c r="L3405" i="2"/>
  <c r="E3405" i="2"/>
  <c r="D3405" i="2"/>
  <c r="L3404" i="2"/>
  <c r="E3404" i="2"/>
  <c r="D3404" i="2"/>
  <c r="L3403" i="2"/>
  <c r="E3403" i="2"/>
  <c r="D3403" i="2"/>
  <c r="L3402" i="2"/>
  <c r="E3402" i="2"/>
  <c r="D3402" i="2"/>
  <c r="L3401" i="2"/>
  <c r="E3401" i="2"/>
  <c r="D3401" i="2"/>
  <c r="L3400" i="2"/>
  <c r="E3400" i="2"/>
  <c r="D3400" i="2"/>
  <c r="L3399" i="2"/>
  <c r="E3399" i="2"/>
  <c r="D3399" i="2"/>
  <c r="L3398" i="2"/>
  <c r="E3398" i="2"/>
  <c r="D3398" i="2"/>
  <c r="L3397" i="2"/>
  <c r="E3397" i="2"/>
  <c r="D3397" i="2"/>
  <c r="L3396" i="2"/>
  <c r="E3396" i="2"/>
  <c r="D3396" i="2"/>
  <c r="L3395" i="2"/>
  <c r="E3395" i="2"/>
  <c r="D3395" i="2"/>
  <c r="L3394" i="2"/>
  <c r="E3394" i="2"/>
  <c r="D3394" i="2"/>
  <c r="L3393" i="2"/>
  <c r="E3393" i="2"/>
  <c r="D3393" i="2"/>
  <c r="L3392" i="2"/>
  <c r="E3392" i="2"/>
  <c r="D3392" i="2"/>
  <c r="L3391" i="2"/>
  <c r="E3391" i="2"/>
  <c r="D3391" i="2"/>
  <c r="L3390" i="2"/>
  <c r="E3390" i="2"/>
  <c r="D3390" i="2"/>
  <c r="L3389" i="2"/>
  <c r="E3389" i="2"/>
  <c r="D3389" i="2"/>
  <c r="L3388" i="2"/>
  <c r="E3388" i="2"/>
  <c r="D3388" i="2"/>
  <c r="L3387" i="2"/>
  <c r="E3387" i="2"/>
  <c r="D3387" i="2"/>
  <c r="L3386" i="2"/>
  <c r="E3386" i="2"/>
  <c r="D3386" i="2"/>
  <c r="L3385" i="2"/>
  <c r="E3385" i="2"/>
  <c r="D3385" i="2"/>
  <c r="L3384" i="2"/>
  <c r="E3384" i="2"/>
  <c r="D3384" i="2"/>
  <c r="L3383" i="2"/>
  <c r="E3383" i="2"/>
  <c r="D3383" i="2"/>
  <c r="L3382" i="2"/>
  <c r="E3382" i="2"/>
  <c r="D3382" i="2"/>
  <c r="L3381" i="2"/>
  <c r="E3381" i="2"/>
  <c r="D3381" i="2"/>
  <c r="L3380" i="2"/>
  <c r="E3380" i="2"/>
  <c r="D3380" i="2"/>
  <c r="L3379" i="2"/>
  <c r="E3379" i="2"/>
  <c r="D3379" i="2"/>
  <c r="L3378" i="2"/>
  <c r="E3378" i="2"/>
  <c r="D3378" i="2"/>
  <c r="L3377" i="2"/>
  <c r="E3377" i="2"/>
  <c r="D3377" i="2"/>
  <c r="L3376" i="2"/>
  <c r="E3376" i="2"/>
  <c r="D3376" i="2"/>
  <c r="L3375" i="2"/>
  <c r="E3375" i="2"/>
  <c r="D3375" i="2"/>
  <c r="L3374" i="2"/>
  <c r="E3374" i="2"/>
  <c r="D3374" i="2"/>
  <c r="L3373" i="2"/>
  <c r="E3373" i="2"/>
  <c r="D3373" i="2"/>
  <c r="L3372" i="2"/>
  <c r="E3372" i="2"/>
  <c r="D3372" i="2"/>
  <c r="L3371" i="2"/>
  <c r="E3371" i="2"/>
  <c r="D3371" i="2"/>
  <c r="L3370" i="2"/>
  <c r="E3370" i="2"/>
  <c r="D3370" i="2"/>
  <c r="L3369" i="2"/>
  <c r="E3369" i="2"/>
  <c r="D3369" i="2"/>
  <c r="L3368" i="2"/>
  <c r="E3368" i="2"/>
  <c r="D3368" i="2"/>
  <c r="L3367" i="2"/>
  <c r="E3367" i="2"/>
  <c r="D3367" i="2"/>
  <c r="L3366" i="2"/>
  <c r="E3366" i="2"/>
  <c r="D3366" i="2"/>
  <c r="L3365" i="2"/>
  <c r="E3365" i="2"/>
  <c r="D3365" i="2"/>
  <c r="L3364" i="2"/>
  <c r="E3364" i="2"/>
  <c r="D3364" i="2"/>
  <c r="L3363" i="2"/>
  <c r="E3363" i="2"/>
  <c r="D3363" i="2"/>
  <c r="L3362" i="2"/>
  <c r="E3362" i="2"/>
  <c r="D3362" i="2"/>
  <c r="L3361" i="2"/>
  <c r="E3361" i="2"/>
  <c r="D3361" i="2"/>
  <c r="L3360" i="2"/>
  <c r="E3360" i="2"/>
  <c r="D3360" i="2"/>
  <c r="L3359" i="2"/>
  <c r="E3359" i="2"/>
  <c r="D3359" i="2"/>
  <c r="L3358" i="2"/>
  <c r="E3358" i="2"/>
  <c r="D3358" i="2"/>
  <c r="L3357" i="2"/>
  <c r="E3357" i="2"/>
  <c r="D3357" i="2"/>
  <c r="L3356" i="2"/>
  <c r="E3356" i="2"/>
  <c r="D3356" i="2"/>
  <c r="L3355" i="2"/>
  <c r="E3355" i="2"/>
  <c r="D3355" i="2"/>
  <c r="L3354" i="2"/>
  <c r="E3354" i="2"/>
  <c r="D3354" i="2"/>
  <c r="L3353" i="2"/>
  <c r="E3353" i="2"/>
  <c r="D3353" i="2"/>
  <c r="L3352" i="2"/>
  <c r="E3352" i="2"/>
  <c r="D3352" i="2"/>
  <c r="L3351" i="2"/>
  <c r="E3351" i="2"/>
  <c r="D3351" i="2"/>
  <c r="L3350" i="2"/>
  <c r="E3350" i="2"/>
  <c r="D3350" i="2"/>
  <c r="L3349" i="2"/>
  <c r="E3349" i="2"/>
  <c r="D3349" i="2"/>
  <c r="L3348" i="2"/>
  <c r="E3348" i="2"/>
  <c r="D3348" i="2"/>
  <c r="L3347" i="2"/>
  <c r="E3347" i="2"/>
  <c r="D3347" i="2"/>
  <c r="L3346" i="2"/>
  <c r="E3346" i="2"/>
  <c r="D3346" i="2"/>
  <c r="L3345" i="2"/>
  <c r="E3345" i="2"/>
  <c r="D3345" i="2"/>
  <c r="L3344" i="2"/>
  <c r="E3344" i="2"/>
  <c r="D3344" i="2"/>
  <c r="L3343" i="2"/>
  <c r="E3343" i="2"/>
  <c r="D3343" i="2"/>
  <c r="L3342" i="2"/>
  <c r="E3342" i="2"/>
  <c r="D3342" i="2"/>
  <c r="L3341" i="2"/>
  <c r="E3341" i="2"/>
  <c r="D3341" i="2"/>
  <c r="L3340" i="2"/>
  <c r="E3340" i="2"/>
  <c r="D3340" i="2"/>
  <c r="L3339" i="2"/>
  <c r="E3339" i="2"/>
  <c r="D3339" i="2"/>
  <c r="L3338" i="2"/>
  <c r="E3338" i="2"/>
  <c r="D3338" i="2"/>
  <c r="L3337" i="2"/>
  <c r="E3337" i="2"/>
  <c r="D3337" i="2"/>
  <c r="L3336" i="2"/>
  <c r="E3336" i="2"/>
  <c r="D3336" i="2"/>
  <c r="L3335" i="2"/>
  <c r="E3335" i="2"/>
  <c r="D3335" i="2"/>
  <c r="L3334" i="2"/>
  <c r="E3334" i="2"/>
  <c r="D3334" i="2"/>
  <c r="L3333" i="2"/>
  <c r="E3333" i="2"/>
  <c r="D3333" i="2"/>
  <c r="L3332" i="2"/>
  <c r="E3332" i="2"/>
  <c r="D3332" i="2"/>
  <c r="L3331" i="2"/>
  <c r="E3331" i="2"/>
  <c r="D3331" i="2"/>
  <c r="L3330" i="2"/>
  <c r="E3330" i="2"/>
  <c r="D3330" i="2"/>
  <c r="L3329" i="2"/>
  <c r="E3329" i="2"/>
  <c r="D3329" i="2"/>
  <c r="L3328" i="2"/>
  <c r="E3328" i="2"/>
  <c r="D3328" i="2"/>
  <c r="L3327" i="2"/>
  <c r="E3327" i="2"/>
  <c r="D3327" i="2"/>
  <c r="L3326" i="2"/>
  <c r="E3326" i="2"/>
  <c r="D3326" i="2"/>
  <c r="L3325" i="2"/>
  <c r="E3325" i="2"/>
  <c r="D3325" i="2"/>
  <c r="L3324" i="2"/>
  <c r="E3324" i="2"/>
  <c r="D3324" i="2"/>
  <c r="L3323" i="2"/>
  <c r="E3323" i="2"/>
  <c r="D3323" i="2"/>
  <c r="L3322" i="2"/>
  <c r="E3322" i="2"/>
  <c r="D3322" i="2"/>
  <c r="L3321" i="2"/>
  <c r="E3321" i="2"/>
  <c r="D3321" i="2"/>
  <c r="L3320" i="2"/>
  <c r="E3320" i="2"/>
  <c r="D3320" i="2"/>
  <c r="L3319" i="2"/>
  <c r="E3319" i="2"/>
  <c r="D3319" i="2"/>
  <c r="L3318" i="2"/>
  <c r="E3318" i="2"/>
  <c r="D3318" i="2"/>
  <c r="L3317" i="2"/>
  <c r="E3317" i="2"/>
  <c r="D3317" i="2"/>
  <c r="L3316" i="2"/>
  <c r="E3316" i="2"/>
  <c r="D3316" i="2"/>
  <c r="L3315" i="2"/>
  <c r="E3315" i="2"/>
  <c r="D3315" i="2"/>
  <c r="L3314" i="2"/>
  <c r="E3314" i="2"/>
  <c r="D3314" i="2"/>
  <c r="L3313" i="2"/>
  <c r="E3313" i="2"/>
  <c r="D3313" i="2"/>
  <c r="L3312" i="2"/>
  <c r="E3312" i="2"/>
  <c r="D3312" i="2"/>
  <c r="L3311" i="2"/>
  <c r="E3311" i="2"/>
  <c r="D3311" i="2"/>
  <c r="L3310" i="2"/>
  <c r="E3310" i="2"/>
  <c r="D3310" i="2"/>
  <c r="L3309" i="2"/>
  <c r="E3309" i="2"/>
  <c r="D3309" i="2"/>
  <c r="L3308" i="2"/>
  <c r="E3308" i="2"/>
  <c r="D3308" i="2"/>
  <c r="L3307" i="2"/>
  <c r="E3307" i="2"/>
  <c r="D3307" i="2"/>
  <c r="L3306" i="2"/>
  <c r="E3306" i="2"/>
  <c r="D3306" i="2"/>
  <c r="L3305" i="2"/>
  <c r="E3305" i="2"/>
  <c r="D3305" i="2"/>
  <c r="L3304" i="2"/>
  <c r="E3304" i="2"/>
  <c r="D3304" i="2"/>
  <c r="L3303" i="2"/>
  <c r="E3303" i="2"/>
  <c r="D3303" i="2"/>
  <c r="L3302" i="2"/>
  <c r="E3302" i="2"/>
  <c r="D3302" i="2"/>
  <c r="L3301" i="2"/>
  <c r="E3301" i="2"/>
  <c r="D3301" i="2"/>
  <c r="L3300" i="2"/>
  <c r="E3300" i="2"/>
  <c r="D3300" i="2"/>
  <c r="L3299" i="2"/>
  <c r="E3299" i="2"/>
  <c r="D3299" i="2"/>
  <c r="L3298" i="2"/>
  <c r="E3298" i="2"/>
  <c r="D3298" i="2"/>
  <c r="L3297" i="2"/>
  <c r="E3297" i="2"/>
  <c r="D3297" i="2"/>
  <c r="L3296" i="2"/>
  <c r="E3296" i="2"/>
  <c r="D3296" i="2"/>
  <c r="L3295" i="2"/>
  <c r="E3295" i="2"/>
  <c r="D3295" i="2"/>
  <c r="L3294" i="2"/>
  <c r="E3294" i="2"/>
  <c r="D3294" i="2"/>
  <c r="L3293" i="2"/>
  <c r="E3293" i="2"/>
  <c r="D3293" i="2"/>
  <c r="L3292" i="2"/>
  <c r="E3292" i="2"/>
  <c r="D3292" i="2"/>
  <c r="L3291" i="2"/>
  <c r="E3291" i="2"/>
  <c r="D3291" i="2"/>
  <c r="L3290" i="2"/>
  <c r="E3290" i="2"/>
  <c r="D3290" i="2"/>
  <c r="L3289" i="2"/>
  <c r="E3289" i="2"/>
  <c r="D3289" i="2"/>
  <c r="L3288" i="2"/>
  <c r="E3288" i="2"/>
  <c r="D3288" i="2"/>
  <c r="L3287" i="2"/>
  <c r="E3287" i="2"/>
  <c r="D3287" i="2"/>
  <c r="L3286" i="2"/>
  <c r="E3286" i="2"/>
  <c r="D3286" i="2"/>
  <c r="L3285" i="2"/>
  <c r="E3285" i="2"/>
  <c r="D3285" i="2"/>
  <c r="L3284" i="2"/>
  <c r="E3284" i="2"/>
  <c r="D3284" i="2"/>
  <c r="L3283" i="2"/>
  <c r="E3283" i="2"/>
  <c r="D3283" i="2"/>
  <c r="L3282" i="2"/>
  <c r="E3282" i="2"/>
  <c r="D3282" i="2"/>
  <c r="L3281" i="2"/>
  <c r="E3281" i="2"/>
  <c r="D3281" i="2"/>
  <c r="L3280" i="2"/>
  <c r="E3280" i="2"/>
  <c r="D3280" i="2"/>
  <c r="L3279" i="2"/>
  <c r="E3279" i="2"/>
  <c r="D3279" i="2"/>
  <c r="L3278" i="2"/>
  <c r="E3278" i="2"/>
  <c r="D3278" i="2"/>
  <c r="L3277" i="2"/>
  <c r="E3277" i="2"/>
  <c r="D3277" i="2"/>
  <c r="L3276" i="2"/>
  <c r="E3276" i="2"/>
  <c r="D3276" i="2"/>
  <c r="L3275" i="2"/>
  <c r="E3275" i="2"/>
  <c r="D3275" i="2"/>
  <c r="L3274" i="2"/>
  <c r="E3274" i="2"/>
  <c r="D3274" i="2"/>
  <c r="L3273" i="2"/>
  <c r="E3273" i="2"/>
  <c r="D3273" i="2"/>
  <c r="L3272" i="2"/>
  <c r="E3272" i="2"/>
  <c r="D3272" i="2"/>
  <c r="L3271" i="2"/>
  <c r="E3271" i="2"/>
  <c r="D3271" i="2"/>
  <c r="L3270" i="2"/>
  <c r="E3270" i="2"/>
  <c r="D3270" i="2"/>
  <c r="L3269" i="2"/>
  <c r="E3269" i="2"/>
  <c r="D3269" i="2"/>
  <c r="L3268" i="2"/>
  <c r="E3268" i="2"/>
  <c r="D3268" i="2"/>
  <c r="L3267" i="2"/>
  <c r="E3267" i="2"/>
  <c r="D3267" i="2"/>
  <c r="L3266" i="2"/>
  <c r="E3266" i="2"/>
  <c r="D3266" i="2"/>
  <c r="L3265" i="2"/>
  <c r="E3265" i="2"/>
  <c r="D3265" i="2"/>
  <c r="L3264" i="2"/>
  <c r="E3264" i="2"/>
  <c r="D3264" i="2"/>
  <c r="L3263" i="2"/>
  <c r="E3263" i="2"/>
  <c r="D3263" i="2"/>
  <c r="L3262" i="2"/>
  <c r="E3262" i="2"/>
  <c r="D3262" i="2"/>
  <c r="E3261" i="2"/>
  <c r="D3261" i="2"/>
  <c r="E3260" i="2"/>
  <c r="D3260" i="2"/>
  <c r="E3259" i="2"/>
  <c r="D3259" i="2"/>
  <c r="X3258" i="2"/>
  <c r="E3258" i="2"/>
  <c r="D3258" i="2"/>
  <c r="E3257" i="2"/>
  <c r="D3257" i="2"/>
  <c r="E3256" i="2"/>
  <c r="D3256" i="2"/>
  <c r="E3255" i="2"/>
  <c r="D3255" i="2"/>
  <c r="X3254" i="2"/>
  <c r="E3254" i="2"/>
  <c r="D3254" i="2"/>
  <c r="E3253" i="2"/>
  <c r="D3253" i="2"/>
  <c r="E3252" i="2"/>
  <c r="D3252" i="2"/>
  <c r="E3251" i="2"/>
  <c r="D3251" i="2"/>
  <c r="X3250" i="2"/>
  <c r="E3250" i="2"/>
  <c r="D3250" i="2"/>
  <c r="E3249" i="2"/>
  <c r="D3249" i="2"/>
  <c r="E3248" i="2"/>
  <c r="D3248" i="2"/>
  <c r="E3247" i="2"/>
  <c r="D3247" i="2"/>
  <c r="X3246" i="2"/>
  <c r="E3246" i="2"/>
  <c r="D3246" i="2"/>
  <c r="L3245" i="2"/>
  <c r="E3245" i="2"/>
  <c r="D3245" i="2"/>
  <c r="L3244" i="2"/>
  <c r="E3244" i="2"/>
  <c r="D3244" i="2"/>
  <c r="L3243" i="2"/>
  <c r="E3243" i="2"/>
  <c r="D3243" i="2"/>
  <c r="L3242" i="2"/>
  <c r="E3242" i="2"/>
  <c r="D3242" i="2"/>
  <c r="L3241" i="2"/>
  <c r="E3241" i="2"/>
  <c r="D3241" i="2"/>
  <c r="L3240" i="2"/>
  <c r="E3240" i="2"/>
  <c r="D3240" i="2"/>
  <c r="L3239" i="2"/>
  <c r="E3239" i="2"/>
  <c r="D3239" i="2"/>
  <c r="L3238" i="2"/>
  <c r="E3238" i="2"/>
  <c r="D3238" i="2"/>
  <c r="L3237" i="2"/>
  <c r="E3237" i="2"/>
  <c r="D3237" i="2"/>
  <c r="L3236" i="2"/>
  <c r="E3236" i="2"/>
  <c r="D3236" i="2"/>
  <c r="L3235" i="2"/>
  <c r="E3235" i="2"/>
  <c r="D3235" i="2"/>
  <c r="L3234" i="2"/>
  <c r="E3234" i="2"/>
  <c r="D3234" i="2"/>
  <c r="L3233" i="2"/>
  <c r="E3233" i="2"/>
  <c r="D3233" i="2"/>
  <c r="L3232" i="2"/>
  <c r="E3232" i="2"/>
  <c r="D3232" i="2"/>
  <c r="X3231" i="2"/>
  <c r="L3231" i="2"/>
  <c r="E3231" i="2"/>
  <c r="D3231" i="2"/>
  <c r="X3230" i="2"/>
  <c r="L3230" i="2"/>
  <c r="E3230" i="2"/>
  <c r="D3230" i="2"/>
  <c r="L3229" i="2"/>
  <c r="E3229" i="2"/>
  <c r="D3229" i="2"/>
  <c r="L3228" i="2"/>
  <c r="E3228" i="2"/>
  <c r="D3228" i="2"/>
  <c r="L3227" i="2"/>
  <c r="E3227" i="2"/>
  <c r="D3227" i="2"/>
  <c r="L3226" i="2"/>
  <c r="E3226" i="2"/>
  <c r="D3226" i="2"/>
  <c r="L3225" i="2"/>
  <c r="E3225" i="2"/>
  <c r="D3225" i="2"/>
  <c r="L3224" i="2"/>
  <c r="E3224" i="2"/>
  <c r="D3224" i="2"/>
  <c r="L3223" i="2"/>
  <c r="E3223" i="2"/>
  <c r="D3223" i="2"/>
  <c r="L3222" i="2"/>
  <c r="E3222" i="2"/>
  <c r="D3222" i="2"/>
  <c r="L3221" i="2"/>
  <c r="E3221" i="2"/>
  <c r="D3221" i="2"/>
  <c r="L3220" i="2"/>
  <c r="E3220" i="2"/>
  <c r="D3220" i="2"/>
  <c r="X3219" i="2"/>
  <c r="L3219" i="2"/>
  <c r="E3219" i="2"/>
  <c r="D3219" i="2"/>
  <c r="L3218" i="2"/>
  <c r="E3218" i="2"/>
  <c r="D3218" i="2"/>
  <c r="L3217" i="2"/>
  <c r="E3217" i="2"/>
  <c r="D3217" i="2"/>
  <c r="L3216" i="2"/>
  <c r="E3216" i="2"/>
  <c r="D3216" i="2"/>
  <c r="L3215" i="2"/>
  <c r="E3215" i="2"/>
  <c r="D3215" i="2"/>
  <c r="L3214" i="2"/>
  <c r="E3214" i="2"/>
  <c r="D3214" i="2"/>
  <c r="L3213" i="2"/>
  <c r="E3213" i="2"/>
  <c r="D3213" i="2"/>
  <c r="L3212" i="2"/>
  <c r="E3212" i="2"/>
  <c r="D3212" i="2"/>
  <c r="X3211" i="2"/>
  <c r="L3211" i="2"/>
  <c r="E3211" i="2"/>
  <c r="D3211" i="2"/>
  <c r="L3210" i="2"/>
  <c r="E3210" i="2"/>
  <c r="D3210" i="2"/>
  <c r="L3209" i="2"/>
  <c r="E3209" i="2"/>
  <c r="D3209" i="2"/>
  <c r="L3208" i="2"/>
  <c r="E3208" i="2"/>
  <c r="D3208" i="2"/>
  <c r="L3207" i="2"/>
  <c r="E3207" i="2"/>
  <c r="D3207" i="2"/>
  <c r="L3206" i="2"/>
  <c r="E3206" i="2"/>
  <c r="D3206" i="2"/>
  <c r="L3205" i="2"/>
  <c r="E3205" i="2"/>
  <c r="D3205" i="2"/>
  <c r="L3204" i="2"/>
  <c r="E3204" i="2"/>
  <c r="D3204" i="2"/>
  <c r="L3203" i="2"/>
  <c r="E3203" i="2"/>
  <c r="D3203" i="2"/>
  <c r="L3202" i="2"/>
  <c r="E3202" i="2"/>
  <c r="D3202" i="2"/>
  <c r="L3201" i="2"/>
  <c r="E3201" i="2"/>
  <c r="D3201" i="2"/>
  <c r="L3200" i="2"/>
  <c r="E3200" i="2"/>
  <c r="D3200" i="2"/>
  <c r="L3199" i="2"/>
  <c r="E3199" i="2"/>
  <c r="D3199" i="2"/>
  <c r="L3198" i="2"/>
  <c r="E3198" i="2"/>
  <c r="D3198" i="2"/>
  <c r="L3197" i="2"/>
  <c r="E3197" i="2"/>
  <c r="D3197" i="2"/>
  <c r="X3196" i="2"/>
  <c r="L3196" i="2"/>
  <c r="E3196" i="2"/>
  <c r="D3196" i="2"/>
  <c r="L3195" i="2"/>
  <c r="E3195" i="2"/>
  <c r="D3195" i="2"/>
  <c r="L3194" i="2"/>
  <c r="E3194" i="2"/>
  <c r="D3194" i="2"/>
  <c r="L3193" i="2"/>
  <c r="E3193" i="2"/>
  <c r="D3193" i="2"/>
  <c r="L3192" i="2"/>
  <c r="E3192" i="2"/>
  <c r="D3192" i="2"/>
  <c r="L3191" i="2"/>
  <c r="E3191" i="2"/>
  <c r="D3191" i="2"/>
  <c r="L3190" i="2"/>
  <c r="E3190" i="2"/>
  <c r="D3190" i="2"/>
  <c r="L3189" i="2"/>
  <c r="E3189" i="2"/>
  <c r="D3189" i="2"/>
  <c r="L3188" i="2"/>
  <c r="E3188" i="2"/>
  <c r="D3188" i="2"/>
  <c r="L3187" i="2"/>
  <c r="E3187" i="2"/>
  <c r="D3187" i="2"/>
  <c r="L3186" i="2"/>
  <c r="E3186" i="2"/>
  <c r="D3186" i="2"/>
  <c r="L3185" i="2"/>
  <c r="E3185" i="2"/>
  <c r="D3185" i="2"/>
  <c r="L3184" i="2"/>
  <c r="E3184" i="2"/>
  <c r="D3184" i="2"/>
  <c r="L3183" i="2"/>
  <c r="E3183" i="2"/>
  <c r="D3183" i="2"/>
  <c r="L3182" i="2"/>
  <c r="E3182" i="2"/>
  <c r="D3182" i="2"/>
  <c r="X3181" i="2"/>
  <c r="L3181" i="2"/>
  <c r="E3181" i="2"/>
  <c r="D3181" i="2"/>
  <c r="L3180" i="2"/>
  <c r="E3180" i="2"/>
  <c r="D3180" i="2"/>
  <c r="X3179" i="2"/>
  <c r="L3179" i="2"/>
  <c r="E3179" i="2"/>
  <c r="D3179" i="2"/>
  <c r="L3178" i="2"/>
  <c r="E3178" i="2"/>
  <c r="D3178" i="2"/>
  <c r="X3177" i="2"/>
  <c r="L3177" i="2"/>
  <c r="E3177" i="2"/>
  <c r="D3177" i="2"/>
  <c r="L3176" i="2"/>
  <c r="E3176" i="2"/>
  <c r="D3176" i="2"/>
  <c r="L3175" i="2"/>
  <c r="E3175" i="2"/>
  <c r="D3175" i="2"/>
  <c r="L3174" i="2"/>
  <c r="E3174" i="2"/>
  <c r="D3174" i="2"/>
  <c r="L3173" i="2"/>
  <c r="E3173" i="2"/>
  <c r="D3173" i="2"/>
  <c r="L3172" i="2"/>
  <c r="E3172" i="2"/>
  <c r="D3172" i="2"/>
  <c r="L3171" i="2"/>
  <c r="E3171" i="2"/>
  <c r="D3171" i="2"/>
  <c r="L3170" i="2"/>
  <c r="E3170" i="2"/>
  <c r="D3170" i="2"/>
  <c r="L3169" i="2"/>
  <c r="E3169" i="2"/>
  <c r="D3169" i="2"/>
  <c r="L3168" i="2"/>
  <c r="E3168" i="2"/>
  <c r="D3168" i="2"/>
  <c r="L3167" i="2"/>
  <c r="E3167" i="2"/>
  <c r="D3167" i="2"/>
  <c r="L3166" i="2"/>
  <c r="E3166" i="2"/>
  <c r="D3166" i="2"/>
  <c r="X3165" i="2"/>
  <c r="L3165" i="2"/>
  <c r="E3165" i="2"/>
  <c r="D3165" i="2"/>
  <c r="X3164" i="2"/>
  <c r="L3164" i="2"/>
  <c r="E3164" i="2"/>
  <c r="D3164" i="2"/>
  <c r="L3163" i="2"/>
  <c r="E3163" i="2"/>
  <c r="D3163" i="2"/>
  <c r="L3162" i="2"/>
  <c r="E3162" i="2"/>
  <c r="D3162" i="2"/>
  <c r="L3161" i="2"/>
  <c r="E3161" i="2"/>
  <c r="D3161" i="2"/>
  <c r="L3160" i="2"/>
  <c r="E3160" i="2"/>
  <c r="D3160" i="2"/>
  <c r="L3159" i="2"/>
  <c r="E3159" i="2"/>
  <c r="D3159" i="2"/>
  <c r="L3158" i="2"/>
  <c r="E3158" i="2"/>
  <c r="D3158" i="2"/>
  <c r="L3157" i="2"/>
  <c r="E3157" i="2"/>
  <c r="D3157" i="2"/>
  <c r="L3156" i="2"/>
  <c r="E3156" i="2"/>
  <c r="D3156" i="2"/>
  <c r="X3155" i="2"/>
  <c r="L3155" i="2"/>
  <c r="E3155" i="2"/>
  <c r="D3155" i="2"/>
  <c r="L3154" i="2"/>
  <c r="E3154" i="2"/>
  <c r="D3154" i="2"/>
  <c r="X3153" i="2"/>
  <c r="L3153" i="2"/>
  <c r="E3153" i="2"/>
  <c r="D3153" i="2"/>
  <c r="L3152" i="2"/>
  <c r="E3152" i="2"/>
  <c r="D3152" i="2"/>
  <c r="L3151" i="2"/>
  <c r="E3151" i="2"/>
  <c r="D3151" i="2"/>
  <c r="X3150" i="2"/>
  <c r="L3150" i="2"/>
  <c r="E3150" i="2"/>
  <c r="D3150" i="2"/>
  <c r="L3149" i="2"/>
  <c r="E3149" i="2"/>
  <c r="D3149" i="2"/>
  <c r="X3148" i="2"/>
  <c r="L3148" i="2"/>
  <c r="E3148" i="2"/>
  <c r="D3148" i="2"/>
  <c r="L3147" i="2"/>
  <c r="E3147" i="2"/>
  <c r="D3147" i="2"/>
  <c r="L3146" i="2"/>
  <c r="E3146" i="2"/>
  <c r="D3146" i="2"/>
  <c r="L3145" i="2"/>
  <c r="E3145" i="2"/>
  <c r="D3145" i="2"/>
  <c r="X3144" i="2"/>
  <c r="L3144" i="2"/>
  <c r="E3144" i="2"/>
  <c r="D3144" i="2"/>
  <c r="L3143" i="2"/>
  <c r="E3143" i="2"/>
  <c r="D3143" i="2"/>
  <c r="X3142" i="2"/>
  <c r="L3142" i="2"/>
  <c r="E3142" i="2"/>
  <c r="D3142" i="2"/>
  <c r="L3141" i="2"/>
  <c r="E3141" i="2"/>
  <c r="D3141" i="2"/>
  <c r="L3140" i="2"/>
  <c r="E3140" i="2"/>
  <c r="D3140" i="2"/>
  <c r="L3139" i="2"/>
  <c r="E3139" i="2"/>
  <c r="D3139" i="2"/>
  <c r="X3138" i="2"/>
  <c r="L3138" i="2"/>
  <c r="E3138" i="2"/>
  <c r="D3138" i="2"/>
  <c r="L3137" i="2"/>
  <c r="E3137" i="2"/>
  <c r="D3137" i="2"/>
  <c r="X3136" i="2"/>
  <c r="L3136" i="2"/>
  <c r="E3136" i="2"/>
  <c r="D3136" i="2"/>
  <c r="L3135" i="2"/>
  <c r="E3135" i="2"/>
  <c r="D3135" i="2"/>
  <c r="X3134" i="2"/>
  <c r="L3134" i="2"/>
  <c r="E3134" i="2"/>
  <c r="D3134" i="2"/>
  <c r="L3133" i="2"/>
  <c r="E3133" i="2"/>
  <c r="D3133" i="2"/>
  <c r="X3132" i="2"/>
  <c r="L3132" i="2"/>
  <c r="E3132" i="2"/>
  <c r="D3132" i="2"/>
  <c r="L3131" i="2"/>
  <c r="E3131" i="2"/>
  <c r="D3131" i="2"/>
  <c r="L3130" i="2"/>
  <c r="E3130" i="2"/>
  <c r="D3130" i="2"/>
  <c r="X3129" i="2"/>
  <c r="L3129" i="2"/>
  <c r="E3129" i="2"/>
  <c r="D3129" i="2"/>
  <c r="L3128" i="2"/>
  <c r="E3128" i="2"/>
  <c r="D3128" i="2"/>
  <c r="X3127" i="2"/>
  <c r="L3127" i="2"/>
  <c r="E3127" i="2"/>
  <c r="D3127" i="2"/>
  <c r="L3126" i="2"/>
  <c r="E3126" i="2"/>
  <c r="D3126" i="2"/>
  <c r="L3125" i="2"/>
  <c r="E3125" i="2"/>
  <c r="D3125" i="2"/>
  <c r="X3124" i="2"/>
  <c r="L3124" i="2"/>
  <c r="E3124" i="2"/>
  <c r="D3124" i="2"/>
  <c r="L3123" i="2"/>
  <c r="E3123" i="2"/>
  <c r="D3123" i="2"/>
  <c r="X3122" i="2"/>
  <c r="L3122" i="2"/>
  <c r="E3122" i="2"/>
  <c r="D3122" i="2"/>
  <c r="L3121" i="2"/>
  <c r="E3121" i="2"/>
  <c r="D3121" i="2"/>
  <c r="L3120" i="2"/>
  <c r="E3120" i="2"/>
  <c r="D3120" i="2"/>
  <c r="L3119" i="2"/>
  <c r="E3119" i="2"/>
  <c r="D3119" i="2"/>
  <c r="L3118" i="2"/>
  <c r="E3118" i="2"/>
  <c r="D3118" i="2"/>
  <c r="L3117" i="2"/>
  <c r="E3117" i="2"/>
  <c r="D3117" i="2"/>
  <c r="L3116" i="2"/>
  <c r="E3116" i="2"/>
  <c r="D3116" i="2"/>
  <c r="X3115" i="2"/>
  <c r="L3115" i="2"/>
  <c r="E3115" i="2"/>
  <c r="D3115" i="2"/>
  <c r="L3114" i="2"/>
  <c r="E3114" i="2"/>
  <c r="D3114" i="2"/>
  <c r="X3113" i="2"/>
  <c r="L3113" i="2"/>
  <c r="E3113" i="2"/>
  <c r="D3113" i="2"/>
  <c r="L3112" i="2"/>
  <c r="E3112" i="2"/>
  <c r="D3112" i="2"/>
  <c r="L3111" i="2"/>
  <c r="E3111" i="2"/>
  <c r="D3111" i="2"/>
  <c r="L3110" i="2"/>
  <c r="E3110" i="2"/>
  <c r="D3110" i="2"/>
  <c r="X3109" i="2"/>
  <c r="L3109" i="2"/>
  <c r="E3109" i="2"/>
  <c r="D3109" i="2"/>
  <c r="L3108" i="2"/>
  <c r="E3108" i="2"/>
  <c r="D3108" i="2"/>
  <c r="X3107" i="2"/>
  <c r="L3107" i="2"/>
  <c r="E3107" i="2"/>
  <c r="D3107" i="2"/>
  <c r="L3106" i="2"/>
  <c r="E3106" i="2"/>
  <c r="D3106" i="2"/>
  <c r="X3105" i="2"/>
  <c r="L3105" i="2"/>
  <c r="E3105" i="2"/>
  <c r="D3105" i="2"/>
  <c r="L3104" i="2"/>
  <c r="E3104" i="2"/>
  <c r="D3104" i="2"/>
  <c r="X3103" i="2"/>
  <c r="L3103" i="2"/>
  <c r="E3103" i="2"/>
  <c r="D3103" i="2"/>
  <c r="L3102" i="2"/>
  <c r="E3102" i="2"/>
  <c r="D3102" i="2"/>
  <c r="L3101" i="2"/>
  <c r="E3101" i="2"/>
  <c r="D3101" i="2"/>
  <c r="L3100" i="2"/>
  <c r="E3100" i="2"/>
  <c r="D3100" i="2"/>
  <c r="L3099" i="2"/>
  <c r="E3099" i="2"/>
  <c r="D3099" i="2"/>
  <c r="L3098" i="2"/>
  <c r="E3098" i="2"/>
  <c r="D3098" i="2"/>
  <c r="L3097" i="2"/>
  <c r="E3097" i="2"/>
  <c r="D3097" i="2"/>
  <c r="L3096" i="2"/>
  <c r="E3096" i="2"/>
  <c r="D3096" i="2"/>
  <c r="L3095" i="2"/>
  <c r="E3095" i="2"/>
  <c r="D3095" i="2"/>
  <c r="X3094" i="2"/>
  <c r="L3094" i="2"/>
  <c r="E3094" i="2"/>
  <c r="D3094" i="2"/>
  <c r="X3093" i="2"/>
  <c r="L3093" i="2"/>
  <c r="E3093" i="2"/>
  <c r="D3093" i="2"/>
  <c r="L3092" i="2"/>
  <c r="E3092" i="2"/>
  <c r="D3092" i="2"/>
  <c r="L3091" i="2"/>
  <c r="E3091" i="2"/>
  <c r="D3091" i="2"/>
  <c r="L3090" i="2"/>
  <c r="E3090" i="2"/>
  <c r="D3090" i="2"/>
  <c r="L3089" i="2"/>
  <c r="E3089" i="2"/>
  <c r="D3089" i="2"/>
  <c r="L3088" i="2"/>
  <c r="E3088" i="2"/>
  <c r="D3088" i="2"/>
  <c r="L3087" i="2"/>
  <c r="E3087" i="2"/>
  <c r="D3087" i="2"/>
  <c r="L3086" i="2"/>
  <c r="E3086" i="2"/>
  <c r="D3086" i="2"/>
  <c r="X3085" i="2"/>
  <c r="L3085" i="2"/>
  <c r="E3085" i="2"/>
  <c r="D3085" i="2"/>
  <c r="L3084" i="2"/>
  <c r="E3084" i="2"/>
  <c r="D3084" i="2"/>
  <c r="X3083" i="2"/>
  <c r="L3083" i="2"/>
  <c r="E3083" i="2"/>
  <c r="D3083" i="2"/>
  <c r="L3082" i="2"/>
  <c r="E3082" i="2"/>
  <c r="D3082" i="2"/>
  <c r="L3081" i="2"/>
  <c r="E3081" i="2"/>
  <c r="D3081" i="2"/>
  <c r="L3080" i="2"/>
  <c r="E3080" i="2"/>
  <c r="D3080" i="2"/>
  <c r="L3079" i="2"/>
  <c r="E3079" i="2"/>
  <c r="D3079" i="2"/>
  <c r="X3078" i="2"/>
  <c r="L3078" i="2"/>
  <c r="E3078" i="2"/>
  <c r="D3078" i="2"/>
  <c r="L3077" i="2"/>
  <c r="E3077" i="2"/>
  <c r="D3077" i="2"/>
  <c r="X3076" i="2"/>
  <c r="L3076" i="2"/>
  <c r="E3076" i="2"/>
  <c r="D3076" i="2"/>
  <c r="L3075" i="2"/>
  <c r="E3075" i="2"/>
  <c r="D3075" i="2"/>
  <c r="L3074" i="2"/>
  <c r="E3074" i="2"/>
  <c r="D3074" i="2"/>
  <c r="L3073" i="2"/>
  <c r="E3073" i="2"/>
  <c r="D3073" i="2"/>
  <c r="L3072" i="2"/>
  <c r="E3072" i="2"/>
  <c r="D3072" i="2"/>
  <c r="L3071" i="2"/>
  <c r="E3071" i="2"/>
  <c r="D3071" i="2"/>
  <c r="X3070" i="2"/>
  <c r="L3070" i="2"/>
  <c r="E3070" i="2"/>
  <c r="D3070" i="2"/>
  <c r="L3069" i="2"/>
  <c r="E3069" i="2"/>
  <c r="D3069" i="2"/>
  <c r="L3068" i="2"/>
  <c r="E3068" i="2"/>
  <c r="D3068" i="2"/>
  <c r="L3067" i="2"/>
  <c r="E3067" i="2"/>
  <c r="D3067" i="2"/>
  <c r="L3066" i="2"/>
  <c r="E3066" i="2"/>
  <c r="D3066" i="2"/>
  <c r="L3065" i="2"/>
  <c r="E3065" i="2"/>
  <c r="D3065" i="2"/>
  <c r="L3064" i="2"/>
  <c r="E3064" i="2"/>
  <c r="D3064" i="2"/>
  <c r="L3063" i="2"/>
  <c r="E3063" i="2"/>
  <c r="D3063" i="2"/>
  <c r="X3062" i="2"/>
  <c r="L3062" i="2"/>
  <c r="E3062" i="2"/>
  <c r="D3062" i="2"/>
  <c r="L3061" i="2"/>
  <c r="E3061" i="2"/>
  <c r="D3061" i="2"/>
  <c r="L3060" i="2"/>
  <c r="E3060" i="2"/>
  <c r="D3060" i="2"/>
  <c r="L3059" i="2"/>
  <c r="E3059" i="2"/>
  <c r="D3059" i="2"/>
  <c r="L3058" i="2"/>
  <c r="E3058" i="2"/>
  <c r="D3058" i="2"/>
  <c r="L3057" i="2"/>
  <c r="E3057" i="2"/>
  <c r="D3057" i="2"/>
  <c r="L3056" i="2"/>
  <c r="E3056" i="2"/>
  <c r="D3056" i="2"/>
  <c r="L3055" i="2"/>
  <c r="E3055" i="2"/>
  <c r="D3055" i="2"/>
  <c r="L3054" i="2"/>
  <c r="E3054" i="2"/>
  <c r="D3054" i="2"/>
  <c r="L3053" i="2"/>
  <c r="E3053" i="2"/>
  <c r="D3053" i="2"/>
  <c r="L3052" i="2"/>
  <c r="E3052" i="2"/>
  <c r="D3052" i="2"/>
  <c r="L3051" i="2"/>
  <c r="E3051" i="2"/>
  <c r="D3051" i="2"/>
  <c r="L3050" i="2"/>
  <c r="E3050" i="2"/>
  <c r="D3050" i="2"/>
  <c r="L3049" i="2"/>
  <c r="E3049" i="2"/>
  <c r="D3049" i="2"/>
  <c r="L3048" i="2"/>
  <c r="E3048" i="2"/>
  <c r="D3048" i="2"/>
  <c r="X3047" i="2"/>
  <c r="L3047" i="2"/>
  <c r="E3047" i="2"/>
  <c r="D3047" i="2"/>
  <c r="L3046" i="2"/>
  <c r="E3046" i="2"/>
  <c r="D3046" i="2"/>
  <c r="L3045" i="2"/>
  <c r="E3045" i="2"/>
  <c r="D3045" i="2"/>
  <c r="L3044" i="2"/>
  <c r="E3044" i="2"/>
  <c r="D3044" i="2"/>
  <c r="L3043" i="2"/>
  <c r="E3043" i="2"/>
  <c r="D3043" i="2"/>
  <c r="L3042" i="2"/>
  <c r="E3042" i="2"/>
  <c r="D3042" i="2"/>
  <c r="L3041" i="2"/>
  <c r="E3041" i="2"/>
  <c r="D3041" i="2"/>
  <c r="L3040" i="2"/>
  <c r="E3040" i="2"/>
  <c r="D3040" i="2"/>
  <c r="L3039" i="2"/>
  <c r="E3039" i="2"/>
  <c r="D3039" i="2"/>
  <c r="L3038" i="2"/>
  <c r="E3038" i="2"/>
  <c r="D3038" i="2"/>
  <c r="L3037" i="2"/>
  <c r="E3037" i="2"/>
  <c r="D3037" i="2"/>
  <c r="L3036" i="2"/>
  <c r="E3036" i="2"/>
  <c r="D3036" i="2"/>
  <c r="L3035" i="2"/>
  <c r="E3035" i="2"/>
  <c r="D3035" i="2"/>
  <c r="L3034" i="2"/>
  <c r="E3034" i="2"/>
  <c r="D3034" i="2"/>
  <c r="L3033" i="2"/>
  <c r="E3033" i="2"/>
  <c r="D3033" i="2"/>
  <c r="L3032" i="2"/>
  <c r="E3032" i="2"/>
  <c r="D3032" i="2"/>
  <c r="L3031" i="2"/>
  <c r="E3031" i="2"/>
  <c r="D3031" i="2"/>
  <c r="L3030" i="2"/>
  <c r="E3030" i="2"/>
  <c r="D3030" i="2"/>
  <c r="L3029" i="2"/>
  <c r="E3029" i="2"/>
  <c r="D3029" i="2"/>
  <c r="L3028" i="2"/>
  <c r="E3028" i="2"/>
  <c r="D3028" i="2"/>
  <c r="L3027" i="2"/>
  <c r="E3027" i="2"/>
  <c r="D3027" i="2"/>
  <c r="L3026" i="2"/>
  <c r="E3026" i="2"/>
  <c r="D3026" i="2"/>
  <c r="X3025" i="2"/>
  <c r="L3025" i="2"/>
  <c r="E3025" i="2"/>
  <c r="D3025" i="2"/>
  <c r="L3024" i="2"/>
  <c r="E3024" i="2"/>
  <c r="D3024" i="2"/>
  <c r="L3023" i="2"/>
  <c r="E3023" i="2"/>
  <c r="D3023" i="2"/>
  <c r="L3022" i="2"/>
  <c r="E3022" i="2"/>
  <c r="D3022" i="2"/>
  <c r="L3021" i="2"/>
  <c r="E3021" i="2"/>
  <c r="D3021" i="2"/>
  <c r="L3020" i="2"/>
  <c r="E3020" i="2"/>
  <c r="D3020" i="2"/>
  <c r="L3019" i="2"/>
  <c r="E3019" i="2"/>
  <c r="D3019" i="2"/>
  <c r="L3018" i="2"/>
  <c r="E3018" i="2"/>
  <c r="D3018" i="2"/>
  <c r="X3017" i="2"/>
  <c r="L3017" i="2"/>
  <c r="E3017" i="2"/>
  <c r="D3017" i="2"/>
  <c r="L3016" i="2"/>
  <c r="E3016" i="2"/>
  <c r="D3016" i="2"/>
  <c r="L3015" i="2"/>
  <c r="E3015" i="2"/>
  <c r="D3015" i="2"/>
  <c r="L3014" i="2"/>
  <c r="E3014" i="2"/>
  <c r="D3014" i="2"/>
  <c r="L3013" i="2"/>
  <c r="E3013" i="2"/>
  <c r="D3013" i="2"/>
  <c r="L3012" i="2"/>
  <c r="E3012" i="2"/>
  <c r="D3012" i="2"/>
  <c r="L3011" i="2"/>
  <c r="E3011" i="2"/>
  <c r="D3011" i="2"/>
  <c r="L3010" i="2"/>
  <c r="E3010" i="2"/>
  <c r="D3010" i="2"/>
  <c r="L3009" i="2"/>
  <c r="E3009" i="2"/>
  <c r="D3009" i="2"/>
  <c r="L3008" i="2"/>
  <c r="E3008" i="2"/>
  <c r="D3008" i="2"/>
  <c r="L3007" i="2"/>
  <c r="E3007" i="2"/>
  <c r="D3007" i="2"/>
  <c r="L3006" i="2"/>
  <c r="E3006" i="2"/>
  <c r="D3006" i="2"/>
  <c r="L3005" i="2"/>
  <c r="E3005" i="2"/>
  <c r="D3005" i="2"/>
  <c r="L3004" i="2"/>
  <c r="E3004" i="2"/>
  <c r="D3004" i="2"/>
  <c r="L3003" i="2"/>
  <c r="E3003" i="2"/>
  <c r="D3003" i="2"/>
  <c r="L3002" i="2"/>
  <c r="E3002" i="2"/>
  <c r="D3002" i="2"/>
  <c r="L3001" i="2"/>
  <c r="E3001" i="2"/>
  <c r="D3001" i="2"/>
  <c r="L3000" i="2"/>
  <c r="E3000" i="2"/>
  <c r="D3000" i="2"/>
  <c r="X2999" i="2"/>
  <c r="L2999" i="2"/>
  <c r="E2999" i="2"/>
  <c r="D2999" i="2"/>
  <c r="L2998" i="2"/>
  <c r="E2998" i="2"/>
  <c r="D2998" i="2"/>
  <c r="L2997" i="2"/>
  <c r="E2997" i="2"/>
  <c r="D2997" i="2"/>
  <c r="L2996" i="2"/>
  <c r="E2996" i="2"/>
  <c r="D2996" i="2"/>
  <c r="L2995" i="2"/>
  <c r="E2995" i="2"/>
  <c r="D2995" i="2"/>
  <c r="L2994" i="2"/>
  <c r="E2994" i="2"/>
  <c r="D2994" i="2"/>
  <c r="L2993" i="2"/>
  <c r="E2993" i="2"/>
  <c r="D2993" i="2"/>
  <c r="L2992" i="2"/>
  <c r="E2992" i="2"/>
  <c r="D2992" i="2"/>
  <c r="X2991" i="2"/>
  <c r="L2991" i="2"/>
  <c r="E2991" i="2"/>
  <c r="D2991" i="2"/>
  <c r="X2990" i="2"/>
  <c r="L2990" i="2"/>
  <c r="E2990" i="2"/>
  <c r="D2990" i="2"/>
  <c r="X2989" i="2"/>
  <c r="L2989" i="2"/>
  <c r="E2989" i="2"/>
  <c r="D2989" i="2"/>
  <c r="L2988" i="2"/>
  <c r="E2988" i="2"/>
  <c r="D2988" i="2"/>
  <c r="L2987" i="2"/>
  <c r="E2987" i="2"/>
  <c r="D2987" i="2"/>
  <c r="L2986" i="2"/>
  <c r="E2986" i="2"/>
  <c r="D2986" i="2"/>
  <c r="L2985" i="2"/>
  <c r="E2985" i="2"/>
  <c r="D2985" i="2"/>
  <c r="L2984" i="2"/>
  <c r="E2984" i="2"/>
  <c r="D2984" i="2"/>
  <c r="L2983" i="2"/>
  <c r="E2983" i="2"/>
  <c r="D2983" i="2"/>
  <c r="L2982" i="2"/>
  <c r="E2982" i="2"/>
  <c r="D2982" i="2"/>
  <c r="X2981" i="2"/>
  <c r="L2981" i="2"/>
  <c r="E2981" i="2"/>
  <c r="D2981" i="2"/>
  <c r="L2980" i="2"/>
  <c r="E2980" i="2"/>
  <c r="D2980" i="2"/>
  <c r="L2979" i="2"/>
  <c r="E2979" i="2"/>
  <c r="D2979" i="2"/>
  <c r="L2978" i="2"/>
  <c r="E2978" i="2"/>
  <c r="D2978" i="2"/>
  <c r="L2977" i="2"/>
  <c r="E2977" i="2"/>
  <c r="D2977" i="2"/>
  <c r="L2976" i="2"/>
  <c r="E2976" i="2"/>
  <c r="D2976" i="2"/>
  <c r="L2975" i="2"/>
  <c r="E2975" i="2"/>
  <c r="D2975" i="2"/>
  <c r="L2974" i="2"/>
  <c r="E2974" i="2"/>
  <c r="D2974" i="2"/>
  <c r="L2973" i="2"/>
  <c r="E2973" i="2"/>
  <c r="D2973" i="2"/>
  <c r="L2972" i="2"/>
  <c r="E2972" i="2"/>
  <c r="D2972" i="2"/>
  <c r="L2971" i="2"/>
  <c r="E2971" i="2"/>
  <c r="D2971" i="2"/>
  <c r="L2970" i="2"/>
  <c r="E2970" i="2"/>
  <c r="D2970" i="2"/>
  <c r="L2969" i="2"/>
  <c r="E2969" i="2"/>
  <c r="D2969" i="2"/>
  <c r="L2968" i="2"/>
  <c r="E2968" i="2"/>
  <c r="D2968" i="2"/>
  <c r="L2967" i="2"/>
  <c r="E2967" i="2"/>
  <c r="D2967" i="2"/>
  <c r="L2966" i="2"/>
  <c r="E2966" i="2"/>
  <c r="D2966" i="2"/>
  <c r="L2965" i="2"/>
  <c r="E2965" i="2"/>
  <c r="D2965" i="2"/>
  <c r="L2964" i="2"/>
  <c r="E2964" i="2"/>
  <c r="D2964" i="2"/>
  <c r="L2963" i="2"/>
  <c r="E2963" i="2"/>
  <c r="D2963" i="2"/>
  <c r="L2962" i="2"/>
  <c r="E2962" i="2"/>
  <c r="D2962" i="2"/>
  <c r="L2961" i="2"/>
  <c r="E2961" i="2"/>
  <c r="D2961" i="2"/>
  <c r="L2960" i="2"/>
  <c r="E2960" i="2"/>
  <c r="D2960" i="2"/>
  <c r="L2959" i="2"/>
  <c r="E2959" i="2"/>
  <c r="D2959" i="2"/>
  <c r="L2958" i="2"/>
  <c r="E2958" i="2"/>
  <c r="D2958" i="2"/>
  <c r="L2957" i="2"/>
  <c r="E2957" i="2"/>
  <c r="D2957" i="2"/>
  <c r="L2956" i="2"/>
  <c r="E2956" i="2"/>
  <c r="D2956" i="2"/>
  <c r="L2955" i="2"/>
  <c r="E2955" i="2"/>
  <c r="D2955" i="2"/>
  <c r="L2954" i="2"/>
  <c r="E2954" i="2"/>
  <c r="D2954" i="2"/>
  <c r="L2953" i="2"/>
  <c r="E2953" i="2"/>
  <c r="D2953" i="2"/>
  <c r="L2952" i="2"/>
  <c r="E2952" i="2"/>
  <c r="D2952" i="2"/>
  <c r="L2951" i="2"/>
  <c r="E2951" i="2"/>
  <c r="D2951" i="2"/>
  <c r="L2950" i="2"/>
  <c r="E2950" i="2"/>
  <c r="D2950" i="2"/>
  <c r="L2949" i="2"/>
  <c r="E2949" i="2"/>
  <c r="D2949" i="2"/>
  <c r="L2948" i="2"/>
  <c r="E2948" i="2"/>
  <c r="D2948" i="2"/>
  <c r="L2947" i="2"/>
  <c r="E2947" i="2"/>
  <c r="D2947" i="2"/>
  <c r="L2946" i="2"/>
  <c r="E2946" i="2"/>
  <c r="D2946" i="2"/>
  <c r="L2945" i="2"/>
  <c r="E2945" i="2"/>
  <c r="D2945" i="2"/>
  <c r="L2944" i="2"/>
  <c r="E2944" i="2"/>
  <c r="D2944" i="2"/>
  <c r="X2943" i="2"/>
  <c r="L2943" i="2"/>
  <c r="E2943" i="2"/>
  <c r="D2943" i="2"/>
  <c r="L2942" i="2"/>
  <c r="E2942" i="2"/>
  <c r="D2942" i="2"/>
  <c r="L2941" i="2"/>
  <c r="E2941" i="2"/>
  <c r="D2941" i="2"/>
  <c r="L2940" i="2"/>
  <c r="E2940" i="2"/>
  <c r="D2940" i="2"/>
  <c r="L2939" i="2"/>
  <c r="E2939" i="2"/>
  <c r="D2939" i="2"/>
  <c r="L2938" i="2"/>
  <c r="E2938" i="2"/>
  <c r="D2938" i="2"/>
  <c r="L2937" i="2"/>
  <c r="E2937" i="2"/>
  <c r="D2937" i="2"/>
  <c r="L2936" i="2"/>
  <c r="E2936" i="2"/>
  <c r="D2936" i="2"/>
  <c r="L2935" i="2"/>
  <c r="E2935" i="2"/>
  <c r="D2935" i="2"/>
  <c r="L2934" i="2"/>
  <c r="E2934" i="2"/>
  <c r="D2934" i="2"/>
  <c r="L2933" i="2"/>
  <c r="E2933" i="2"/>
  <c r="D2933" i="2"/>
  <c r="L2932" i="2"/>
  <c r="E2932" i="2"/>
  <c r="D2932" i="2"/>
  <c r="L2931" i="2"/>
  <c r="E2931" i="2"/>
  <c r="D2931" i="2"/>
  <c r="L2930" i="2"/>
  <c r="E2930" i="2"/>
  <c r="D2930" i="2"/>
  <c r="L2929" i="2"/>
  <c r="E2929" i="2"/>
  <c r="D2929" i="2"/>
  <c r="L2928" i="2"/>
  <c r="E2928" i="2"/>
  <c r="D2928" i="2"/>
  <c r="L2927" i="2"/>
  <c r="E2927" i="2"/>
  <c r="D2927" i="2"/>
  <c r="L2926" i="2"/>
  <c r="E2926" i="2"/>
  <c r="D2926" i="2"/>
  <c r="L2925" i="2"/>
  <c r="E2925" i="2"/>
  <c r="D2925" i="2"/>
  <c r="L2924" i="2"/>
  <c r="E2924" i="2"/>
  <c r="D2924" i="2"/>
  <c r="L2923" i="2"/>
  <c r="E2923" i="2"/>
  <c r="D2923" i="2"/>
  <c r="X2922" i="2"/>
  <c r="L2922" i="2"/>
  <c r="E2922" i="2"/>
  <c r="D2922" i="2"/>
  <c r="L2921" i="2"/>
  <c r="E2921" i="2"/>
  <c r="D2921" i="2"/>
  <c r="L2920" i="2"/>
  <c r="E2920" i="2"/>
  <c r="D2920" i="2"/>
  <c r="L2919" i="2"/>
  <c r="E2919" i="2"/>
  <c r="D2919" i="2"/>
  <c r="L2918" i="2"/>
  <c r="E2918" i="2"/>
  <c r="D2918" i="2"/>
  <c r="L2917" i="2"/>
  <c r="E2917" i="2"/>
  <c r="D2917" i="2"/>
  <c r="L2916" i="2"/>
  <c r="E2916" i="2"/>
  <c r="D2916" i="2"/>
  <c r="L2915" i="2"/>
  <c r="E2915" i="2"/>
  <c r="D2915" i="2"/>
  <c r="X2914" i="2"/>
  <c r="L2914" i="2"/>
  <c r="E2914" i="2"/>
  <c r="D2914" i="2"/>
  <c r="L2913" i="2"/>
  <c r="E2913" i="2"/>
  <c r="D2913" i="2"/>
  <c r="L2912" i="2"/>
  <c r="E2912" i="2"/>
  <c r="D2912" i="2"/>
  <c r="L2911" i="2"/>
  <c r="E2911" i="2"/>
  <c r="D2911" i="2"/>
  <c r="L2910" i="2"/>
  <c r="E2910" i="2"/>
  <c r="D2910" i="2"/>
  <c r="L2909" i="2"/>
  <c r="E2909" i="2"/>
  <c r="D2909" i="2"/>
  <c r="L2908" i="2"/>
  <c r="E2908" i="2"/>
  <c r="D2908" i="2"/>
  <c r="L2907" i="2"/>
  <c r="E2907" i="2"/>
  <c r="D2907" i="2"/>
  <c r="L2906" i="2"/>
  <c r="E2906" i="2"/>
  <c r="D2906" i="2"/>
  <c r="L2905" i="2"/>
  <c r="E2905" i="2"/>
  <c r="D2905" i="2"/>
  <c r="L2904" i="2"/>
  <c r="E2904" i="2"/>
  <c r="D2904" i="2"/>
  <c r="L2903" i="2"/>
  <c r="E2903" i="2"/>
  <c r="D2903" i="2"/>
  <c r="L2902" i="2"/>
  <c r="E2902" i="2"/>
  <c r="D2902" i="2"/>
  <c r="L2901" i="2"/>
  <c r="E2901" i="2"/>
  <c r="D2901" i="2"/>
  <c r="L2900" i="2"/>
  <c r="E2900" i="2"/>
  <c r="D2900" i="2"/>
  <c r="L2899" i="2"/>
  <c r="E2899" i="2"/>
  <c r="D2899" i="2"/>
  <c r="L2898" i="2"/>
  <c r="E2898" i="2"/>
  <c r="D2898" i="2"/>
  <c r="L2897" i="2"/>
  <c r="E2897" i="2"/>
  <c r="D2897" i="2"/>
  <c r="L2896" i="2"/>
  <c r="E2896" i="2"/>
  <c r="D2896" i="2"/>
  <c r="L2895" i="2"/>
  <c r="E2895" i="2"/>
  <c r="D2895" i="2"/>
  <c r="L2894" i="2"/>
  <c r="E2894" i="2"/>
  <c r="D2894" i="2"/>
  <c r="L2893" i="2"/>
  <c r="E2893" i="2"/>
  <c r="D2893" i="2"/>
  <c r="L2892" i="2"/>
  <c r="E2892" i="2"/>
  <c r="D2892" i="2"/>
  <c r="L2891" i="2"/>
  <c r="E2891" i="2"/>
  <c r="D2891" i="2"/>
  <c r="L2890" i="2"/>
  <c r="E2890" i="2"/>
  <c r="D2890" i="2"/>
  <c r="L2889" i="2"/>
  <c r="E2889" i="2"/>
  <c r="D2889" i="2"/>
  <c r="L2888" i="2"/>
  <c r="E2888" i="2"/>
  <c r="D2888" i="2"/>
  <c r="L2887" i="2"/>
  <c r="E2887" i="2"/>
  <c r="D2887" i="2"/>
  <c r="L2886" i="2"/>
  <c r="E2886" i="2"/>
  <c r="D2886" i="2"/>
  <c r="L2885" i="2"/>
  <c r="E2885" i="2"/>
  <c r="D2885" i="2"/>
  <c r="L2884" i="2"/>
  <c r="E2884" i="2"/>
  <c r="D2884" i="2"/>
  <c r="L2883" i="2"/>
  <c r="E2883" i="2"/>
  <c r="D2883" i="2"/>
  <c r="X2882" i="2"/>
  <c r="L2882" i="2"/>
  <c r="E2882" i="2"/>
  <c r="D2882" i="2"/>
  <c r="L2881" i="2"/>
  <c r="E2881" i="2"/>
  <c r="D2881" i="2"/>
  <c r="L2880" i="2"/>
  <c r="E2880" i="2"/>
  <c r="D2880" i="2"/>
  <c r="L2879" i="2"/>
  <c r="E2879" i="2"/>
  <c r="D2879" i="2"/>
  <c r="L2878" i="2"/>
  <c r="E2878" i="2"/>
  <c r="D2878" i="2"/>
  <c r="L2877" i="2"/>
  <c r="E2877" i="2"/>
  <c r="D2877" i="2"/>
  <c r="L2876" i="2"/>
  <c r="E2876" i="2"/>
  <c r="D2876" i="2"/>
  <c r="L2875" i="2"/>
  <c r="E2875" i="2"/>
  <c r="D2875" i="2"/>
  <c r="L2874" i="2"/>
  <c r="E2874" i="2"/>
  <c r="D2874" i="2"/>
  <c r="L2873" i="2"/>
  <c r="E2873" i="2"/>
  <c r="D2873" i="2"/>
  <c r="L2872" i="2"/>
  <c r="E2872" i="2"/>
  <c r="D2872" i="2"/>
  <c r="X2871" i="2"/>
  <c r="L2871" i="2"/>
  <c r="E2871" i="2"/>
  <c r="D2871" i="2"/>
  <c r="X2870" i="2"/>
  <c r="L2870" i="2"/>
  <c r="E2870" i="2"/>
  <c r="D2870" i="2"/>
  <c r="L2869" i="2"/>
  <c r="E2869" i="2"/>
  <c r="D2869" i="2"/>
  <c r="L2868" i="2"/>
  <c r="E2868" i="2"/>
  <c r="D2868" i="2"/>
  <c r="L2867" i="2"/>
  <c r="E2867" i="2"/>
  <c r="D2867" i="2"/>
  <c r="L2866" i="2"/>
  <c r="E2866" i="2"/>
  <c r="D2866" i="2"/>
  <c r="L2865" i="2"/>
  <c r="E2865" i="2"/>
  <c r="D2865" i="2"/>
  <c r="L2864" i="2"/>
  <c r="E2864" i="2"/>
  <c r="D2864" i="2"/>
  <c r="L2863" i="2"/>
  <c r="E2863" i="2"/>
  <c r="D2863" i="2"/>
  <c r="L2862" i="2"/>
  <c r="E2862" i="2"/>
  <c r="D2862" i="2"/>
  <c r="L2861" i="2"/>
  <c r="E2861" i="2"/>
  <c r="D2861" i="2"/>
  <c r="L2860" i="2"/>
  <c r="E2860" i="2"/>
  <c r="D2860" i="2"/>
  <c r="L2859" i="2"/>
  <c r="E2859" i="2"/>
  <c r="D2859" i="2"/>
  <c r="L2858" i="2"/>
  <c r="E2858" i="2"/>
  <c r="D2858" i="2"/>
  <c r="L2857" i="2"/>
  <c r="E2857" i="2"/>
  <c r="D2857" i="2"/>
  <c r="L2856" i="2"/>
  <c r="E2856" i="2"/>
  <c r="D2856" i="2"/>
  <c r="L2855" i="2"/>
  <c r="E2855" i="2"/>
  <c r="D2855" i="2"/>
  <c r="L2854" i="2"/>
  <c r="E2854" i="2"/>
  <c r="D2854" i="2"/>
  <c r="L2853" i="2"/>
  <c r="E2853" i="2"/>
  <c r="D2853" i="2"/>
  <c r="L2852" i="2"/>
  <c r="E2852" i="2"/>
  <c r="D2852" i="2"/>
  <c r="L2851" i="2"/>
  <c r="E2851" i="2"/>
  <c r="D2851" i="2"/>
  <c r="L2850" i="2"/>
  <c r="E2850" i="2"/>
  <c r="D2850" i="2"/>
  <c r="L2849" i="2"/>
  <c r="E2849" i="2"/>
  <c r="D2849" i="2"/>
  <c r="L2848" i="2"/>
  <c r="E2848" i="2"/>
  <c r="D2848" i="2"/>
  <c r="X2847" i="2"/>
  <c r="L2847" i="2"/>
  <c r="E2847" i="2"/>
  <c r="D2847" i="2"/>
  <c r="L2846" i="2"/>
  <c r="E2846" i="2"/>
  <c r="D2846" i="2"/>
  <c r="L2845" i="2"/>
  <c r="E2845" i="2"/>
  <c r="D2845" i="2"/>
  <c r="L2844" i="2"/>
  <c r="E2844" i="2"/>
  <c r="D2844" i="2"/>
  <c r="X2843" i="2"/>
  <c r="L2843" i="2"/>
  <c r="E2843" i="2"/>
  <c r="D2843" i="2"/>
  <c r="L2842" i="2"/>
  <c r="E2842" i="2"/>
  <c r="D2842" i="2"/>
  <c r="L2841" i="2"/>
  <c r="E2841" i="2"/>
  <c r="D2841" i="2"/>
  <c r="L2840" i="2"/>
  <c r="E2840" i="2"/>
  <c r="D2840" i="2"/>
  <c r="L2839" i="2"/>
  <c r="E2839" i="2"/>
  <c r="D2839" i="2"/>
  <c r="X2838" i="2"/>
  <c r="L2838" i="2"/>
  <c r="E2838" i="2"/>
  <c r="D2838" i="2"/>
  <c r="X2837" i="2"/>
  <c r="L2837" i="2"/>
  <c r="E2837" i="2"/>
  <c r="D2837" i="2"/>
  <c r="X2836" i="2"/>
  <c r="L2836" i="2"/>
  <c r="E2836" i="2"/>
  <c r="D2836" i="2"/>
  <c r="L2835" i="2"/>
  <c r="E2835" i="2"/>
  <c r="D2835" i="2"/>
  <c r="L2834" i="2"/>
  <c r="E2834" i="2"/>
  <c r="D2834" i="2"/>
  <c r="L2833" i="2"/>
  <c r="E2833" i="2"/>
  <c r="D2833" i="2"/>
  <c r="L2832" i="2"/>
  <c r="E2832" i="2"/>
  <c r="D2832" i="2"/>
  <c r="L2831" i="2"/>
  <c r="E2831" i="2"/>
  <c r="D2831" i="2"/>
  <c r="X2830" i="2"/>
  <c r="L2830" i="2"/>
  <c r="E2830" i="2"/>
  <c r="D2830" i="2"/>
  <c r="L2829" i="2"/>
  <c r="E2829" i="2"/>
  <c r="D2829" i="2"/>
  <c r="L2828" i="2"/>
  <c r="E2828" i="2"/>
  <c r="D2828" i="2"/>
  <c r="L2827" i="2"/>
  <c r="E2827" i="2"/>
  <c r="D2827" i="2"/>
  <c r="L2826" i="2"/>
  <c r="E2826" i="2"/>
  <c r="D2826" i="2"/>
  <c r="L2825" i="2"/>
  <c r="E2825" i="2"/>
  <c r="D2825" i="2"/>
  <c r="L2824" i="2"/>
  <c r="E2824" i="2"/>
  <c r="D2824" i="2"/>
  <c r="X2823" i="2"/>
  <c r="L2823" i="2"/>
  <c r="E2823" i="2"/>
  <c r="D2823" i="2"/>
  <c r="L2822" i="2"/>
  <c r="E2822" i="2"/>
  <c r="D2822" i="2"/>
  <c r="L2821" i="2"/>
  <c r="E2821" i="2"/>
  <c r="D2821" i="2"/>
  <c r="L2820" i="2"/>
  <c r="E2820" i="2"/>
  <c r="D2820" i="2"/>
  <c r="L2819" i="2"/>
  <c r="E2819" i="2"/>
  <c r="D2819" i="2"/>
  <c r="X2818" i="2"/>
  <c r="L2818" i="2"/>
  <c r="E2818" i="2"/>
  <c r="D2818" i="2"/>
  <c r="L2817" i="2"/>
  <c r="E2817" i="2"/>
  <c r="D2817" i="2"/>
  <c r="L2816" i="2"/>
  <c r="E2816" i="2"/>
  <c r="D2816" i="2"/>
  <c r="X2815" i="2"/>
  <c r="L2815" i="2"/>
  <c r="E2815" i="2"/>
  <c r="D2815" i="2"/>
  <c r="L2814" i="2"/>
  <c r="E2814" i="2"/>
  <c r="D2814" i="2"/>
  <c r="L2813" i="2"/>
  <c r="E2813" i="2"/>
  <c r="D2813" i="2"/>
  <c r="L2812" i="2"/>
  <c r="E2812" i="2"/>
  <c r="D2812" i="2"/>
  <c r="L2811" i="2"/>
  <c r="E2811" i="2"/>
  <c r="D2811" i="2"/>
  <c r="L2810" i="2"/>
  <c r="E2810" i="2"/>
  <c r="D2810" i="2"/>
  <c r="X2809" i="2"/>
  <c r="L2809" i="2"/>
  <c r="E2809" i="2"/>
  <c r="D2809" i="2"/>
  <c r="L2808" i="2"/>
  <c r="E2808" i="2"/>
  <c r="D2808" i="2"/>
  <c r="L2807" i="2"/>
  <c r="E2807" i="2"/>
  <c r="D2807" i="2"/>
  <c r="L2806" i="2"/>
  <c r="E2806" i="2"/>
  <c r="D2806" i="2"/>
  <c r="X2805" i="2"/>
  <c r="L2805" i="2"/>
  <c r="E2805" i="2"/>
  <c r="D2805" i="2"/>
  <c r="L2804" i="2"/>
  <c r="E2804" i="2"/>
  <c r="D2804" i="2"/>
  <c r="L2803" i="2"/>
  <c r="E2803" i="2"/>
  <c r="D2803" i="2"/>
  <c r="L2802" i="2"/>
  <c r="E2802" i="2"/>
  <c r="D2802" i="2"/>
  <c r="L2801" i="2"/>
  <c r="E2801" i="2"/>
  <c r="D2801" i="2"/>
  <c r="L2800" i="2"/>
  <c r="E2800" i="2"/>
  <c r="D2800" i="2"/>
  <c r="L2799" i="2"/>
  <c r="E2799" i="2"/>
  <c r="D2799" i="2"/>
  <c r="L2798" i="2"/>
  <c r="E2798" i="2"/>
  <c r="D2798" i="2"/>
  <c r="X2797" i="2"/>
  <c r="L2797" i="2"/>
  <c r="E2797" i="2"/>
  <c r="D2797" i="2"/>
  <c r="L2796" i="2"/>
  <c r="E2796" i="2"/>
  <c r="D2796" i="2"/>
  <c r="L2795" i="2"/>
  <c r="E2795" i="2"/>
  <c r="D2795" i="2"/>
  <c r="L2794" i="2"/>
  <c r="E2794" i="2"/>
  <c r="D2794" i="2"/>
  <c r="L2793" i="2"/>
  <c r="E2793" i="2"/>
  <c r="D2793" i="2"/>
  <c r="L2792" i="2"/>
  <c r="E2792" i="2"/>
  <c r="D2792" i="2"/>
  <c r="L2791" i="2"/>
  <c r="E2791" i="2"/>
  <c r="D2791" i="2"/>
  <c r="L2790" i="2"/>
  <c r="E2790" i="2"/>
  <c r="D2790" i="2"/>
  <c r="L2789" i="2"/>
  <c r="E2789" i="2"/>
  <c r="D2789" i="2"/>
  <c r="L2788" i="2"/>
  <c r="E2788" i="2"/>
  <c r="D2788" i="2"/>
  <c r="X2787" i="2"/>
  <c r="L2787" i="2"/>
  <c r="E2787" i="2"/>
  <c r="D2787" i="2"/>
  <c r="L2786" i="2"/>
  <c r="E2786" i="2"/>
  <c r="D2786" i="2"/>
  <c r="L2785" i="2"/>
  <c r="E2785" i="2"/>
  <c r="D2785" i="2"/>
  <c r="L2784" i="2"/>
  <c r="E2784" i="2"/>
  <c r="D2784" i="2"/>
  <c r="L2783" i="2"/>
  <c r="E2783" i="2"/>
  <c r="D2783" i="2"/>
  <c r="L2782" i="2"/>
  <c r="E2782" i="2"/>
  <c r="D2782" i="2"/>
  <c r="L2781" i="2"/>
  <c r="E2781" i="2"/>
  <c r="D2781" i="2"/>
  <c r="L2780" i="2"/>
  <c r="E2780" i="2"/>
  <c r="D2780" i="2"/>
  <c r="L2779" i="2"/>
  <c r="E2779" i="2"/>
  <c r="D2779" i="2"/>
  <c r="L2778" i="2"/>
  <c r="E2778" i="2"/>
  <c r="D2778" i="2"/>
  <c r="X2777" i="2"/>
  <c r="L2777" i="2"/>
  <c r="E2777" i="2"/>
  <c r="D2777" i="2"/>
  <c r="L2776" i="2"/>
  <c r="E2776" i="2"/>
  <c r="D2776" i="2"/>
  <c r="L2775" i="2"/>
  <c r="E2775" i="2"/>
  <c r="D2775" i="2"/>
  <c r="L2774" i="2"/>
  <c r="E2774" i="2"/>
  <c r="D2774" i="2"/>
  <c r="L2773" i="2"/>
  <c r="E2773" i="2"/>
  <c r="D2773" i="2"/>
  <c r="L2772" i="2"/>
  <c r="E2772" i="2"/>
  <c r="D2772" i="2"/>
  <c r="L2771" i="2"/>
  <c r="E2771" i="2"/>
  <c r="D2771" i="2"/>
  <c r="L2770" i="2"/>
  <c r="E2770" i="2"/>
  <c r="D2770" i="2"/>
  <c r="L2769" i="2"/>
  <c r="E2769" i="2"/>
  <c r="D2769" i="2"/>
  <c r="L2768" i="2"/>
  <c r="E2768" i="2"/>
  <c r="D2768" i="2"/>
  <c r="L2767" i="2"/>
  <c r="E2767" i="2"/>
  <c r="D2767" i="2"/>
  <c r="L2766" i="2"/>
  <c r="E2766" i="2"/>
  <c r="D2766" i="2"/>
  <c r="L2765" i="2"/>
  <c r="E2765" i="2"/>
  <c r="D2765" i="2"/>
  <c r="X2764" i="2"/>
  <c r="L2764" i="2"/>
  <c r="E2764" i="2"/>
  <c r="D2764" i="2"/>
  <c r="L2763" i="2"/>
  <c r="E2763" i="2"/>
  <c r="D2763" i="2"/>
  <c r="L2762" i="2"/>
  <c r="E2762" i="2"/>
  <c r="D2762" i="2"/>
  <c r="L2761" i="2"/>
  <c r="E2761" i="2"/>
  <c r="D2761" i="2"/>
  <c r="L2760" i="2"/>
  <c r="E2760" i="2"/>
  <c r="D2760" i="2"/>
  <c r="L2759" i="2"/>
  <c r="E2759" i="2"/>
  <c r="D2759" i="2"/>
  <c r="L2758" i="2"/>
  <c r="E2758" i="2"/>
  <c r="D2758" i="2"/>
  <c r="L2757" i="2"/>
  <c r="E2757" i="2"/>
  <c r="D2757" i="2"/>
  <c r="L2756" i="2"/>
  <c r="E2756" i="2"/>
  <c r="D2756" i="2"/>
  <c r="L2755" i="2"/>
  <c r="E2755" i="2"/>
  <c r="D2755" i="2"/>
  <c r="X2754" i="2"/>
  <c r="L2754" i="2"/>
  <c r="E2754" i="2"/>
  <c r="D2754" i="2"/>
  <c r="L2753" i="2"/>
  <c r="E2753" i="2"/>
  <c r="D2753" i="2"/>
  <c r="L2752" i="2"/>
  <c r="E2752" i="2"/>
  <c r="D2752" i="2"/>
  <c r="L2751" i="2"/>
  <c r="E2751" i="2"/>
  <c r="D2751" i="2"/>
  <c r="X2750" i="2"/>
  <c r="L2750" i="2"/>
  <c r="E2750" i="2"/>
  <c r="D2750" i="2"/>
  <c r="L2749" i="2"/>
  <c r="E2749" i="2"/>
  <c r="D2749" i="2"/>
  <c r="L2748" i="2"/>
  <c r="E2748" i="2"/>
  <c r="D2748" i="2"/>
  <c r="L2747" i="2"/>
  <c r="E2747" i="2"/>
  <c r="D2747" i="2"/>
  <c r="L2746" i="2"/>
  <c r="E2746" i="2"/>
  <c r="D2746" i="2"/>
  <c r="L2745" i="2"/>
  <c r="E2745" i="2"/>
  <c r="D2745" i="2"/>
  <c r="L2744" i="2"/>
  <c r="E2744" i="2"/>
  <c r="D2744" i="2"/>
  <c r="L2743" i="2"/>
  <c r="E2743" i="2"/>
  <c r="D2743" i="2"/>
  <c r="L2742" i="2"/>
  <c r="E2742" i="2"/>
  <c r="D2742" i="2"/>
  <c r="L2741" i="2"/>
  <c r="E2741" i="2"/>
  <c r="D2741" i="2"/>
  <c r="L2740" i="2"/>
  <c r="E2740" i="2"/>
  <c r="D2740" i="2"/>
  <c r="L2739" i="2"/>
  <c r="E2739" i="2"/>
  <c r="D2739" i="2"/>
  <c r="L2738" i="2"/>
  <c r="E2738" i="2"/>
  <c r="D2738" i="2"/>
  <c r="L2737" i="2"/>
  <c r="E2737" i="2"/>
  <c r="D2737" i="2"/>
  <c r="L2736" i="2"/>
  <c r="E2736" i="2"/>
  <c r="D2736" i="2"/>
  <c r="L2735" i="2"/>
  <c r="E2735" i="2"/>
  <c r="D2735" i="2"/>
  <c r="L2734" i="2"/>
  <c r="E2734" i="2"/>
  <c r="D2734" i="2"/>
  <c r="L2733" i="2"/>
  <c r="E2733" i="2"/>
  <c r="D2733" i="2"/>
  <c r="X2732" i="2"/>
  <c r="L2732" i="2"/>
  <c r="E2732" i="2"/>
  <c r="D2732" i="2"/>
  <c r="L2731" i="2"/>
  <c r="E2731" i="2"/>
  <c r="D2731" i="2"/>
  <c r="L2730" i="2"/>
  <c r="E2730" i="2"/>
  <c r="D2730" i="2"/>
  <c r="L2729" i="2"/>
  <c r="E2729" i="2"/>
  <c r="D2729" i="2"/>
  <c r="L2728" i="2"/>
  <c r="E2728" i="2"/>
  <c r="D2728" i="2"/>
  <c r="L2727" i="2"/>
  <c r="E2727" i="2"/>
  <c r="D2727" i="2"/>
  <c r="L2726" i="2"/>
  <c r="E2726" i="2"/>
  <c r="D2726" i="2"/>
  <c r="L2725" i="2"/>
  <c r="E2725" i="2"/>
  <c r="D2725" i="2"/>
  <c r="L2724" i="2"/>
  <c r="E2724" i="2"/>
  <c r="D2724" i="2"/>
  <c r="L2723" i="2"/>
  <c r="E2723" i="2"/>
  <c r="D2723" i="2"/>
  <c r="L2722" i="2"/>
  <c r="E2722" i="2"/>
  <c r="D2722" i="2"/>
  <c r="L2721" i="2"/>
  <c r="E2721" i="2"/>
  <c r="D2721" i="2"/>
  <c r="L2720" i="2"/>
  <c r="E2720" i="2"/>
  <c r="D2720" i="2"/>
  <c r="L2719" i="2"/>
  <c r="E2719" i="2"/>
  <c r="D2719" i="2"/>
  <c r="L2718" i="2"/>
  <c r="E2718" i="2"/>
  <c r="D2718" i="2"/>
  <c r="X2717" i="2"/>
  <c r="L2717" i="2"/>
  <c r="E2717" i="2"/>
  <c r="D2717" i="2"/>
  <c r="L2716" i="2"/>
  <c r="E2716" i="2"/>
  <c r="D2716" i="2"/>
  <c r="L2715" i="2"/>
  <c r="E2715" i="2"/>
  <c r="D2715" i="2"/>
  <c r="L2714" i="2"/>
  <c r="E2714" i="2"/>
  <c r="D2714" i="2"/>
  <c r="X2713" i="2"/>
  <c r="L2713" i="2"/>
  <c r="E2713" i="2"/>
  <c r="D2713" i="2"/>
  <c r="L2712" i="2"/>
  <c r="E2712" i="2"/>
  <c r="D2712" i="2"/>
  <c r="L2711" i="2"/>
  <c r="E2711" i="2"/>
  <c r="D2711" i="2"/>
  <c r="L2710" i="2"/>
  <c r="E2710" i="2"/>
  <c r="D2710" i="2"/>
  <c r="L2709" i="2"/>
  <c r="E2709" i="2"/>
  <c r="D2709" i="2"/>
  <c r="L2708" i="2"/>
  <c r="E2708" i="2"/>
  <c r="D2708" i="2"/>
  <c r="L2707" i="2"/>
  <c r="E2707" i="2"/>
  <c r="D2707" i="2"/>
  <c r="L2706" i="2"/>
  <c r="E2706" i="2"/>
  <c r="D2706" i="2"/>
  <c r="L2705" i="2"/>
  <c r="E2705" i="2"/>
  <c r="D2705" i="2"/>
  <c r="L2704" i="2"/>
  <c r="E2704" i="2"/>
  <c r="D2704" i="2"/>
  <c r="X2703" i="2"/>
  <c r="L2703" i="2"/>
  <c r="E2703" i="2"/>
  <c r="D2703" i="2"/>
  <c r="X2702" i="2"/>
  <c r="L2702" i="2"/>
  <c r="E2702" i="2"/>
  <c r="D2702" i="2"/>
  <c r="L2701" i="2"/>
  <c r="E2701" i="2"/>
  <c r="D2701" i="2"/>
  <c r="L2700" i="2"/>
  <c r="E2700" i="2"/>
  <c r="D2700" i="2"/>
  <c r="L2699" i="2"/>
  <c r="E2699" i="2"/>
  <c r="D2699" i="2"/>
  <c r="X2698" i="2"/>
  <c r="L2698" i="2"/>
  <c r="E2698" i="2"/>
  <c r="D2698" i="2"/>
  <c r="X2697" i="2"/>
  <c r="L2697" i="2"/>
  <c r="E2697" i="2"/>
  <c r="D2697" i="2"/>
  <c r="L2696" i="2"/>
  <c r="E2696" i="2"/>
  <c r="D2696" i="2"/>
  <c r="X2695" i="2"/>
  <c r="L2695" i="2"/>
  <c r="E2695" i="2"/>
  <c r="D2695" i="2"/>
  <c r="X2694" i="2"/>
  <c r="L2694" i="2"/>
  <c r="E2694" i="2"/>
  <c r="D2694" i="2"/>
  <c r="L2693" i="2"/>
  <c r="E2693" i="2"/>
  <c r="D2693" i="2"/>
  <c r="L2692" i="2"/>
  <c r="E2692" i="2"/>
  <c r="D2692" i="2"/>
  <c r="L2691" i="2"/>
  <c r="E2691" i="2"/>
  <c r="D2691" i="2"/>
  <c r="L2690" i="2"/>
  <c r="E2690" i="2"/>
  <c r="D2690" i="2"/>
  <c r="L2689" i="2"/>
  <c r="E2689" i="2"/>
  <c r="D2689" i="2"/>
  <c r="L2688" i="2"/>
  <c r="E2688" i="2"/>
  <c r="D2688" i="2"/>
  <c r="L2687" i="2"/>
  <c r="E2687" i="2"/>
  <c r="D2687" i="2"/>
  <c r="L2686" i="2"/>
  <c r="E2686" i="2"/>
  <c r="D2686" i="2"/>
  <c r="X2685" i="2"/>
  <c r="L2685" i="2"/>
  <c r="E2685" i="2"/>
  <c r="D2685" i="2"/>
  <c r="X2684" i="2"/>
  <c r="L2684" i="2"/>
  <c r="E2684" i="2"/>
  <c r="D2684" i="2"/>
  <c r="L2683" i="2"/>
  <c r="E2683" i="2"/>
  <c r="D2683" i="2"/>
  <c r="X2682" i="2"/>
  <c r="L2682" i="2"/>
  <c r="E2682" i="2"/>
  <c r="D2682" i="2"/>
  <c r="X2681" i="2"/>
  <c r="L2681" i="2"/>
  <c r="E2681" i="2"/>
  <c r="D2681" i="2"/>
  <c r="L2680" i="2"/>
  <c r="E2680" i="2"/>
  <c r="D2680" i="2"/>
  <c r="L2679" i="2"/>
  <c r="E2679" i="2"/>
  <c r="D2679" i="2"/>
  <c r="L2678" i="2"/>
  <c r="E2678" i="2"/>
  <c r="D2678" i="2"/>
  <c r="L2677" i="2"/>
  <c r="E2677" i="2"/>
  <c r="D2677" i="2"/>
  <c r="L2676" i="2"/>
  <c r="E2676" i="2"/>
  <c r="D2676" i="2"/>
  <c r="L2675" i="2"/>
  <c r="E2675" i="2"/>
  <c r="D2675" i="2"/>
  <c r="X2674" i="2"/>
  <c r="L2674" i="2"/>
  <c r="E2674" i="2"/>
  <c r="D2674" i="2"/>
  <c r="X2673" i="2"/>
  <c r="L2673" i="2"/>
  <c r="E2673" i="2"/>
  <c r="D2673" i="2"/>
  <c r="L2672" i="2"/>
  <c r="E2672" i="2"/>
  <c r="D2672" i="2"/>
  <c r="X2671" i="2"/>
  <c r="L2671" i="2"/>
  <c r="E2671" i="2"/>
  <c r="D2671" i="2"/>
  <c r="X2670" i="2"/>
  <c r="L2670" i="2"/>
  <c r="E2670" i="2"/>
  <c r="D2670" i="2"/>
  <c r="L2669" i="2"/>
  <c r="E2669" i="2"/>
  <c r="D2669" i="2"/>
  <c r="L2668" i="2"/>
  <c r="E2668" i="2"/>
  <c r="D2668" i="2"/>
  <c r="L2667" i="2"/>
  <c r="E2667" i="2"/>
  <c r="D2667" i="2"/>
  <c r="L2666" i="2"/>
  <c r="E2666" i="2"/>
  <c r="D2666" i="2"/>
  <c r="L2665" i="2"/>
  <c r="E2665" i="2"/>
  <c r="D2665" i="2"/>
  <c r="L2664" i="2"/>
  <c r="E2664" i="2"/>
  <c r="D2664" i="2"/>
  <c r="L2663" i="2"/>
  <c r="E2663" i="2"/>
  <c r="D2663" i="2"/>
  <c r="L2662" i="2"/>
  <c r="E2662" i="2"/>
  <c r="D2662" i="2"/>
  <c r="L2661" i="2"/>
  <c r="E2661" i="2"/>
  <c r="D2661" i="2"/>
  <c r="L2660" i="2"/>
  <c r="E2660" i="2"/>
  <c r="D2660" i="2"/>
  <c r="L2659" i="2"/>
  <c r="E2659" i="2"/>
  <c r="D2659" i="2"/>
  <c r="X2658" i="2"/>
  <c r="L2658" i="2"/>
  <c r="E2658" i="2"/>
  <c r="D2658" i="2"/>
  <c r="X2657" i="2"/>
  <c r="L2657" i="2"/>
  <c r="E2657" i="2"/>
  <c r="D2657" i="2"/>
  <c r="L2656" i="2"/>
  <c r="E2656" i="2"/>
  <c r="D2656" i="2"/>
  <c r="L2655" i="2"/>
  <c r="E2655" i="2"/>
  <c r="D2655" i="2"/>
  <c r="L2654" i="2"/>
  <c r="E2654" i="2"/>
  <c r="D2654" i="2"/>
  <c r="L2653" i="2"/>
  <c r="E2653" i="2"/>
  <c r="D2653" i="2"/>
  <c r="L2652" i="2"/>
  <c r="E2652" i="2"/>
  <c r="D2652" i="2"/>
  <c r="L2651" i="2"/>
  <c r="E2651" i="2"/>
  <c r="D2651" i="2"/>
  <c r="L2650" i="2"/>
  <c r="E2650" i="2"/>
  <c r="D2650" i="2"/>
  <c r="L2649" i="2"/>
  <c r="E2649" i="2"/>
  <c r="D2649" i="2"/>
  <c r="X2648" i="2"/>
  <c r="L2648" i="2"/>
  <c r="E2648" i="2"/>
  <c r="D2648" i="2"/>
  <c r="X2647" i="2"/>
  <c r="L2647" i="2"/>
  <c r="E2647" i="2"/>
  <c r="D2647" i="2"/>
  <c r="L2646" i="2"/>
  <c r="E2646" i="2"/>
  <c r="D2646" i="2"/>
  <c r="L2645" i="2"/>
  <c r="E2645" i="2"/>
  <c r="D2645" i="2"/>
  <c r="X2644" i="2"/>
  <c r="L2644" i="2"/>
  <c r="E2644" i="2"/>
  <c r="D2644" i="2"/>
  <c r="X2643" i="2"/>
  <c r="L2643" i="2"/>
  <c r="E2643" i="2"/>
  <c r="D2643" i="2"/>
  <c r="L2642" i="2"/>
  <c r="E2642" i="2"/>
  <c r="D2642" i="2"/>
  <c r="L2641" i="2"/>
  <c r="E2641" i="2"/>
  <c r="D2641" i="2"/>
  <c r="X2640" i="2"/>
  <c r="L2640" i="2"/>
  <c r="E2640" i="2"/>
  <c r="D2640" i="2"/>
  <c r="X2639" i="2"/>
  <c r="L2639" i="2"/>
  <c r="E2639" i="2"/>
  <c r="D2639" i="2"/>
  <c r="L2638" i="2"/>
  <c r="E2638" i="2"/>
  <c r="D2638" i="2"/>
  <c r="L2637" i="2"/>
  <c r="E2637" i="2"/>
  <c r="D2637" i="2"/>
  <c r="L2636" i="2"/>
  <c r="E2636" i="2"/>
  <c r="D2636" i="2"/>
  <c r="L2635" i="2"/>
  <c r="E2635" i="2"/>
  <c r="D2635" i="2"/>
  <c r="X2634" i="2"/>
  <c r="L2634" i="2"/>
  <c r="E2634" i="2"/>
  <c r="D2634" i="2"/>
  <c r="X2633" i="2"/>
  <c r="L2633" i="2"/>
  <c r="E2633" i="2"/>
  <c r="D2633" i="2"/>
  <c r="L2632" i="2"/>
  <c r="E2632" i="2"/>
  <c r="D2632" i="2"/>
  <c r="L2631" i="2"/>
  <c r="E2631" i="2"/>
  <c r="D2631" i="2"/>
  <c r="L2630" i="2"/>
  <c r="E2630" i="2"/>
  <c r="D2630" i="2"/>
  <c r="L2629" i="2"/>
  <c r="E2629" i="2"/>
  <c r="D2629" i="2"/>
  <c r="L2628" i="2"/>
  <c r="E2628" i="2"/>
  <c r="D2628" i="2"/>
  <c r="X2627" i="2"/>
  <c r="L2627" i="2"/>
  <c r="E2627" i="2"/>
  <c r="D2627" i="2"/>
  <c r="L2626" i="2"/>
  <c r="E2626" i="2"/>
  <c r="D2626" i="2"/>
  <c r="L2625" i="2"/>
  <c r="E2625" i="2"/>
  <c r="D2625" i="2"/>
  <c r="L2624" i="2"/>
  <c r="E2624" i="2"/>
  <c r="D2624" i="2"/>
  <c r="L2623" i="2"/>
  <c r="E2623" i="2"/>
  <c r="D2623" i="2"/>
  <c r="L2622" i="2"/>
  <c r="E2622" i="2"/>
  <c r="D2622" i="2"/>
  <c r="L2621" i="2"/>
  <c r="E2621" i="2"/>
  <c r="D2621" i="2"/>
  <c r="L2620" i="2"/>
  <c r="E2620" i="2"/>
  <c r="D2620" i="2"/>
  <c r="L2619" i="2"/>
  <c r="E2619" i="2"/>
  <c r="D2619" i="2"/>
  <c r="L2618" i="2"/>
  <c r="E2618" i="2"/>
  <c r="D2618" i="2"/>
  <c r="L2617" i="2"/>
  <c r="E2617" i="2"/>
  <c r="D2617" i="2"/>
  <c r="X2616" i="2"/>
  <c r="L2616" i="2"/>
  <c r="E2616" i="2"/>
  <c r="D2616" i="2"/>
  <c r="L2615" i="2"/>
  <c r="E2615" i="2"/>
  <c r="D2615" i="2"/>
  <c r="L2614" i="2"/>
  <c r="E2614" i="2"/>
  <c r="D2614" i="2"/>
  <c r="L2613" i="2"/>
  <c r="E2613" i="2"/>
  <c r="D2613" i="2"/>
  <c r="L2612" i="2"/>
  <c r="E2612" i="2"/>
  <c r="D2612" i="2"/>
  <c r="L2611" i="2"/>
  <c r="E2611" i="2"/>
  <c r="D2611" i="2"/>
  <c r="L2610" i="2"/>
  <c r="E2610" i="2"/>
  <c r="D2610" i="2"/>
  <c r="L2609" i="2"/>
  <c r="E2609" i="2"/>
  <c r="D2609" i="2"/>
  <c r="X2608" i="2"/>
  <c r="L2608" i="2"/>
  <c r="E2608" i="2"/>
  <c r="D2608" i="2"/>
  <c r="L2607" i="2"/>
  <c r="E2607" i="2"/>
  <c r="D2607" i="2"/>
  <c r="L2606" i="2"/>
  <c r="E2606" i="2"/>
  <c r="D2606" i="2"/>
  <c r="L2605" i="2"/>
  <c r="E2605" i="2"/>
  <c r="D2605" i="2"/>
  <c r="L2604" i="2"/>
  <c r="E2604" i="2"/>
  <c r="D2604" i="2"/>
  <c r="L2603" i="2"/>
  <c r="E2603" i="2"/>
  <c r="D2603" i="2"/>
  <c r="L2602" i="2"/>
  <c r="E2602" i="2"/>
  <c r="D2602" i="2"/>
  <c r="L2601" i="2"/>
  <c r="E2601" i="2"/>
  <c r="D2601" i="2"/>
  <c r="L2600" i="2"/>
  <c r="E2600" i="2"/>
  <c r="D2600" i="2"/>
  <c r="L2599" i="2"/>
  <c r="E2599" i="2"/>
  <c r="D2599" i="2"/>
  <c r="L2598" i="2"/>
  <c r="E2598" i="2"/>
  <c r="D2598" i="2"/>
  <c r="L2597" i="2"/>
  <c r="E2597" i="2"/>
  <c r="D2597" i="2"/>
  <c r="L2596" i="2"/>
  <c r="E2596" i="2"/>
  <c r="D2596" i="2"/>
  <c r="L2595" i="2"/>
  <c r="E2595" i="2"/>
  <c r="D2595" i="2"/>
  <c r="L2594" i="2"/>
  <c r="E2594" i="2"/>
  <c r="D2594" i="2"/>
  <c r="L2593" i="2"/>
  <c r="E2593" i="2"/>
  <c r="D2593" i="2"/>
  <c r="L2592" i="2"/>
  <c r="E2592" i="2"/>
  <c r="D2592" i="2"/>
  <c r="L2591" i="2"/>
  <c r="E2591" i="2"/>
  <c r="D2591" i="2"/>
  <c r="L2590" i="2"/>
  <c r="E2590" i="2"/>
  <c r="D2590" i="2"/>
  <c r="L2589" i="2"/>
  <c r="E2589" i="2"/>
  <c r="D2589" i="2"/>
  <c r="L2588" i="2"/>
  <c r="E2588" i="2"/>
  <c r="D2588" i="2"/>
  <c r="L2587" i="2"/>
  <c r="E2587" i="2"/>
  <c r="D2587" i="2"/>
  <c r="X2586" i="2"/>
  <c r="L2586" i="2"/>
  <c r="E2586" i="2"/>
  <c r="D2586" i="2"/>
  <c r="L2585" i="2"/>
  <c r="E2585" i="2"/>
  <c r="D2585" i="2"/>
  <c r="L2584" i="2"/>
  <c r="E2584" i="2"/>
  <c r="D2584" i="2"/>
  <c r="L2583" i="2"/>
  <c r="E2583" i="2"/>
  <c r="D2583" i="2"/>
  <c r="L2582" i="2"/>
  <c r="E2582" i="2"/>
  <c r="D2582" i="2"/>
  <c r="L2581" i="2"/>
  <c r="E2581" i="2"/>
  <c r="D2581" i="2"/>
  <c r="L2580" i="2"/>
  <c r="E2580" i="2"/>
  <c r="D2580" i="2"/>
  <c r="L2579" i="2"/>
  <c r="E2579" i="2"/>
  <c r="D2579" i="2"/>
  <c r="L2578" i="2"/>
  <c r="E2578" i="2"/>
  <c r="D2578" i="2"/>
  <c r="L2577" i="2"/>
  <c r="E2577" i="2"/>
  <c r="D2577" i="2"/>
  <c r="L2576" i="2"/>
  <c r="E2576" i="2"/>
  <c r="D2576" i="2"/>
  <c r="L2575" i="2"/>
  <c r="E2575" i="2"/>
  <c r="D2575" i="2"/>
  <c r="L2574" i="2"/>
  <c r="E2574" i="2"/>
  <c r="D2574" i="2"/>
  <c r="L2573" i="2"/>
  <c r="E2573" i="2"/>
  <c r="D2573" i="2"/>
  <c r="L2572" i="2"/>
  <c r="E2572" i="2"/>
  <c r="D2572" i="2"/>
  <c r="L2571" i="2"/>
  <c r="E2571" i="2"/>
  <c r="D2571" i="2"/>
  <c r="L2570" i="2"/>
  <c r="E2570" i="2"/>
  <c r="D2570" i="2"/>
  <c r="L2569" i="2"/>
  <c r="E2569" i="2"/>
  <c r="D2569" i="2"/>
  <c r="L2568" i="2"/>
  <c r="E2568" i="2"/>
  <c r="D2568" i="2"/>
  <c r="L2567" i="2"/>
  <c r="E2567" i="2"/>
  <c r="D2567" i="2"/>
  <c r="L2566" i="2"/>
  <c r="E2566" i="2"/>
  <c r="D2566" i="2"/>
  <c r="L2565" i="2"/>
  <c r="E2565" i="2"/>
  <c r="D2565" i="2"/>
  <c r="X2564" i="2"/>
  <c r="L2564" i="2"/>
  <c r="E2564" i="2"/>
  <c r="D2564" i="2"/>
  <c r="L2563" i="2"/>
  <c r="E2563" i="2"/>
  <c r="D2563" i="2"/>
  <c r="L2562" i="2"/>
  <c r="E2562" i="2"/>
  <c r="D2562" i="2"/>
  <c r="L2561" i="2"/>
  <c r="E2561" i="2"/>
  <c r="D2561" i="2"/>
  <c r="L2560" i="2"/>
  <c r="E2560" i="2"/>
  <c r="D2560" i="2"/>
  <c r="L2559" i="2"/>
  <c r="E2559" i="2"/>
  <c r="D2559" i="2"/>
  <c r="L2558" i="2"/>
  <c r="E2558" i="2"/>
  <c r="D2558" i="2"/>
  <c r="L2557" i="2"/>
  <c r="E2557" i="2"/>
  <c r="D2557" i="2"/>
  <c r="L2556" i="2"/>
  <c r="E2556" i="2"/>
  <c r="D2556" i="2"/>
  <c r="L2555" i="2"/>
  <c r="E2555" i="2"/>
  <c r="D2555" i="2"/>
  <c r="L2554" i="2"/>
  <c r="E2554" i="2"/>
  <c r="D2554" i="2"/>
  <c r="L2553" i="2"/>
  <c r="E2553" i="2"/>
  <c r="D2553" i="2"/>
  <c r="L2552" i="2"/>
  <c r="E2552" i="2"/>
  <c r="D2552" i="2"/>
  <c r="L2551" i="2"/>
  <c r="E2551" i="2"/>
  <c r="D2551" i="2"/>
  <c r="L2550" i="2"/>
  <c r="E2550" i="2"/>
  <c r="D2550" i="2"/>
  <c r="L2549" i="2"/>
  <c r="E2549" i="2"/>
  <c r="D2549" i="2"/>
  <c r="L2548" i="2"/>
  <c r="E2548" i="2"/>
  <c r="D2548" i="2"/>
  <c r="L2547" i="2"/>
  <c r="E2547" i="2"/>
  <c r="D2547" i="2"/>
  <c r="L2546" i="2"/>
  <c r="E2546" i="2"/>
  <c r="D2546" i="2"/>
  <c r="L2545" i="2"/>
  <c r="E2545" i="2"/>
  <c r="D2545" i="2"/>
  <c r="X2544" i="2"/>
  <c r="L2544" i="2"/>
  <c r="E2544" i="2"/>
  <c r="D2544" i="2"/>
  <c r="L2543" i="2"/>
  <c r="E2543" i="2"/>
  <c r="D2543" i="2"/>
  <c r="L2542" i="2"/>
  <c r="E2542" i="2"/>
  <c r="D2542" i="2"/>
  <c r="X2541" i="2"/>
  <c r="L2541" i="2"/>
  <c r="E2541" i="2"/>
  <c r="D2541" i="2"/>
  <c r="X2540" i="2"/>
  <c r="L2540" i="2"/>
  <c r="E2540" i="2"/>
  <c r="D2540" i="2"/>
  <c r="L2539" i="2"/>
  <c r="E2539" i="2"/>
  <c r="D2539" i="2"/>
  <c r="L2538" i="2"/>
  <c r="E2538" i="2"/>
  <c r="D2538" i="2"/>
  <c r="L2537" i="2"/>
  <c r="E2537" i="2"/>
  <c r="D2537" i="2"/>
  <c r="X2536" i="2"/>
  <c r="L2536" i="2"/>
  <c r="E2536" i="2"/>
  <c r="D2536" i="2"/>
  <c r="L2535" i="2"/>
  <c r="E2535" i="2"/>
  <c r="D2535" i="2"/>
  <c r="L2534" i="2"/>
  <c r="E2534" i="2"/>
  <c r="D2534" i="2"/>
  <c r="L2533" i="2"/>
  <c r="E2533" i="2"/>
  <c r="D2533" i="2"/>
  <c r="L2532" i="2"/>
  <c r="E2532" i="2"/>
  <c r="D2532" i="2"/>
  <c r="X2531" i="2"/>
  <c r="L2531" i="2"/>
  <c r="E2531" i="2"/>
  <c r="D2531" i="2"/>
  <c r="L2530" i="2"/>
  <c r="E2530" i="2"/>
  <c r="D2530" i="2"/>
  <c r="L2529" i="2"/>
  <c r="E2529" i="2"/>
  <c r="D2529" i="2"/>
  <c r="L2528" i="2"/>
  <c r="E2528" i="2"/>
  <c r="D2528" i="2"/>
  <c r="L2527" i="2"/>
  <c r="E2527" i="2"/>
  <c r="D2527" i="2"/>
  <c r="L2526" i="2"/>
  <c r="E2526" i="2"/>
  <c r="D2526" i="2"/>
  <c r="L2525" i="2"/>
  <c r="E2525" i="2"/>
  <c r="D2525" i="2"/>
  <c r="X2524" i="2"/>
  <c r="L2524" i="2"/>
  <c r="E2524" i="2"/>
  <c r="D2524" i="2"/>
  <c r="L2523" i="2"/>
  <c r="E2523" i="2"/>
  <c r="D2523" i="2"/>
  <c r="L2522" i="2"/>
  <c r="E2522" i="2"/>
  <c r="D2522" i="2"/>
  <c r="L2521" i="2"/>
  <c r="E2521" i="2"/>
  <c r="D2521" i="2"/>
  <c r="L2520" i="2"/>
  <c r="E2520" i="2"/>
  <c r="D2520" i="2"/>
  <c r="X2519" i="2"/>
  <c r="L2519" i="2"/>
  <c r="E2519" i="2"/>
  <c r="D2519" i="2"/>
  <c r="L2518" i="2"/>
  <c r="E2518" i="2"/>
  <c r="D2518" i="2"/>
  <c r="L2517" i="2"/>
  <c r="E2517" i="2"/>
  <c r="D2517" i="2"/>
  <c r="X2516" i="2"/>
  <c r="L2516" i="2"/>
  <c r="E2516" i="2"/>
  <c r="D2516" i="2"/>
  <c r="L2515" i="2"/>
  <c r="E2515" i="2"/>
  <c r="D2515" i="2"/>
  <c r="L2514" i="2"/>
  <c r="E2514" i="2"/>
  <c r="D2514" i="2"/>
  <c r="L2513" i="2"/>
  <c r="E2513" i="2"/>
  <c r="D2513" i="2"/>
  <c r="L2512" i="2"/>
  <c r="E2512" i="2"/>
  <c r="D2512" i="2"/>
  <c r="L2511" i="2"/>
  <c r="E2511" i="2"/>
  <c r="D2511" i="2"/>
  <c r="X2510" i="2"/>
  <c r="L2510" i="2"/>
  <c r="E2510" i="2"/>
  <c r="D2510" i="2"/>
  <c r="L2509" i="2"/>
  <c r="E2509" i="2"/>
  <c r="D2509" i="2"/>
  <c r="L2508" i="2"/>
  <c r="E2508" i="2"/>
  <c r="D2508" i="2"/>
  <c r="L2507" i="2"/>
  <c r="E2507" i="2"/>
  <c r="D2507" i="2"/>
  <c r="X2506" i="2"/>
  <c r="L2506" i="2"/>
  <c r="E2506" i="2"/>
  <c r="D2506" i="2"/>
  <c r="L2505" i="2"/>
  <c r="E2505" i="2"/>
  <c r="D2505" i="2"/>
  <c r="L2504" i="2"/>
  <c r="E2504" i="2"/>
  <c r="D2504" i="2"/>
  <c r="L2503" i="2"/>
  <c r="E2503" i="2"/>
  <c r="D2503" i="2"/>
  <c r="L2502" i="2"/>
  <c r="E2502" i="2"/>
  <c r="D2502" i="2"/>
  <c r="L2501" i="2"/>
  <c r="E2501" i="2"/>
  <c r="D2501" i="2"/>
  <c r="L2500" i="2"/>
  <c r="E2500" i="2"/>
  <c r="D2500" i="2"/>
  <c r="L2499" i="2"/>
  <c r="E2499" i="2"/>
  <c r="D2499" i="2"/>
  <c r="X2498" i="2"/>
  <c r="L2498" i="2"/>
  <c r="E2498" i="2"/>
  <c r="D2498" i="2"/>
  <c r="L2497" i="2"/>
  <c r="E2497" i="2"/>
  <c r="D2497" i="2"/>
  <c r="L2496" i="2"/>
  <c r="E2496" i="2"/>
  <c r="D2496" i="2"/>
  <c r="L2495" i="2"/>
  <c r="E2495" i="2"/>
  <c r="D2495" i="2"/>
  <c r="L2494" i="2"/>
  <c r="E2494" i="2"/>
  <c r="D2494" i="2"/>
  <c r="L2493" i="2"/>
  <c r="E2493" i="2"/>
  <c r="D2493" i="2"/>
  <c r="L2492" i="2"/>
  <c r="E2492" i="2"/>
  <c r="D2492" i="2"/>
  <c r="L2491" i="2"/>
  <c r="E2491" i="2"/>
  <c r="D2491" i="2"/>
  <c r="L2490" i="2"/>
  <c r="E2490" i="2"/>
  <c r="D2490" i="2"/>
  <c r="L2489" i="2"/>
  <c r="E2489" i="2"/>
  <c r="D2489" i="2"/>
  <c r="X2488" i="2"/>
  <c r="L2488" i="2"/>
  <c r="E2488" i="2"/>
  <c r="D2488" i="2"/>
  <c r="X2487" i="2"/>
  <c r="L2487" i="2"/>
  <c r="E2487" i="2"/>
  <c r="D2487" i="2"/>
  <c r="L2486" i="2"/>
  <c r="E2486" i="2"/>
  <c r="D2486" i="2"/>
  <c r="L2485" i="2"/>
  <c r="E2485" i="2"/>
  <c r="D2485" i="2"/>
  <c r="L2484" i="2"/>
  <c r="E2484" i="2"/>
  <c r="D2484" i="2"/>
  <c r="L2483" i="2"/>
  <c r="E2483" i="2"/>
  <c r="D2483" i="2"/>
  <c r="L2482" i="2"/>
  <c r="E2482" i="2"/>
  <c r="D2482" i="2"/>
  <c r="L2481" i="2"/>
  <c r="E2481" i="2"/>
  <c r="D2481" i="2"/>
  <c r="L2480" i="2"/>
  <c r="E2480" i="2"/>
  <c r="D2480" i="2"/>
  <c r="L2479" i="2"/>
  <c r="E2479" i="2"/>
  <c r="D2479" i="2"/>
  <c r="L2478" i="2"/>
  <c r="E2478" i="2"/>
  <c r="D2478" i="2"/>
  <c r="X2477" i="2"/>
  <c r="L2477" i="2"/>
  <c r="E2477" i="2"/>
  <c r="D2477" i="2"/>
  <c r="L2476" i="2"/>
  <c r="E2476" i="2"/>
  <c r="D2476" i="2"/>
  <c r="L2475" i="2"/>
  <c r="E2475" i="2"/>
  <c r="D2475" i="2"/>
  <c r="L2474" i="2"/>
  <c r="E2474" i="2"/>
  <c r="D2474" i="2"/>
  <c r="L2473" i="2"/>
  <c r="E2473" i="2"/>
  <c r="D2473" i="2"/>
  <c r="L2472" i="2"/>
  <c r="E2472" i="2"/>
  <c r="D2472" i="2"/>
  <c r="L2471" i="2"/>
  <c r="E2471" i="2"/>
  <c r="D2471" i="2"/>
  <c r="L2470" i="2"/>
  <c r="E2470" i="2"/>
  <c r="D2470" i="2"/>
  <c r="L2469" i="2"/>
  <c r="E2469" i="2"/>
  <c r="D2469" i="2"/>
  <c r="L2468" i="2"/>
  <c r="E2468" i="2"/>
  <c r="D2468" i="2"/>
  <c r="L2467" i="2"/>
  <c r="E2467" i="2"/>
  <c r="D2467" i="2"/>
  <c r="L2466" i="2"/>
  <c r="E2466" i="2"/>
  <c r="D2466" i="2"/>
  <c r="L2465" i="2"/>
  <c r="E2465" i="2"/>
  <c r="D2465" i="2"/>
  <c r="X2464" i="2"/>
  <c r="L2464" i="2"/>
  <c r="E2464" i="2"/>
  <c r="D2464" i="2"/>
  <c r="L2463" i="2"/>
  <c r="E2463" i="2"/>
  <c r="D2463" i="2"/>
  <c r="L2462" i="2"/>
  <c r="E2462" i="2"/>
  <c r="D2462" i="2"/>
  <c r="L2461" i="2"/>
  <c r="E2461" i="2"/>
  <c r="D2461" i="2"/>
  <c r="L2460" i="2"/>
  <c r="E2460" i="2"/>
  <c r="D2460" i="2"/>
  <c r="L2459" i="2"/>
  <c r="E2459" i="2"/>
  <c r="D2459" i="2"/>
  <c r="L2458" i="2"/>
  <c r="E2458" i="2"/>
  <c r="D2458" i="2"/>
  <c r="L2457" i="2"/>
  <c r="E2457" i="2"/>
  <c r="D2457" i="2"/>
  <c r="L2456" i="2"/>
  <c r="E2456" i="2"/>
  <c r="D2456" i="2"/>
  <c r="L2455" i="2"/>
  <c r="E2455" i="2"/>
  <c r="D2455" i="2"/>
  <c r="X2454" i="2"/>
  <c r="L2454" i="2"/>
  <c r="E2454" i="2"/>
  <c r="D2454" i="2"/>
  <c r="L2453" i="2"/>
  <c r="E2453" i="2"/>
  <c r="D2453" i="2"/>
  <c r="L2452" i="2"/>
  <c r="E2452" i="2"/>
  <c r="D2452" i="2"/>
  <c r="L2451" i="2"/>
  <c r="E2451" i="2"/>
  <c r="D2451" i="2"/>
  <c r="X2450" i="2"/>
  <c r="L2450" i="2"/>
  <c r="E2450" i="2"/>
  <c r="D2450" i="2"/>
  <c r="L2449" i="2"/>
  <c r="E2449" i="2"/>
  <c r="D2449" i="2"/>
  <c r="L2448" i="2"/>
  <c r="E2448" i="2"/>
  <c r="D2448" i="2"/>
  <c r="L2447" i="2"/>
  <c r="E2447" i="2"/>
  <c r="D2447" i="2"/>
  <c r="L2446" i="2"/>
  <c r="E2446" i="2"/>
  <c r="D2446" i="2"/>
  <c r="L2445" i="2"/>
  <c r="E2445" i="2"/>
  <c r="D2445" i="2"/>
  <c r="L2444" i="2"/>
  <c r="E2444" i="2"/>
  <c r="D2444" i="2"/>
  <c r="L2443" i="2"/>
  <c r="E2443" i="2"/>
  <c r="D2443" i="2"/>
  <c r="L2442" i="2"/>
  <c r="E2442" i="2"/>
  <c r="D2442" i="2"/>
  <c r="L2441" i="2"/>
  <c r="E2441" i="2"/>
  <c r="D2441" i="2"/>
  <c r="L2440" i="2"/>
  <c r="E2440" i="2"/>
  <c r="D2440" i="2"/>
  <c r="L2439" i="2"/>
  <c r="E2439" i="2"/>
  <c r="D2439" i="2"/>
  <c r="L2438" i="2"/>
  <c r="E2438" i="2"/>
  <c r="D2438" i="2"/>
  <c r="L2437" i="2"/>
  <c r="E2437" i="2"/>
  <c r="D2437" i="2"/>
  <c r="L2436" i="2"/>
  <c r="E2436" i="2"/>
  <c r="D2436" i="2"/>
  <c r="X2435" i="2"/>
  <c r="L2435" i="2"/>
  <c r="E2435" i="2"/>
  <c r="D2435" i="2"/>
  <c r="L2434" i="2"/>
  <c r="E2434" i="2"/>
  <c r="D2434" i="2"/>
  <c r="L2433" i="2"/>
  <c r="E2433" i="2"/>
  <c r="D2433" i="2"/>
  <c r="L2432" i="2"/>
  <c r="E2432" i="2"/>
  <c r="D2432" i="2"/>
  <c r="L2431" i="2"/>
  <c r="E2431" i="2"/>
  <c r="D2431" i="2"/>
  <c r="L2430" i="2"/>
  <c r="E2430" i="2"/>
  <c r="D2430" i="2"/>
  <c r="L2429" i="2"/>
  <c r="E2429" i="2"/>
  <c r="D2429" i="2"/>
  <c r="L2428" i="2"/>
  <c r="E2428" i="2"/>
  <c r="D2428" i="2"/>
  <c r="L2427" i="2"/>
  <c r="E2427" i="2"/>
  <c r="D2427" i="2"/>
  <c r="L2426" i="2"/>
  <c r="E2426" i="2"/>
  <c r="D2426" i="2"/>
  <c r="L2425" i="2"/>
  <c r="E2425" i="2"/>
  <c r="D2425" i="2"/>
  <c r="L2424" i="2"/>
  <c r="E2424" i="2"/>
  <c r="D2424" i="2"/>
  <c r="L2423" i="2"/>
  <c r="E2423" i="2"/>
  <c r="D2423" i="2"/>
  <c r="L2422" i="2"/>
  <c r="E2422" i="2"/>
  <c r="D2422" i="2"/>
  <c r="L2421" i="2"/>
  <c r="E2421" i="2"/>
  <c r="D2421" i="2"/>
  <c r="L2420" i="2"/>
  <c r="E2420" i="2"/>
  <c r="D2420" i="2"/>
  <c r="L2419" i="2"/>
  <c r="E2419" i="2"/>
  <c r="D2419" i="2"/>
  <c r="L2418" i="2"/>
  <c r="E2418" i="2"/>
  <c r="D2418" i="2"/>
  <c r="L2417" i="2"/>
  <c r="E2417" i="2"/>
  <c r="D2417" i="2"/>
  <c r="L2416" i="2"/>
  <c r="E2416" i="2"/>
  <c r="D2416" i="2"/>
  <c r="L2415" i="2"/>
  <c r="E2415" i="2"/>
  <c r="D2415" i="2"/>
  <c r="L2414" i="2"/>
  <c r="E2414" i="2"/>
  <c r="D2414" i="2"/>
  <c r="L2413" i="2"/>
  <c r="E2413" i="2"/>
  <c r="D2413" i="2"/>
  <c r="L2412" i="2"/>
  <c r="E2412" i="2"/>
  <c r="D2412" i="2"/>
  <c r="L2411" i="2"/>
  <c r="E2411" i="2"/>
  <c r="D2411" i="2"/>
  <c r="L2410" i="2"/>
  <c r="E2410" i="2"/>
  <c r="D2410" i="2"/>
  <c r="L2409" i="2"/>
  <c r="E2409" i="2"/>
  <c r="D2409" i="2"/>
  <c r="L2408" i="2"/>
  <c r="E2408" i="2"/>
  <c r="D2408" i="2"/>
  <c r="L2407" i="2"/>
  <c r="E2407" i="2"/>
  <c r="D2407" i="2"/>
  <c r="L2406" i="2"/>
  <c r="E2406" i="2"/>
  <c r="D2406" i="2"/>
  <c r="L2405" i="2"/>
  <c r="E2405" i="2"/>
  <c r="D2405" i="2"/>
  <c r="L2404" i="2"/>
  <c r="E2404" i="2"/>
  <c r="D2404" i="2"/>
  <c r="L2403" i="2"/>
  <c r="E2403" i="2"/>
  <c r="D2403" i="2"/>
  <c r="L2402" i="2"/>
  <c r="E2402" i="2"/>
  <c r="D2402" i="2"/>
  <c r="L2401" i="2"/>
  <c r="E2401" i="2"/>
  <c r="D2401" i="2"/>
  <c r="L2400" i="2"/>
  <c r="E2400" i="2"/>
  <c r="D2400" i="2"/>
  <c r="L2399" i="2"/>
  <c r="E2399" i="2"/>
  <c r="D2399" i="2"/>
  <c r="L2398" i="2"/>
  <c r="E2398" i="2"/>
  <c r="D2398" i="2"/>
  <c r="L2397" i="2"/>
  <c r="E2397" i="2"/>
  <c r="D2397" i="2"/>
  <c r="L2396" i="2"/>
  <c r="E2396" i="2"/>
  <c r="D2396" i="2"/>
  <c r="L2395" i="2"/>
  <c r="E2395" i="2"/>
  <c r="D2395" i="2"/>
  <c r="L2394" i="2"/>
  <c r="E2394" i="2"/>
  <c r="D2394" i="2"/>
  <c r="L2393" i="2"/>
  <c r="E2393" i="2"/>
  <c r="D2393" i="2"/>
  <c r="L2392" i="2"/>
  <c r="E2392" i="2"/>
  <c r="D2392" i="2"/>
  <c r="L2391" i="2"/>
  <c r="E2391" i="2"/>
  <c r="D2391" i="2"/>
  <c r="L2390" i="2"/>
  <c r="E2390" i="2"/>
  <c r="D2390" i="2"/>
  <c r="L2389" i="2"/>
  <c r="E2389" i="2"/>
  <c r="D2389" i="2"/>
  <c r="X2388" i="2"/>
  <c r="L2388" i="2"/>
  <c r="E2388" i="2"/>
  <c r="D2388" i="2"/>
  <c r="L2387" i="2"/>
  <c r="E2387" i="2"/>
  <c r="D2387" i="2"/>
  <c r="L2386" i="2"/>
  <c r="E2386" i="2"/>
  <c r="D2386" i="2"/>
  <c r="L2385" i="2"/>
  <c r="E2385" i="2"/>
  <c r="D2385" i="2"/>
  <c r="L2384" i="2"/>
  <c r="E2384" i="2"/>
  <c r="D2384" i="2"/>
  <c r="L2383" i="2"/>
  <c r="E2383" i="2"/>
  <c r="D2383" i="2"/>
  <c r="L2382" i="2"/>
  <c r="E2382" i="2"/>
  <c r="D2382" i="2"/>
  <c r="L2381" i="2"/>
  <c r="E2381" i="2"/>
  <c r="D2381" i="2"/>
  <c r="L2380" i="2"/>
  <c r="E2380" i="2"/>
  <c r="D2380" i="2"/>
  <c r="L2379" i="2"/>
  <c r="E2379" i="2"/>
  <c r="D2379" i="2"/>
  <c r="L2378" i="2"/>
  <c r="E2378" i="2"/>
  <c r="D2378" i="2"/>
  <c r="L2377" i="2"/>
  <c r="E2377" i="2"/>
  <c r="D2377" i="2"/>
  <c r="L2376" i="2"/>
  <c r="E2376" i="2"/>
  <c r="D2376" i="2"/>
  <c r="L2375" i="2"/>
  <c r="E2375" i="2"/>
  <c r="D2375" i="2"/>
  <c r="L2374" i="2"/>
  <c r="E2374" i="2"/>
  <c r="D2374" i="2"/>
  <c r="L2373" i="2"/>
  <c r="E2373" i="2"/>
  <c r="D2373" i="2"/>
  <c r="L2372" i="2"/>
  <c r="E2372" i="2"/>
  <c r="D2372" i="2"/>
  <c r="L2371" i="2"/>
  <c r="E2371" i="2"/>
  <c r="D2371" i="2"/>
  <c r="L2370" i="2"/>
  <c r="E2370" i="2"/>
  <c r="D2370" i="2"/>
  <c r="L2369" i="2"/>
  <c r="E2369" i="2"/>
  <c r="D2369" i="2"/>
  <c r="L2368" i="2"/>
  <c r="E2368" i="2"/>
  <c r="D2368" i="2"/>
  <c r="L2367" i="2"/>
  <c r="E2367" i="2"/>
  <c r="D2367" i="2"/>
  <c r="L2366" i="2"/>
  <c r="E2366" i="2"/>
  <c r="D2366" i="2"/>
  <c r="L2365" i="2"/>
  <c r="E2365" i="2"/>
  <c r="D2365" i="2"/>
  <c r="L2364" i="2"/>
  <c r="E2364" i="2"/>
  <c r="D2364" i="2"/>
  <c r="L2363" i="2"/>
  <c r="E2363" i="2"/>
  <c r="D2363" i="2"/>
  <c r="L2362" i="2"/>
  <c r="E2362" i="2"/>
  <c r="D2362" i="2"/>
  <c r="L2361" i="2"/>
  <c r="E2361" i="2"/>
  <c r="D2361" i="2"/>
  <c r="L2360" i="2"/>
  <c r="E2360" i="2"/>
  <c r="D2360" i="2"/>
  <c r="L2359" i="2"/>
  <c r="E2359" i="2"/>
  <c r="D2359" i="2"/>
  <c r="L2358" i="2"/>
  <c r="E2358" i="2"/>
  <c r="D2358" i="2"/>
  <c r="L2357" i="2"/>
  <c r="E2357" i="2"/>
  <c r="D2357" i="2"/>
  <c r="L2356" i="2"/>
  <c r="E2356" i="2"/>
  <c r="D2356" i="2"/>
  <c r="L2355" i="2"/>
  <c r="E2355" i="2"/>
  <c r="D2355" i="2"/>
  <c r="L2354" i="2"/>
  <c r="E2354" i="2"/>
  <c r="D2354" i="2"/>
  <c r="L2353" i="2"/>
  <c r="E2353" i="2"/>
  <c r="D2353" i="2"/>
  <c r="L2352" i="2"/>
  <c r="E2352" i="2"/>
  <c r="D2352" i="2"/>
  <c r="L2351" i="2"/>
  <c r="E2351" i="2"/>
  <c r="D2351" i="2"/>
  <c r="L2350" i="2"/>
  <c r="E2350" i="2"/>
  <c r="D2350" i="2"/>
  <c r="L2349" i="2"/>
  <c r="E2349" i="2"/>
  <c r="D2349" i="2"/>
  <c r="L2348" i="2"/>
  <c r="E2348" i="2"/>
  <c r="D2348" i="2"/>
  <c r="L2347" i="2"/>
  <c r="E2347" i="2"/>
  <c r="D2347" i="2"/>
  <c r="L2346" i="2"/>
  <c r="E2346" i="2"/>
  <c r="D2346" i="2"/>
  <c r="L2345" i="2"/>
  <c r="E2345" i="2"/>
  <c r="D2345" i="2"/>
  <c r="L2344" i="2"/>
  <c r="E2344" i="2"/>
  <c r="D2344" i="2"/>
  <c r="L2343" i="2"/>
  <c r="E2343" i="2"/>
  <c r="D2343" i="2"/>
  <c r="L2342" i="2"/>
  <c r="E2342" i="2"/>
  <c r="D2342" i="2"/>
  <c r="L2341" i="2"/>
  <c r="E2341" i="2"/>
  <c r="D2341" i="2"/>
  <c r="L2340" i="2"/>
  <c r="E2340" i="2"/>
  <c r="D2340" i="2"/>
  <c r="L2339" i="2"/>
  <c r="E2339" i="2"/>
  <c r="D2339" i="2"/>
  <c r="L2338" i="2"/>
  <c r="E2338" i="2"/>
  <c r="D2338" i="2"/>
  <c r="L2337" i="2"/>
  <c r="E2337" i="2"/>
  <c r="D2337" i="2"/>
  <c r="L2336" i="2"/>
  <c r="E2336" i="2"/>
  <c r="D2336" i="2"/>
  <c r="X2335" i="2"/>
  <c r="L2335" i="2"/>
  <c r="E2335" i="2"/>
  <c r="D2335" i="2"/>
  <c r="L2334" i="2"/>
  <c r="E2334" i="2"/>
  <c r="D2334" i="2"/>
  <c r="L2333" i="2"/>
  <c r="E2333" i="2"/>
  <c r="D2333" i="2"/>
  <c r="L2332" i="2"/>
  <c r="E2332" i="2"/>
  <c r="D2332" i="2"/>
  <c r="L2331" i="2"/>
  <c r="E2331" i="2"/>
  <c r="D2331" i="2"/>
  <c r="L2330" i="2"/>
  <c r="E2330" i="2"/>
  <c r="D2330" i="2"/>
  <c r="L2329" i="2"/>
  <c r="E2329" i="2"/>
  <c r="D2329" i="2"/>
  <c r="L2328" i="2"/>
  <c r="E2328" i="2"/>
  <c r="D2328" i="2"/>
  <c r="X2327" i="2"/>
  <c r="L2327" i="2"/>
  <c r="E2327" i="2"/>
  <c r="D2327" i="2"/>
  <c r="X2326" i="2"/>
  <c r="L2326" i="2"/>
  <c r="E2326" i="2"/>
  <c r="D2326" i="2"/>
  <c r="L2325" i="2"/>
  <c r="E2325" i="2"/>
  <c r="D2325" i="2"/>
  <c r="L2324" i="2"/>
  <c r="E2324" i="2"/>
  <c r="D2324" i="2"/>
  <c r="L2323" i="2"/>
  <c r="E2323" i="2"/>
  <c r="D2323" i="2"/>
  <c r="L2322" i="2"/>
  <c r="E2322" i="2"/>
  <c r="D2322" i="2"/>
  <c r="L2321" i="2"/>
  <c r="E2321" i="2"/>
  <c r="D2321" i="2"/>
  <c r="L2320" i="2"/>
  <c r="E2320" i="2"/>
  <c r="D2320" i="2"/>
  <c r="L2319" i="2"/>
  <c r="E2319" i="2"/>
  <c r="D2319" i="2"/>
  <c r="X2318" i="2"/>
  <c r="L2318" i="2"/>
  <c r="E2318" i="2"/>
  <c r="D2318" i="2"/>
  <c r="L2317" i="2"/>
  <c r="E2317" i="2"/>
  <c r="D2317" i="2"/>
  <c r="L2316" i="2"/>
  <c r="E2316" i="2"/>
  <c r="D2316" i="2"/>
  <c r="L2315" i="2"/>
  <c r="E2315" i="2"/>
  <c r="D2315" i="2"/>
  <c r="L2314" i="2"/>
  <c r="E2314" i="2"/>
  <c r="D2314" i="2"/>
  <c r="L2313" i="2"/>
  <c r="E2313" i="2"/>
  <c r="D2313" i="2"/>
  <c r="L2312" i="2"/>
  <c r="E2312" i="2"/>
  <c r="D2312" i="2"/>
  <c r="L2311" i="2"/>
  <c r="E2311" i="2"/>
  <c r="D2311" i="2"/>
  <c r="L2310" i="2"/>
  <c r="E2310" i="2"/>
  <c r="D2310" i="2"/>
  <c r="L2309" i="2"/>
  <c r="E2309" i="2"/>
  <c r="D2309" i="2"/>
  <c r="L2308" i="2"/>
  <c r="E2308" i="2"/>
  <c r="D2308" i="2"/>
  <c r="L2307" i="2"/>
  <c r="E2307" i="2"/>
  <c r="D2307" i="2"/>
  <c r="L2306" i="2"/>
  <c r="E2306" i="2"/>
  <c r="D2306" i="2"/>
  <c r="L2305" i="2"/>
  <c r="E2305" i="2"/>
  <c r="D2305" i="2"/>
  <c r="L2304" i="2"/>
  <c r="E2304" i="2"/>
  <c r="D2304" i="2"/>
  <c r="L2303" i="2"/>
  <c r="E2303" i="2"/>
  <c r="D2303" i="2"/>
  <c r="L2302" i="2"/>
  <c r="E2302" i="2"/>
  <c r="D2302" i="2"/>
  <c r="L2301" i="2"/>
  <c r="E2301" i="2"/>
  <c r="D2301" i="2"/>
  <c r="L2300" i="2"/>
  <c r="E2300" i="2"/>
  <c r="D2300" i="2"/>
  <c r="L2299" i="2"/>
  <c r="E2299" i="2"/>
  <c r="D2299" i="2"/>
  <c r="X2298" i="2"/>
  <c r="L2298" i="2"/>
  <c r="E2298" i="2"/>
  <c r="D2298" i="2"/>
  <c r="L2297" i="2"/>
  <c r="E2297" i="2"/>
  <c r="D2297" i="2"/>
  <c r="L2296" i="2"/>
  <c r="E2296" i="2"/>
  <c r="D2296" i="2"/>
  <c r="L2295" i="2"/>
  <c r="E2295" i="2"/>
  <c r="D2295" i="2"/>
  <c r="X2294" i="2"/>
  <c r="L2294" i="2"/>
  <c r="E2294" i="2"/>
  <c r="D2294" i="2"/>
  <c r="L2293" i="2"/>
  <c r="E2293" i="2"/>
  <c r="D2293" i="2"/>
  <c r="L2292" i="2"/>
  <c r="E2292" i="2"/>
  <c r="D2292" i="2"/>
  <c r="L2291" i="2"/>
  <c r="E2291" i="2"/>
  <c r="D2291" i="2"/>
  <c r="L2290" i="2"/>
  <c r="E2290" i="2"/>
  <c r="D2290" i="2"/>
  <c r="X2289" i="2"/>
  <c r="L2289" i="2"/>
  <c r="E2289" i="2"/>
  <c r="D2289" i="2"/>
  <c r="L2288" i="2"/>
  <c r="E2288" i="2"/>
  <c r="D2288" i="2"/>
  <c r="L2287" i="2"/>
  <c r="E2287" i="2"/>
  <c r="D2287" i="2"/>
  <c r="L2286" i="2"/>
  <c r="E2286" i="2"/>
  <c r="D2286" i="2"/>
  <c r="L2285" i="2"/>
  <c r="E2285" i="2"/>
  <c r="D2285" i="2"/>
  <c r="L2284" i="2"/>
  <c r="E2284" i="2"/>
  <c r="D2284" i="2"/>
  <c r="L2283" i="2"/>
  <c r="E2283" i="2"/>
  <c r="D2283" i="2"/>
  <c r="X2282" i="2"/>
  <c r="L2282" i="2"/>
  <c r="E2282" i="2"/>
  <c r="D2282" i="2"/>
  <c r="L2281" i="2"/>
  <c r="E2281" i="2"/>
  <c r="D2281" i="2"/>
  <c r="L2280" i="2"/>
  <c r="E2280" i="2"/>
  <c r="D2280" i="2"/>
  <c r="L2279" i="2"/>
  <c r="E2279" i="2"/>
  <c r="D2279" i="2"/>
  <c r="L2278" i="2"/>
  <c r="E2278" i="2"/>
  <c r="D2278" i="2"/>
  <c r="X2277" i="2"/>
  <c r="L2277" i="2"/>
  <c r="E2277" i="2"/>
  <c r="D2277" i="2"/>
  <c r="L2276" i="2"/>
  <c r="E2276" i="2"/>
  <c r="D2276" i="2"/>
  <c r="L2275" i="2"/>
  <c r="E2275" i="2"/>
  <c r="D2275" i="2"/>
  <c r="X2274" i="2"/>
  <c r="L2274" i="2"/>
  <c r="E2274" i="2"/>
  <c r="D2274" i="2"/>
  <c r="L2273" i="2"/>
  <c r="E2273" i="2"/>
  <c r="D2273" i="2"/>
  <c r="L2272" i="2"/>
  <c r="E2272" i="2"/>
  <c r="D2272" i="2"/>
  <c r="L2271" i="2"/>
  <c r="E2271" i="2"/>
  <c r="D2271" i="2"/>
  <c r="L2270" i="2"/>
  <c r="E2270" i="2"/>
  <c r="D2270" i="2"/>
  <c r="L2269" i="2"/>
  <c r="E2269" i="2"/>
  <c r="D2269" i="2"/>
  <c r="X2268" i="2"/>
  <c r="L2268" i="2"/>
  <c r="E2268" i="2"/>
  <c r="D2268" i="2"/>
  <c r="L2267" i="2"/>
  <c r="E2267" i="2"/>
  <c r="D2267" i="2"/>
  <c r="L2266" i="2"/>
  <c r="E2266" i="2"/>
  <c r="D2266" i="2"/>
  <c r="X2265" i="2"/>
  <c r="L2265" i="2"/>
  <c r="E2265" i="2"/>
  <c r="D2265" i="2"/>
  <c r="L2264" i="2"/>
  <c r="E2264" i="2"/>
  <c r="D2264" i="2"/>
  <c r="L2263" i="2"/>
  <c r="E2263" i="2"/>
  <c r="D2263" i="2"/>
  <c r="L2262" i="2"/>
  <c r="E2262" i="2"/>
  <c r="D2262" i="2"/>
  <c r="X2261" i="2"/>
  <c r="L2261" i="2"/>
  <c r="E2261" i="2"/>
  <c r="D2261" i="2"/>
  <c r="L2260" i="2"/>
  <c r="E2260" i="2"/>
  <c r="D2260" i="2"/>
  <c r="L2259" i="2"/>
  <c r="E2259" i="2"/>
  <c r="D2259" i="2"/>
  <c r="L2258" i="2"/>
  <c r="E2258" i="2"/>
  <c r="D2258" i="2"/>
  <c r="L2257" i="2"/>
  <c r="E2257" i="2"/>
  <c r="D2257" i="2"/>
  <c r="L2256" i="2"/>
  <c r="E2256" i="2"/>
  <c r="D2256" i="2"/>
  <c r="L2255" i="2"/>
  <c r="E2255" i="2"/>
  <c r="D2255" i="2"/>
  <c r="L2254" i="2"/>
  <c r="E2254" i="2"/>
  <c r="D2254" i="2"/>
  <c r="X2253" i="2"/>
  <c r="L2253" i="2"/>
  <c r="E2253" i="2"/>
  <c r="D2253" i="2"/>
  <c r="L2252" i="2"/>
  <c r="E2252" i="2"/>
  <c r="D2252" i="2"/>
  <c r="L2251" i="2"/>
  <c r="E2251" i="2"/>
  <c r="D2251" i="2"/>
  <c r="L2250" i="2"/>
  <c r="E2250" i="2"/>
  <c r="D2250" i="2"/>
  <c r="L2249" i="2"/>
  <c r="E2249" i="2"/>
  <c r="D2249" i="2"/>
  <c r="L2248" i="2"/>
  <c r="E2248" i="2"/>
  <c r="D2248" i="2"/>
  <c r="L2247" i="2"/>
  <c r="E2247" i="2"/>
  <c r="D2247" i="2"/>
  <c r="L2246" i="2"/>
  <c r="E2246" i="2"/>
  <c r="D2246" i="2"/>
  <c r="L2245" i="2"/>
  <c r="E2245" i="2"/>
  <c r="D2245" i="2"/>
  <c r="L2244" i="2"/>
  <c r="E2244" i="2"/>
  <c r="D2244" i="2"/>
  <c r="X2243" i="2"/>
  <c r="L2243" i="2"/>
  <c r="E2243" i="2"/>
  <c r="D2243" i="2"/>
  <c r="L2242" i="2"/>
  <c r="E2242" i="2"/>
  <c r="D2242" i="2"/>
  <c r="L2241" i="2"/>
  <c r="E2241" i="2"/>
  <c r="D2241" i="2"/>
  <c r="X2240" i="2"/>
  <c r="L2240" i="2"/>
  <c r="E2240" i="2"/>
  <c r="D2240" i="2"/>
  <c r="L2239" i="2"/>
  <c r="E2239" i="2"/>
  <c r="D2239" i="2"/>
  <c r="L2238" i="2"/>
  <c r="E2238" i="2"/>
  <c r="D2238" i="2"/>
  <c r="L2237" i="2"/>
  <c r="E2237" i="2"/>
  <c r="D2237" i="2"/>
  <c r="L2236" i="2"/>
  <c r="E2236" i="2"/>
  <c r="D2236" i="2"/>
  <c r="L2235" i="2"/>
  <c r="E2235" i="2"/>
  <c r="D2235" i="2"/>
  <c r="L2234" i="2"/>
  <c r="E2234" i="2"/>
  <c r="D2234" i="2"/>
  <c r="L2233" i="2"/>
  <c r="E2233" i="2"/>
  <c r="D2233" i="2"/>
  <c r="L2232" i="2"/>
  <c r="E2232" i="2"/>
  <c r="D2232" i="2"/>
  <c r="L2231" i="2"/>
  <c r="E2231" i="2"/>
  <c r="D2231" i="2"/>
  <c r="L2230" i="2"/>
  <c r="E2230" i="2"/>
  <c r="D2230" i="2"/>
  <c r="L2229" i="2"/>
  <c r="E2229" i="2"/>
  <c r="D2229" i="2"/>
  <c r="L2228" i="2"/>
  <c r="E2228" i="2"/>
  <c r="D2228" i="2"/>
  <c r="X2227" i="2"/>
  <c r="L2227" i="2"/>
  <c r="E2227" i="2"/>
  <c r="D2227" i="2"/>
  <c r="L2226" i="2"/>
  <c r="E2226" i="2"/>
  <c r="D2226" i="2"/>
  <c r="L2225" i="2"/>
  <c r="E2225" i="2"/>
  <c r="D2225" i="2"/>
  <c r="L2224" i="2"/>
  <c r="E2224" i="2"/>
  <c r="D2224" i="2"/>
  <c r="L2223" i="2"/>
  <c r="E2223" i="2"/>
  <c r="D2223" i="2"/>
  <c r="L2222" i="2"/>
  <c r="E2222" i="2"/>
  <c r="D2222" i="2"/>
  <c r="L2221" i="2"/>
  <c r="E2221" i="2"/>
  <c r="D2221" i="2"/>
  <c r="L2220" i="2"/>
  <c r="E2220" i="2"/>
  <c r="D2220" i="2"/>
  <c r="L2219" i="2"/>
  <c r="E2219" i="2"/>
  <c r="D2219" i="2"/>
  <c r="L2218" i="2"/>
  <c r="E2218" i="2"/>
  <c r="D2218" i="2"/>
  <c r="X2217" i="2"/>
  <c r="L2217" i="2"/>
  <c r="E2217" i="2"/>
  <c r="D2217" i="2"/>
  <c r="L2216" i="2"/>
  <c r="E2216" i="2"/>
  <c r="D2216" i="2"/>
  <c r="L2215" i="2"/>
  <c r="E2215" i="2"/>
  <c r="D2215" i="2"/>
  <c r="L2214" i="2"/>
  <c r="E2214" i="2"/>
  <c r="D2214" i="2"/>
  <c r="X2213" i="2"/>
  <c r="L2213" i="2"/>
  <c r="E2213" i="2"/>
  <c r="D2213" i="2"/>
  <c r="X2212" i="2"/>
  <c r="L2212" i="2"/>
  <c r="E2212" i="2"/>
  <c r="D2212" i="2"/>
  <c r="X2211" i="2"/>
  <c r="L2211" i="2"/>
  <c r="E2211" i="2"/>
  <c r="D2211" i="2"/>
  <c r="L2210" i="2"/>
  <c r="E2210" i="2"/>
  <c r="D2210" i="2"/>
  <c r="L2209" i="2"/>
  <c r="E2209" i="2"/>
  <c r="D2209" i="2"/>
  <c r="L2208" i="2"/>
  <c r="E2208" i="2"/>
  <c r="D2208" i="2"/>
  <c r="L2207" i="2"/>
  <c r="E2207" i="2"/>
  <c r="D2207" i="2"/>
  <c r="L2206" i="2"/>
  <c r="E2206" i="2"/>
  <c r="D2206" i="2"/>
  <c r="L2205" i="2"/>
  <c r="E2205" i="2"/>
  <c r="D2205" i="2"/>
  <c r="L2204" i="2"/>
  <c r="E2204" i="2"/>
  <c r="D2204" i="2"/>
  <c r="L2203" i="2"/>
  <c r="E2203" i="2"/>
  <c r="D2203" i="2"/>
  <c r="L2202" i="2"/>
  <c r="E2202" i="2"/>
  <c r="D2202" i="2"/>
  <c r="L2201" i="2"/>
  <c r="E2201" i="2"/>
  <c r="D2201" i="2"/>
  <c r="L2200" i="2"/>
  <c r="E2200" i="2"/>
  <c r="D2200" i="2"/>
  <c r="L2199" i="2"/>
  <c r="E2199" i="2"/>
  <c r="D2199" i="2"/>
  <c r="L2198" i="2"/>
  <c r="E2198" i="2"/>
  <c r="D2198" i="2"/>
  <c r="X2197" i="2"/>
  <c r="L2197" i="2"/>
  <c r="E2197" i="2"/>
  <c r="D2197" i="2"/>
  <c r="L2196" i="2"/>
  <c r="E2196" i="2"/>
  <c r="D2196" i="2"/>
  <c r="L2195" i="2"/>
  <c r="E2195" i="2"/>
  <c r="D2195" i="2"/>
  <c r="L2194" i="2"/>
  <c r="E2194" i="2"/>
  <c r="D2194" i="2"/>
  <c r="L2193" i="2"/>
  <c r="E2193" i="2"/>
  <c r="D2193" i="2"/>
  <c r="L2192" i="2"/>
  <c r="E2192" i="2"/>
  <c r="D2192" i="2"/>
  <c r="L2191" i="2"/>
  <c r="E2191" i="2"/>
  <c r="D2191" i="2"/>
  <c r="L2190" i="2"/>
  <c r="E2190" i="2"/>
  <c r="D2190" i="2"/>
  <c r="X2189" i="2"/>
  <c r="L2189" i="2"/>
  <c r="E2189" i="2"/>
  <c r="D2189" i="2"/>
  <c r="L2188" i="2"/>
  <c r="E2188" i="2"/>
  <c r="D2188" i="2"/>
  <c r="L2187" i="2"/>
  <c r="E2187" i="2"/>
  <c r="D2187" i="2"/>
  <c r="X2186" i="2"/>
  <c r="L2186" i="2"/>
  <c r="E2186" i="2"/>
  <c r="D2186" i="2"/>
  <c r="X2185" i="2"/>
  <c r="L2185" i="2"/>
  <c r="E2185" i="2"/>
  <c r="D2185" i="2"/>
  <c r="L2184" i="2"/>
  <c r="E2184" i="2"/>
  <c r="D2184" i="2"/>
  <c r="L2183" i="2"/>
  <c r="E2183" i="2"/>
  <c r="D2183" i="2"/>
  <c r="L2182" i="2"/>
  <c r="E2182" i="2"/>
  <c r="D2182" i="2"/>
  <c r="L2181" i="2"/>
  <c r="E2181" i="2"/>
  <c r="D2181" i="2"/>
  <c r="L2180" i="2"/>
  <c r="E2180" i="2"/>
  <c r="D2180" i="2"/>
  <c r="X2179" i="2"/>
  <c r="L2179" i="2"/>
  <c r="E2179" i="2"/>
  <c r="D2179" i="2"/>
  <c r="X2178" i="2"/>
  <c r="L2178" i="2"/>
  <c r="E2178" i="2"/>
  <c r="D2178" i="2"/>
  <c r="L2177" i="2"/>
  <c r="E2177" i="2"/>
  <c r="D2177" i="2"/>
  <c r="L2176" i="2"/>
  <c r="E2176" i="2"/>
  <c r="D2176" i="2"/>
  <c r="L2175" i="2"/>
  <c r="E2175" i="2"/>
  <c r="D2175" i="2"/>
  <c r="L2174" i="2"/>
  <c r="E2174" i="2"/>
  <c r="D2174" i="2"/>
  <c r="L2173" i="2"/>
  <c r="E2173" i="2"/>
  <c r="D2173" i="2"/>
  <c r="L2172" i="2"/>
  <c r="E2172" i="2"/>
  <c r="D2172" i="2"/>
  <c r="X2171" i="2"/>
  <c r="L2171" i="2"/>
  <c r="E2171" i="2"/>
  <c r="D2171" i="2"/>
  <c r="X2170" i="2"/>
  <c r="L2170" i="2"/>
  <c r="E2170" i="2"/>
  <c r="D2170" i="2"/>
  <c r="L2169" i="2"/>
  <c r="E2169" i="2"/>
  <c r="D2169" i="2"/>
  <c r="L2168" i="2"/>
  <c r="E2168" i="2"/>
  <c r="D2168" i="2"/>
  <c r="X2167" i="2"/>
  <c r="L2167" i="2"/>
  <c r="E2167" i="2"/>
  <c r="D2167" i="2"/>
  <c r="X2166" i="2"/>
  <c r="L2166" i="2"/>
  <c r="E2166" i="2"/>
  <c r="D2166" i="2"/>
  <c r="L2165" i="2"/>
  <c r="E2165" i="2"/>
  <c r="D2165" i="2"/>
  <c r="L2164" i="2"/>
  <c r="E2164" i="2"/>
  <c r="D2164" i="2"/>
  <c r="L2163" i="2"/>
  <c r="E2163" i="2"/>
  <c r="D2163" i="2"/>
  <c r="X2162" i="2"/>
  <c r="L2162" i="2"/>
  <c r="E2162" i="2"/>
  <c r="D2162" i="2"/>
  <c r="X2161" i="2"/>
  <c r="L2161" i="2"/>
  <c r="E2161" i="2"/>
  <c r="D2161" i="2"/>
  <c r="L2160" i="2"/>
  <c r="E2160" i="2"/>
  <c r="D2160" i="2"/>
  <c r="L2159" i="2"/>
  <c r="E2159" i="2"/>
  <c r="D2159" i="2"/>
  <c r="L2158" i="2"/>
  <c r="E2158" i="2"/>
  <c r="D2158" i="2"/>
  <c r="L2157" i="2"/>
  <c r="E2157" i="2"/>
  <c r="D2157" i="2"/>
  <c r="L2156" i="2"/>
  <c r="E2156" i="2"/>
  <c r="D2156" i="2"/>
  <c r="L2155" i="2"/>
  <c r="E2155" i="2"/>
  <c r="D2155" i="2"/>
  <c r="L2154" i="2"/>
  <c r="E2154" i="2"/>
  <c r="D2154" i="2"/>
  <c r="L2153" i="2"/>
  <c r="E2153" i="2"/>
  <c r="D2153" i="2"/>
  <c r="X2152" i="2"/>
  <c r="L2152" i="2"/>
  <c r="E2152" i="2"/>
  <c r="D2152" i="2"/>
  <c r="L2151" i="2"/>
  <c r="E2151" i="2"/>
  <c r="D2151" i="2"/>
  <c r="L2150" i="2"/>
  <c r="E2150" i="2"/>
  <c r="D2150" i="2"/>
  <c r="L2149" i="2"/>
  <c r="E2149" i="2"/>
  <c r="D2149" i="2"/>
  <c r="L2148" i="2"/>
  <c r="E2148" i="2"/>
  <c r="D2148" i="2"/>
  <c r="L2147" i="2"/>
  <c r="E2147" i="2"/>
  <c r="D2147" i="2"/>
  <c r="L2146" i="2"/>
  <c r="E2146" i="2"/>
  <c r="D2146" i="2"/>
  <c r="L2145" i="2"/>
  <c r="E2145" i="2"/>
  <c r="D2145" i="2"/>
  <c r="X2144" i="2"/>
  <c r="L2144" i="2"/>
  <c r="E2144" i="2"/>
  <c r="D2144" i="2"/>
  <c r="L2143" i="2"/>
  <c r="E2143" i="2"/>
  <c r="D2143" i="2"/>
  <c r="X2142" i="2"/>
  <c r="L2142" i="2"/>
  <c r="E2142" i="2"/>
  <c r="D2142" i="2"/>
  <c r="X2141" i="2"/>
  <c r="L2141" i="2"/>
  <c r="E2141" i="2"/>
  <c r="D2141" i="2"/>
  <c r="L2140" i="2"/>
  <c r="E2140" i="2"/>
  <c r="D2140" i="2"/>
  <c r="L2139" i="2"/>
  <c r="E2139" i="2"/>
  <c r="D2139" i="2"/>
  <c r="L2138" i="2"/>
  <c r="E2138" i="2"/>
  <c r="D2138" i="2"/>
  <c r="L2137" i="2"/>
  <c r="E2137" i="2"/>
  <c r="D2137" i="2"/>
  <c r="X2136" i="2"/>
  <c r="L2136" i="2"/>
  <c r="E2136" i="2"/>
  <c r="D2136" i="2"/>
  <c r="X2135" i="2"/>
  <c r="L2135" i="2"/>
  <c r="E2135" i="2"/>
  <c r="D2135" i="2"/>
  <c r="L2134" i="2"/>
  <c r="E2134" i="2"/>
  <c r="D2134" i="2"/>
  <c r="L2133" i="2"/>
  <c r="E2133" i="2"/>
  <c r="D2133" i="2"/>
  <c r="L2132" i="2"/>
  <c r="E2132" i="2"/>
  <c r="D2132" i="2"/>
  <c r="X2131" i="2"/>
  <c r="L2131" i="2"/>
  <c r="E2131" i="2"/>
  <c r="D2131" i="2"/>
  <c r="X2130" i="2"/>
  <c r="L2130" i="2"/>
  <c r="E2130" i="2"/>
  <c r="D2130" i="2"/>
  <c r="L2129" i="2"/>
  <c r="E2129" i="2"/>
  <c r="D2129" i="2"/>
  <c r="X2128" i="2"/>
  <c r="L2128" i="2"/>
  <c r="E2128" i="2"/>
  <c r="D2128" i="2"/>
  <c r="X2127" i="2"/>
  <c r="L2127" i="2"/>
  <c r="E2127" i="2"/>
  <c r="D2127" i="2"/>
  <c r="L2126" i="2"/>
  <c r="E2126" i="2"/>
  <c r="D2126" i="2"/>
  <c r="L2125" i="2"/>
  <c r="E2125" i="2"/>
  <c r="D2125" i="2"/>
  <c r="L2124" i="2"/>
  <c r="E2124" i="2"/>
  <c r="D2124" i="2"/>
  <c r="L2123" i="2"/>
  <c r="E2123" i="2"/>
  <c r="D2123" i="2"/>
  <c r="X2122" i="2"/>
  <c r="L2122" i="2"/>
  <c r="E2122" i="2"/>
  <c r="D2122" i="2"/>
  <c r="L2121" i="2"/>
  <c r="E2121" i="2"/>
  <c r="D2121" i="2"/>
  <c r="X2120" i="2"/>
  <c r="L2120" i="2"/>
  <c r="E2120" i="2"/>
  <c r="D2120" i="2"/>
  <c r="L2119" i="2"/>
  <c r="E2119" i="2"/>
  <c r="D2119" i="2"/>
  <c r="X2118" i="2"/>
  <c r="L2118" i="2"/>
  <c r="E2118" i="2"/>
  <c r="D2118" i="2"/>
  <c r="L2117" i="2"/>
  <c r="E2117" i="2"/>
  <c r="D2117" i="2"/>
  <c r="X2116" i="2"/>
  <c r="L2116" i="2"/>
  <c r="E2116" i="2"/>
  <c r="D2116" i="2"/>
  <c r="L2115" i="2"/>
  <c r="E2115" i="2"/>
  <c r="D2115" i="2"/>
  <c r="L2114" i="2"/>
  <c r="E2114" i="2"/>
  <c r="D2114" i="2"/>
  <c r="L2113" i="2"/>
  <c r="E2113" i="2"/>
  <c r="D2113" i="2"/>
  <c r="L2112" i="2"/>
  <c r="E2112" i="2"/>
  <c r="D2112" i="2"/>
  <c r="L2111" i="2"/>
  <c r="E2111" i="2"/>
  <c r="D2111" i="2"/>
  <c r="L2110" i="2"/>
  <c r="E2110" i="2"/>
  <c r="D2110" i="2"/>
  <c r="L2109" i="2"/>
  <c r="E2109" i="2"/>
  <c r="D2109" i="2"/>
  <c r="L2108" i="2"/>
  <c r="E2108" i="2"/>
  <c r="D2108" i="2"/>
  <c r="L2107" i="2"/>
  <c r="E2107" i="2"/>
  <c r="D2107" i="2"/>
  <c r="L2106" i="2"/>
  <c r="E2106" i="2"/>
  <c r="D2106" i="2"/>
  <c r="L2105" i="2"/>
  <c r="E2105" i="2"/>
  <c r="D2105" i="2"/>
  <c r="X2104" i="2"/>
  <c r="L2104" i="2"/>
  <c r="E2104" i="2"/>
  <c r="D2104" i="2"/>
  <c r="L2103" i="2"/>
  <c r="E2103" i="2"/>
  <c r="D2103" i="2"/>
  <c r="X2102" i="2"/>
  <c r="L2102" i="2"/>
  <c r="E2102" i="2"/>
  <c r="D2102" i="2"/>
  <c r="L2101" i="2"/>
  <c r="E2101" i="2"/>
  <c r="D2101" i="2"/>
  <c r="L2100" i="2"/>
  <c r="E2100" i="2"/>
  <c r="D2100" i="2"/>
  <c r="L2099" i="2"/>
  <c r="E2099" i="2"/>
  <c r="D2099" i="2"/>
  <c r="L2098" i="2"/>
  <c r="E2098" i="2"/>
  <c r="D2098" i="2"/>
  <c r="L2097" i="2"/>
  <c r="E2097" i="2"/>
  <c r="D2097" i="2"/>
  <c r="L2096" i="2"/>
  <c r="E2096" i="2"/>
  <c r="D2096" i="2"/>
  <c r="L2095" i="2"/>
  <c r="E2095" i="2"/>
  <c r="D2095" i="2"/>
  <c r="L2094" i="2"/>
  <c r="E2094" i="2"/>
  <c r="D2094" i="2"/>
  <c r="X2093" i="2"/>
  <c r="L2093" i="2"/>
  <c r="E2093" i="2"/>
  <c r="D2093" i="2"/>
  <c r="L2092" i="2"/>
  <c r="E2092" i="2"/>
  <c r="D2092" i="2"/>
  <c r="X2091" i="2"/>
  <c r="L2091" i="2"/>
  <c r="E2091" i="2"/>
  <c r="D2091" i="2"/>
  <c r="L2090" i="2"/>
  <c r="E2090" i="2"/>
  <c r="D2090" i="2"/>
  <c r="L2089" i="2"/>
  <c r="E2089" i="2"/>
  <c r="D2089" i="2"/>
  <c r="X2088" i="2"/>
  <c r="L2088" i="2"/>
  <c r="E2088" i="2"/>
  <c r="D2088" i="2"/>
  <c r="L2087" i="2"/>
  <c r="E2087" i="2"/>
  <c r="D2087" i="2"/>
  <c r="L2086" i="2"/>
  <c r="E2086" i="2"/>
  <c r="D2086" i="2"/>
  <c r="L2085" i="2"/>
  <c r="E2085" i="2"/>
  <c r="D2085" i="2"/>
  <c r="L2084" i="2"/>
  <c r="E2084" i="2"/>
  <c r="D2084" i="2"/>
  <c r="L2083" i="2"/>
  <c r="E2083" i="2"/>
  <c r="D2083" i="2"/>
  <c r="L2082" i="2"/>
  <c r="E2082" i="2"/>
  <c r="D2082" i="2"/>
  <c r="L2081" i="2"/>
  <c r="E2081" i="2"/>
  <c r="D2081" i="2"/>
  <c r="X2080" i="2"/>
  <c r="L2080" i="2"/>
  <c r="E2080" i="2"/>
  <c r="D2080" i="2"/>
  <c r="X2079" i="2"/>
  <c r="L2079" i="2"/>
  <c r="E2079" i="2"/>
  <c r="D2079" i="2"/>
  <c r="L2078" i="2"/>
  <c r="E2078" i="2"/>
  <c r="D2078" i="2"/>
  <c r="L2077" i="2"/>
  <c r="E2077" i="2"/>
  <c r="D2077" i="2"/>
  <c r="L2076" i="2"/>
  <c r="E2076" i="2"/>
  <c r="D2076" i="2"/>
  <c r="L2075" i="2"/>
  <c r="E2075" i="2"/>
  <c r="D2075" i="2"/>
  <c r="L2074" i="2"/>
  <c r="E2074" i="2"/>
  <c r="D2074" i="2"/>
  <c r="L2073" i="2"/>
  <c r="E2073" i="2"/>
  <c r="D2073" i="2"/>
  <c r="L2072" i="2"/>
  <c r="E2072" i="2"/>
  <c r="D2072" i="2"/>
  <c r="L2071" i="2"/>
  <c r="E2071" i="2"/>
  <c r="D2071" i="2"/>
  <c r="L2070" i="2"/>
  <c r="E2070" i="2"/>
  <c r="D2070" i="2"/>
  <c r="L2069" i="2"/>
  <c r="E2069" i="2"/>
  <c r="D2069" i="2"/>
  <c r="L2068" i="2"/>
  <c r="E2068" i="2"/>
  <c r="D2068" i="2"/>
  <c r="L2067" i="2"/>
  <c r="E2067" i="2"/>
  <c r="D2067" i="2"/>
  <c r="L2066" i="2"/>
  <c r="E2066" i="2"/>
  <c r="D2066" i="2"/>
  <c r="L2065" i="2"/>
  <c r="E2065" i="2"/>
  <c r="D2065" i="2"/>
  <c r="L2064" i="2"/>
  <c r="E2064" i="2"/>
  <c r="D2064" i="2"/>
  <c r="L2063" i="2"/>
  <c r="E2063" i="2"/>
  <c r="D2063" i="2"/>
  <c r="L2062" i="2"/>
  <c r="E2062" i="2"/>
  <c r="D2062" i="2"/>
  <c r="L2061" i="2"/>
  <c r="E2061" i="2"/>
  <c r="D2061" i="2"/>
  <c r="L2060" i="2"/>
  <c r="E2060" i="2"/>
  <c r="D2060" i="2"/>
  <c r="L2059" i="2"/>
  <c r="E2059" i="2"/>
  <c r="D2059" i="2"/>
  <c r="L2058" i="2"/>
  <c r="E2058" i="2"/>
  <c r="D2058" i="2"/>
  <c r="X2057" i="2"/>
  <c r="L2057" i="2"/>
  <c r="E2057" i="2"/>
  <c r="D2057" i="2"/>
  <c r="L2056" i="2"/>
  <c r="E2056" i="2"/>
  <c r="D2056" i="2"/>
  <c r="L2055" i="2"/>
  <c r="E2055" i="2"/>
  <c r="D2055" i="2"/>
  <c r="L2054" i="2"/>
  <c r="E2054" i="2"/>
  <c r="D2054" i="2"/>
  <c r="L2053" i="2"/>
  <c r="E2053" i="2"/>
  <c r="D2053" i="2"/>
  <c r="L2052" i="2"/>
  <c r="E2052" i="2"/>
  <c r="D2052" i="2"/>
  <c r="L2051" i="2"/>
  <c r="E2051" i="2"/>
  <c r="D2051" i="2"/>
  <c r="L2050" i="2"/>
  <c r="E2050" i="2"/>
  <c r="D2050" i="2"/>
  <c r="X2049" i="2"/>
  <c r="L2049" i="2"/>
  <c r="E2049" i="2"/>
  <c r="D2049" i="2"/>
  <c r="L2048" i="2"/>
  <c r="E2048" i="2"/>
  <c r="D2048" i="2"/>
  <c r="L2047" i="2"/>
  <c r="E2047" i="2"/>
  <c r="D2047" i="2"/>
  <c r="L2046" i="2"/>
  <c r="E2046" i="2"/>
  <c r="D2046" i="2"/>
  <c r="L2045" i="2"/>
  <c r="E2045" i="2"/>
  <c r="D2045" i="2"/>
  <c r="L2044" i="2"/>
  <c r="E2044" i="2"/>
  <c r="D2044" i="2"/>
  <c r="L2043" i="2"/>
  <c r="E2043" i="2"/>
  <c r="D2043" i="2"/>
  <c r="L2042" i="2"/>
  <c r="E2042" i="2"/>
  <c r="D2042" i="2"/>
  <c r="L2041" i="2"/>
  <c r="E2041" i="2"/>
  <c r="D2041" i="2"/>
  <c r="L2040" i="2"/>
  <c r="E2040" i="2"/>
  <c r="D2040" i="2"/>
  <c r="L2039" i="2"/>
  <c r="E2039" i="2"/>
  <c r="D2039" i="2"/>
  <c r="L2038" i="2"/>
  <c r="E2038" i="2"/>
  <c r="D2038" i="2"/>
  <c r="L2037" i="2"/>
  <c r="E2037" i="2"/>
  <c r="D2037" i="2"/>
  <c r="L2036" i="2"/>
  <c r="E2036" i="2"/>
  <c r="D2036" i="2"/>
  <c r="L2035" i="2"/>
  <c r="E2035" i="2"/>
  <c r="D2035" i="2"/>
  <c r="L2034" i="2"/>
  <c r="E2034" i="2"/>
  <c r="D2034" i="2"/>
  <c r="L2033" i="2"/>
  <c r="E2033" i="2"/>
  <c r="D2033" i="2"/>
  <c r="L2032" i="2"/>
  <c r="E2032" i="2"/>
  <c r="D2032" i="2"/>
  <c r="L2031" i="2"/>
  <c r="E2031" i="2"/>
  <c r="D2031" i="2"/>
  <c r="L2030" i="2"/>
  <c r="E2030" i="2"/>
  <c r="D2030" i="2"/>
  <c r="L2029" i="2"/>
  <c r="E2029" i="2"/>
  <c r="D2029" i="2"/>
  <c r="L2028" i="2"/>
  <c r="E2028" i="2"/>
  <c r="D2028" i="2"/>
  <c r="X2027" i="2"/>
  <c r="L2027" i="2"/>
  <c r="E2027" i="2"/>
  <c r="D2027" i="2"/>
  <c r="L2026" i="2"/>
  <c r="E2026" i="2"/>
  <c r="D2026" i="2"/>
  <c r="L2025" i="2"/>
  <c r="E2025" i="2"/>
  <c r="D2025" i="2"/>
  <c r="L2024" i="2"/>
  <c r="E2024" i="2"/>
  <c r="D2024" i="2"/>
  <c r="L2023" i="2"/>
  <c r="E2023" i="2"/>
  <c r="D2023" i="2"/>
  <c r="L2022" i="2"/>
  <c r="E2022" i="2"/>
  <c r="D2022" i="2"/>
  <c r="L2021" i="2"/>
  <c r="E2021" i="2"/>
  <c r="D2021" i="2"/>
  <c r="L2020" i="2"/>
  <c r="E2020" i="2"/>
  <c r="D2020" i="2"/>
  <c r="L2019" i="2"/>
  <c r="E2019" i="2"/>
  <c r="D2019" i="2"/>
  <c r="L2018" i="2"/>
  <c r="E2018" i="2"/>
  <c r="D2018" i="2"/>
  <c r="L2017" i="2"/>
  <c r="E2017" i="2"/>
  <c r="D2017" i="2"/>
  <c r="L2016" i="2"/>
  <c r="E2016" i="2"/>
  <c r="D2016" i="2"/>
  <c r="L2015" i="2"/>
  <c r="E2015" i="2"/>
  <c r="D2015" i="2"/>
  <c r="L2014" i="2"/>
  <c r="E2014" i="2"/>
  <c r="D2014" i="2"/>
  <c r="L2013" i="2"/>
  <c r="E2013" i="2"/>
  <c r="D2013" i="2"/>
  <c r="X2012" i="2"/>
  <c r="L2012" i="2"/>
  <c r="E2012" i="2"/>
  <c r="D2012" i="2"/>
  <c r="X2011" i="2"/>
  <c r="L2011" i="2"/>
  <c r="E2011" i="2"/>
  <c r="D2011" i="2"/>
  <c r="L2010" i="2"/>
  <c r="E2010" i="2"/>
  <c r="D2010" i="2"/>
  <c r="L2009" i="2"/>
  <c r="E2009" i="2"/>
  <c r="D2009" i="2"/>
  <c r="L2008" i="2"/>
  <c r="E2008" i="2"/>
  <c r="D2008" i="2"/>
  <c r="L2007" i="2"/>
  <c r="E2007" i="2"/>
  <c r="D2007" i="2"/>
  <c r="L2006" i="2"/>
  <c r="E2006" i="2"/>
  <c r="D2006" i="2"/>
  <c r="L2005" i="2"/>
  <c r="E2005" i="2"/>
  <c r="D2005" i="2"/>
  <c r="L2004" i="2"/>
  <c r="E2004" i="2"/>
  <c r="D2004" i="2"/>
  <c r="L2003" i="2"/>
  <c r="E2003" i="2"/>
  <c r="D2003" i="2"/>
  <c r="L2002" i="2"/>
  <c r="E2002" i="2"/>
  <c r="D2002" i="2"/>
  <c r="L2001" i="2"/>
  <c r="E2001" i="2"/>
  <c r="D2001" i="2"/>
  <c r="L2000" i="2"/>
  <c r="E2000" i="2"/>
  <c r="D2000" i="2"/>
  <c r="L1999" i="2"/>
  <c r="E1999" i="2"/>
  <c r="D1999" i="2"/>
  <c r="L1998" i="2"/>
  <c r="E1998" i="2"/>
  <c r="D1998" i="2"/>
  <c r="L1997" i="2"/>
  <c r="E1997" i="2"/>
  <c r="D1997" i="2"/>
  <c r="L1996" i="2"/>
  <c r="E1996" i="2"/>
  <c r="D1996" i="2"/>
  <c r="L1995" i="2"/>
  <c r="E1995" i="2"/>
  <c r="D1995" i="2"/>
  <c r="X1994" i="2"/>
  <c r="L1994" i="2"/>
  <c r="E1994" i="2"/>
  <c r="D1994" i="2"/>
  <c r="L1993" i="2"/>
  <c r="E1993" i="2"/>
  <c r="D1993" i="2"/>
  <c r="L1992" i="2"/>
  <c r="E1992" i="2"/>
  <c r="D1992" i="2"/>
  <c r="L1991" i="2"/>
  <c r="E1991" i="2"/>
  <c r="D1991" i="2"/>
  <c r="L1990" i="2"/>
  <c r="E1990" i="2"/>
  <c r="D1990" i="2"/>
  <c r="L1989" i="2"/>
  <c r="E1989" i="2"/>
  <c r="D1989" i="2"/>
  <c r="L1988" i="2"/>
  <c r="E1988" i="2"/>
  <c r="D1988" i="2"/>
  <c r="L1987" i="2"/>
  <c r="E1987" i="2"/>
  <c r="D1987" i="2"/>
  <c r="L1986" i="2"/>
  <c r="E1986" i="2"/>
  <c r="D1986" i="2"/>
  <c r="L1985" i="2"/>
  <c r="E1985" i="2"/>
  <c r="D1985" i="2"/>
  <c r="L1984" i="2"/>
  <c r="E1984" i="2"/>
  <c r="D1984" i="2"/>
  <c r="L1983" i="2"/>
  <c r="E1983" i="2"/>
  <c r="D1983" i="2"/>
  <c r="L1982" i="2"/>
  <c r="E1982" i="2"/>
  <c r="D1982" i="2"/>
  <c r="X1981" i="2"/>
  <c r="L1981" i="2"/>
  <c r="E1981" i="2"/>
  <c r="D1981" i="2"/>
  <c r="L1980" i="2"/>
  <c r="E1980" i="2"/>
  <c r="D1980" i="2"/>
  <c r="L1979" i="2"/>
  <c r="E1979" i="2"/>
  <c r="D1979" i="2"/>
  <c r="L1978" i="2"/>
  <c r="E1978" i="2"/>
  <c r="D1978" i="2"/>
  <c r="L1977" i="2"/>
  <c r="E1977" i="2"/>
  <c r="D1977" i="2"/>
  <c r="L1976" i="2"/>
  <c r="E1976" i="2"/>
  <c r="D1976" i="2"/>
  <c r="L1975" i="2"/>
  <c r="E1975" i="2"/>
  <c r="D1975" i="2"/>
  <c r="L1974" i="2"/>
  <c r="E1974" i="2"/>
  <c r="D1974" i="2"/>
  <c r="L1973" i="2"/>
  <c r="E1973" i="2"/>
  <c r="D1973" i="2"/>
  <c r="L1972" i="2"/>
  <c r="E1972" i="2"/>
  <c r="D1972" i="2"/>
  <c r="X1971" i="2"/>
  <c r="L1971" i="2"/>
  <c r="E1971" i="2"/>
  <c r="D1971" i="2"/>
  <c r="L1970" i="2"/>
  <c r="E1970" i="2"/>
  <c r="D1970" i="2"/>
  <c r="L1969" i="2"/>
  <c r="E1969" i="2"/>
  <c r="D1969" i="2"/>
  <c r="L1968" i="2"/>
  <c r="E1968" i="2"/>
  <c r="D1968" i="2"/>
  <c r="X1967" i="2"/>
  <c r="L1967" i="2"/>
  <c r="E1967" i="2"/>
  <c r="D1967" i="2"/>
  <c r="X1966" i="2"/>
  <c r="L1966" i="2"/>
  <c r="E1966" i="2"/>
  <c r="D1966" i="2"/>
  <c r="L1965" i="2"/>
  <c r="E1965" i="2"/>
  <c r="D1965" i="2"/>
  <c r="L1964" i="2"/>
  <c r="E1964" i="2"/>
  <c r="D1964" i="2"/>
  <c r="L1963" i="2"/>
  <c r="E1963" i="2"/>
  <c r="D1963" i="2"/>
  <c r="L1962" i="2"/>
  <c r="E1962" i="2"/>
  <c r="D1962" i="2"/>
  <c r="L1961" i="2"/>
  <c r="E1961" i="2"/>
  <c r="D1961" i="2"/>
  <c r="L1960" i="2"/>
  <c r="E1960" i="2"/>
  <c r="D1960" i="2"/>
  <c r="L1959" i="2"/>
  <c r="E1959" i="2"/>
  <c r="D1959" i="2"/>
  <c r="L1958" i="2"/>
  <c r="E1958" i="2"/>
  <c r="D1958" i="2"/>
  <c r="L1957" i="2"/>
  <c r="E1957" i="2"/>
  <c r="D1957" i="2"/>
  <c r="X1956" i="2"/>
  <c r="L1956" i="2"/>
  <c r="E1956" i="2"/>
  <c r="D1956" i="2"/>
  <c r="L1955" i="2"/>
  <c r="E1955" i="2"/>
  <c r="D1955" i="2"/>
  <c r="L1954" i="2"/>
  <c r="E1954" i="2"/>
  <c r="D1954" i="2"/>
  <c r="L1953" i="2"/>
  <c r="E1953" i="2"/>
  <c r="D1953" i="2"/>
  <c r="L1952" i="2"/>
  <c r="E1952" i="2"/>
  <c r="D1952" i="2"/>
  <c r="L1951" i="2"/>
  <c r="E1951" i="2"/>
  <c r="D1951" i="2"/>
  <c r="L1950" i="2"/>
  <c r="E1950" i="2"/>
  <c r="D1950" i="2"/>
  <c r="L1949" i="2"/>
  <c r="E1949" i="2"/>
  <c r="D1949" i="2"/>
  <c r="X1948" i="2"/>
  <c r="L1948" i="2"/>
  <c r="E1948" i="2"/>
  <c r="D1948" i="2"/>
  <c r="L1947" i="2"/>
  <c r="E1947" i="2"/>
  <c r="D1947" i="2"/>
  <c r="L1946" i="2"/>
  <c r="E1946" i="2"/>
  <c r="D1946" i="2"/>
  <c r="L1945" i="2"/>
  <c r="E1945" i="2"/>
  <c r="D1945" i="2"/>
  <c r="L1944" i="2"/>
  <c r="E1944" i="2"/>
  <c r="D1944" i="2"/>
  <c r="L1943" i="2"/>
  <c r="E1943" i="2"/>
  <c r="D1943" i="2"/>
  <c r="X1942" i="2"/>
  <c r="L1942" i="2"/>
  <c r="E1942" i="2"/>
  <c r="D1942" i="2"/>
  <c r="L1941" i="2"/>
  <c r="E1941" i="2"/>
  <c r="D1941" i="2"/>
  <c r="L1940" i="2"/>
  <c r="E1940" i="2"/>
  <c r="D1940" i="2"/>
  <c r="L1939" i="2"/>
  <c r="E1939" i="2"/>
  <c r="D1939" i="2"/>
  <c r="L1938" i="2"/>
  <c r="E1938" i="2"/>
  <c r="D1938" i="2"/>
  <c r="L1937" i="2"/>
  <c r="E1937" i="2"/>
  <c r="D1937" i="2"/>
  <c r="L1936" i="2"/>
  <c r="E1936" i="2"/>
  <c r="D1936" i="2"/>
  <c r="X1935" i="2"/>
  <c r="L1935" i="2"/>
  <c r="E1935" i="2"/>
  <c r="D1935" i="2"/>
  <c r="L1934" i="2"/>
  <c r="E1934" i="2"/>
  <c r="D1934" i="2"/>
  <c r="L1933" i="2"/>
  <c r="E1933" i="2"/>
  <c r="D1933" i="2"/>
  <c r="L1932" i="2"/>
  <c r="E1932" i="2"/>
  <c r="D1932" i="2"/>
  <c r="L1931" i="2"/>
  <c r="E1931" i="2"/>
  <c r="D1931" i="2"/>
  <c r="X1930" i="2"/>
  <c r="L1930" i="2"/>
  <c r="E1930" i="2"/>
  <c r="D1930" i="2"/>
  <c r="L1929" i="2"/>
  <c r="E1929" i="2"/>
  <c r="D1929" i="2"/>
  <c r="L1928" i="2"/>
  <c r="E1928" i="2"/>
  <c r="D1928" i="2"/>
  <c r="L1927" i="2"/>
  <c r="E1927" i="2"/>
  <c r="D1927" i="2"/>
  <c r="L1926" i="2"/>
  <c r="E1926" i="2"/>
  <c r="D1926" i="2"/>
  <c r="X1925" i="2"/>
  <c r="L1925" i="2"/>
  <c r="E1925" i="2"/>
  <c r="D1925" i="2"/>
  <c r="L1924" i="2"/>
  <c r="E1924" i="2"/>
  <c r="D1924" i="2"/>
  <c r="L1923" i="2"/>
  <c r="E1923" i="2"/>
  <c r="D1923" i="2"/>
  <c r="X1922" i="2"/>
  <c r="L1922" i="2"/>
  <c r="E1922" i="2"/>
  <c r="D1922" i="2"/>
  <c r="L1921" i="2"/>
  <c r="E1921" i="2"/>
  <c r="D1921" i="2"/>
  <c r="L1920" i="2"/>
  <c r="E1920" i="2"/>
  <c r="D1920" i="2"/>
  <c r="L1919" i="2"/>
  <c r="E1919" i="2"/>
  <c r="D1919" i="2"/>
  <c r="X1918" i="2"/>
  <c r="L1918" i="2"/>
  <c r="E1918" i="2"/>
  <c r="D1918" i="2"/>
  <c r="L1917" i="2"/>
  <c r="E1917" i="2"/>
  <c r="D1917" i="2"/>
  <c r="L1916" i="2"/>
  <c r="E1916" i="2"/>
  <c r="D1916" i="2"/>
  <c r="L1915" i="2"/>
  <c r="E1915" i="2"/>
  <c r="D1915" i="2"/>
  <c r="L1914" i="2"/>
  <c r="E1914" i="2"/>
  <c r="D1914" i="2"/>
  <c r="X1913" i="2"/>
  <c r="L1913" i="2"/>
  <c r="E1913" i="2"/>
  <c r="D1913" i="2"/>
  <c r="L1912" i="2"/>
  <c r="E1912" i="2"/>
  <c r="D1912" i="2"/>
  <c r="L1911" i="2"/>
  <c r="E1911" i="2"/>
  <c r="D1911" i="2"/>
  <c r="L1910" i="2"/>
  <c r="E1910" i="2"/>
  <c r="D1910" i="2"/>
  <c r="X1909" i="2"/>
  <c r="L1909" i="2"/>
  <c r="E1909" i="2"/>
  <c r="D1909" i="2"/>
  <c r="L1908" i="2"/>
  <c r="E1908" i="2"/>
  <c r="D1908" i="2"/>
  <c r="L1907" i="2"/>
  <c r="E1907" i="2"/>
  <c r="D1907" i="2"/>
  <c r="X1906" i="2"/>
  <c r="L1906" i="2"/>
  <c r="E1906" i="2"/>
  <c r="D1906" i="2"/>
  <c r="L1905" i="2"/>
  <c r="E1905" i="2"/>
  <c r="D1905" i="2"/>
  <c r="L1904" i="2"/>
  <c r="E1904" i="2"/>
  <c r="D1904" i="2"/>
  <c r="L1903" i="2"/>
  <c r="E1903" i="2"/>
  <c r="D1903" i="2"/>
  <c r="L1902" i="2"/>
  <c r="E1902" i="2"/>
  <c r="D1902" i="2"/>
  <c r="L1901" i="2"/>
  <c r="E1901" i="2"/>
  <c r="D1901" i="2"/>
  <c r="L1900" i="2"/>
  <c r="E1900" i="2"/>
  <c r="D1900" i="2"/>
  <c r="L1899" i="2"/>
  <c r="E1899" i="2"/>
  <c r="D1899" i="2"/>
  <c r="L1898" i="2"/>
  <c r="E1898" i="2"/>
  <c r="D1898" i="2"/>
  <c r="L1897" i="2"/>
  <c r="E1897" i="2"/>
  <c r="D1897" i="2"/>
  <c r="L1896" i="2"/>
  <c r="E1896" i="2"/>
  <c r="D1896" i="2"/>
  <c r="L1895" i="2"/>
  <c r="E1895" i="2"/>
  <c r="D1895" i="2"/>
  <c r="L1894" i="2"/>
  <c r="E1894" i="2"/>
  <c r="D1894" i="2"/>
  <c r="L1893" i="2"/>
  <c r="E1893" i="2"/>
  <c r="D1893" i="2"/>
  <c r="L1892" i="2"/>
  <c r="E1892" i="2"/>
  <c r="D1892" i="2"/>
  <c r="L1891" i="2"/>
  <c r="E1891" i="2"/>
  <c r="D1891" i="2"/>
  <c r="L1890" i="2"/>
  <c r="E1890" i="2"/>
  <c r="D1890" i="2"/>
  <c r="L1889" i="2"/>
  <c r="E1889" i="2"/>
  <c r="D1889" i="2"/>
  <c r="L1888" i="2"/>
  <c r="E1888" i="2"/>
  <c r="D1888" i="2"/>
  <c r="L1887" i="2"/>
  <c r="E1887" i="2"/>
  <c r="D1887" i="2"/>
  <c r="L1886" i="2"/>
  <c r="E1886" i="2"/>
  <c r="D1886" i="2"/>
  <c r="L1885" i="2"/>
  <c r="E1885" i="2"/>
  <c r="D1885" i="2"/>
  <c r="L1884" i="2"/>
  <c r="E1884" i="2"/>
  <c r="D1884" i="2"/>
  <c r="L1883" i="2"/>
  <c r="E1883" i="2"/>
  <c r="D1883" i="2"/>
  <c r="L1882" i="2"/>
  <c r="E1882" i="2"/>
  <c r="D1882" i="2"/>
  <c r="L1881" i="2"/>
  <c r="E1881" i="2"/>
  <c r="D1881" i="2"/>
  <c r="L1880" i="2"/>
  <c r="E1880" i="2"/>
  <c r="D1880" i="2"/>
  <c r="L1879" i="2"/>
  <c r="E1879" i="2"/>
  <c r="D1879" i="2"/>
  <c r="L1878" i="2"/>
  <c r="E1878" i="2"/>
  <c r="D1878" i="2"/>
  <c r="L1877" i="2"/>
  <c r="E1877" i="2"/>
  <c r="D1877" i="2"/>
  <c r="L1876" i="2"/>
  <c r="E1876" i="2"/>
  <c r="D1876" i="2"/>
  <c r="L1875" i="2"/>
  <c r="E1875" i="2"/>
  <c r="D1875" i="2"/>
  <c r="L1874" i="2"/>
  <c r="E1874" i="2"/>
  <c r="D1874" i="2"/>
  <c r="L1873" i="2"/>
  <c r="E1873" i="2"/>
  <c r="D1873" i="2"/>
  <c r="L1872" i="2"/>
  <c r="E1872" i="2"/>
  <c r="D1872" i="2"/>
  <c r="L1871" i="2"/>
  <c r="E1871" i="2"/>
  <c r="D1871" i="2"/>
  <c r="L1870" i="2"/>
  <c r="E1870" i="2"/>
  <c r="D1870" i="2"/>
  <c r="L1869" i="2"/>
  <c r="E1869" i="2"/>
  <c r="D1869" i="2"/>
  <c r="L1868" i="2"/>
  <c r="E1868" i="2"/>
  <c r="D1868" i="2"/>
  <c r="L1867" i="2"/>
  <c r="E1867" i="2"/>
  <c r="D1867" i="2"/>
  <c r="L1866" i="2"/>
  <c r="E1866" i="2"/>
  <c r="D1866" i="2"/>
  <c r="L1865" i="2"/>
  <c r="E1865" i="2"/>
  <c r="D1865" i="2"/>
  <c r="L1864" i="2"/>
  <c r="E1864" i="2"/>
  <c r="D1864" i="2"/>
  <c r="L1863" i="2"/>
  <c r="E1863" i="2"/>
  <c r="D1863" i="2"/>
  <c r="L1862" i="2"/>
  <c r="E1862" i="2"/>
  <c r="D1862" i="2"/>
  <c r="L1861" i="2"/>
  <c r="E1861" i="2"/>
  <c r="D1861" i="2"/>
  <c r="L1860" i="2"/>
  <c r="E1860" i="2"/>
  <c r="D1860" i="2"/>
  <c r="L1859" i="2"/>
  <c r="E1859" i="2"/>
  <c r="D1859" i="2"/>
  <c r="L1858" i="2"/>
  <c r="E1858" i="2"/>
  <c r="D1858" i="2"/>
  <c r="L1857" i="2"/>
  <c r="E1857" i="2"/>
  <c r="D1857" i="2"/>
  <c r="L1856" i="2"/>
  <c r="E1856" i="2"/>
  <c r="D1856" i="2"/>
  <c r="L1855" i="2"/>
  <c r="E1855" i="2"/>
  <c r="D1855" i="2"/>
  <c r="L1854" i="2"/>
  <c r="E1854" i="2"/>
  <c r="D1854" i="2"/>
  <c r="L1853" i="2"/>
  <c r="E1853" i="2"/>
  <c r="D1853" i="2"/>
  <c r="L1852" i="2"/>
  <c r="E1852" i="2"/>
  <c r="D1852" i="2"/>
  <c r="L1851" i="2"/>
  <c r="E1851" i="2"/>
  <c r="D1851" i="2"/>
  <c r="L1850" i="2"/>
  <c r="E1850" i="2"/>
  <c r="D1850" i="2"/>
  <c r="X1849" i="2"/>
  <c r="L1849" i="2"/>
  <c r="E1849" i="2"/>
  <c r="D1849" i="2"/>
  <c r="L1848" i="2"/>
  <c r="E1848" i="2"/>
  <c r="D1848" i="2"/>
  <c r="L1847" i="2"/>
  <c r="E1847" i="2"/>
  <c r="D1847" i="2"/>
  <c r="L1846" i="2"/>
  <c r="E1846" i="2"/>
  <c r="D1846" i="2"/>
  <c r="L1845" i="2"/>
  <c r="E1845" i="2"/>
  <c r="D1845" i="2"/>
  <c r="L1844" i="2"/>
  <c r="E1844" i="2"/>
  <c r="D1844" i="2"/>
  <c r="L1843" i="2"/>
  <c r="E1843" i="2"/>
  <c r="D1843" i="2"/>
  <c r="L1842" i="2"/>
  <c r="E1842" i="2"/>
  <c r="D1842" i="2"/>
  <c r="L1841" i="2"/>
  <c r="E1841" i="2"/>
  <c r="D1841" i="2"/>
  <c r="L1840" i="2"/>
  <c r="E1840" i="2"/>
  <c r="D1840" i="2"/>
  <c r="L1839" i="2"/>
  <c r="E1839" i="2"/>
  <c r="D1839" i="2"/>
  <c r="L1838" i="2"/>
  <c r="E1838" i="2"/>
  <c r="D1838" i="2"/>
  <c r="L1837" i="2"/>
  <c r="E1837" i="2"/>
  <c r="D1837" i="2"/>
  <c r="L1836" i="2"/>
  <c r="E1836" i="2"/>
  <c r="D1836" i="2"/>
  <c r="L1835" i="2"/>
  <c r="E1835" i="2"/>
  <c r="D1835" i="2"/>
  <c r="L1834" i="2"/>
  <c r="E1834" i="2"/>
  <c r="D1834" i="2"/>
  <c r="L1833" i="2"/>
  <c r="E1833" i="2"/>
  <c r="D1833" i="2"/>
  <c r="L1832" i="2"/>
  <c r="E1832" i="2"/>
  <c r="D1832" i="2"/>
  <c r="L1831" i="2"/>
  <c r="E1831" i="2"/>
  <c r="D1831" i="2"/>
  <c r="L1830" i="2"/>
  <c r="E1830" i="2"/>
  <c r="D1830" i="2"/>
  <c r="L1829" i="2"/>
  <c r="E1829" i="2"/>
  <c r="D1829" i="2"/>
  <c r="L1828" i="2"/>
  <c r="E1828" i="2"/>
  <c r="D1828" i="2"/>
  <c r="L1827" i="2"/>
  <c r="E1827" i="2"/>
  <c r="D1827" i="2"/>
  <c r="L1826" i="2"/>
  <c r="E1826" i="2"/>
  <c r="D1826" i="2"/>
  <c r="L1825" i="2"/>
  <c r="E1825" i="2"/>
  <c r="D1825" i="2"/>
  <c r="L1824" i="2"/>
  <c r="E1824" i="2"/>
  <c r="D1824" i="2"/>
  <c r="L1823" i="2"/>
  <c r="E1823" i="2"/>
  <c r="D1823" i="2"/>
  <c r="L1822" i="2"/>
  <c r="E1822" i="2"/>
  <c r="D1822" i="2"/>
  <c r="L1821" i="2"/>
  <c r="E1821" i="2"/>
  <c r="D1821" i="2"/>
  <c r="L1820" i="2"/>
  <c r="E1820" i="2"/>
  <c r="D1820" i="2"/>
  <c r="L1819" i="2"/>
  <c r="E1819" i="2"/>
  <c r="D1819" i="2"/>
  <c r="L1818" i="2"/>
  <c r="E1818" i="2"/>
  <c r="D1818" i="2"/>
  <c r="L1817" i="2"/>
  <c r="E1817" i="2"/>
  <c r="D1817" i="2"/>
  <c r="L1816" i="2"/>
  <c r="E1816" i="2"/>
  <c r="D1816" i="2"/>
  <c r="L1815" i="2"/>
  <c r="E1815" i="2"/>
  <c r="D1815" i="2"/>
  <c r="L1814" i="2"/>
  <c r="E1814" i="2"/>
  <c r="D1814" i="2"/>
  <c r="L1813" i="2"/>
  <c r="E1813" i="2"/>
  <c r="D1813" i="2"/>
  <c r="L1812" i="2"/>
  <c r="E1812" i="2"/>
  <c r="D1812" i="2"/>
  <c r="L1811" i="2"/>
  <c r="E1811" i="2"/>
  <c r="D1811" i="2"/>
  <c r="X1810" i="2"/>
  <c r="L1810" i="2"/>
  <c r="E1810" i="2"/>
  <c r="D1810" i="2"/>
  <c r="L1809" i="2"/>
  <c r="E1809" i="2"/>
  <c r="D1809" i="2"/>
  <c r="L1808" i="2"/>
  <c r="E1808" i="2"/>
  <c r="D1808" i="2"/>
  <c r="L1807" i="2"/>
  <c r="E1807" i="2"/>
  <c r="D1807" i="2"/>
  <c r="L1806" i="2"/>
  <c r="E1806" i="2"/>
  <c r="D1806" i="2"/>
  <c r="L1805" i="2"/>
  <c r="E1805" i="2"/>
  <c r="D1805" i="2"/>
  <c r="L1804" i="2"/>
  <c r="E1804" i="2"/>
  <c r="D1804" i="2"/>
  <c r="L1803" i="2"/>
  <c r="E1803" i="2"/>
  <c r="D1803" i="2"/>
  <c r="X1802" i="2"/>
  <c r="L1802" i="2"/>
  <c r="E1802" i="2"/>
  <c r="D1802" i="2"/>
  <c r="X1801" i="2"/>
  <c r="L1801" i="2"/>
  <c r="E1801" i="2"/>
  <c r="D1801" i="2"/>
  <c r="L1800" i="2"/>
  <c r="E1800" i="2"/>
  <c r="D1800" i="2"/>
  <c r="L1799" i="2"/>
  <c r="E1799" i="2"/>
  <c r="D1799" i="2"/>
  <c r="L1798" i="2"/>
  <c r="E1798" i="2"/>
  <c r="D1798" i="2"/>
  <c r="L1797" i="2"/>
  <c r="E1797" i="2"/>
  <c r="D1797" i="2"/>
  <c r="L1796" i="2"/>
  <c r="E1796" i="2"/>
  <c r="D1796" i="2"/>
  <c r="L1795" i="2"/>
  <c r="E1795" i="2"/>
  <c r="D1795" i="2"/>
  <c r="L1794" i="2"/>
  <c r="E1794" i="2"/>
  <c r="D1794" i="2"/>
  <c r="X1793" i="2"/>
  <c r="L1793" i="2"/>
  <c r="E1793" i="2"/>
  <c r="D1793" i="2"/>
  <c r="L1792" i="2"/>
  <c r="E1792" i="2"/>
  <c r="D1792" i="2"/>
  <c r="L1791" i="2"/>
  <c r="E1791" i="2"/>
  <c r="D1791" i="2"/>
  <c r="L1790" i="2"/>
  <c r="E1790" i="2"/>
  <c r="D1790" i="2"/>
  <c r="L1789" i="2"/>
  <c r="E1789" i="2"/>
  <c r="D1789" i="2"/>
  <c r="L1788" i="2"/>
  <c r="E1788" i="2"/>
  <c r="D1788" i="2"/>
  <c r="L1787" i="2"/>
  <c r="E1787" i="2"/>
  <c r="D1787" i="2"/>
  <c r="L1786" i="2"/>
  <c r="E1786" i="2"/>
  <c r="D1786" i="2"/>
  <c r="L1785" i="2"/>
  <c r="E1785" i="2"/>
  <c r="D1785" i="2"/>
  <c r="L1784" i="2"/>
  <c r="E1784" i="2"/>
  <c r="D1784" i="2"/>
  <c r="L1783" i="2"/>
  <c r="E1783" i="2"/>
  <c r="D1783" i="2"/>
  <c r="L1782" i="2"/>
  <c r="E1782" i="2"/>
  <c r="D1782" i="2"/>
  <c r="L1781" i="2"/>
  <c r="E1781" i="2"/>
  <c r="D1781" i="2"/>
  <c r="L1780" i="2"/>
  <c r="E1780" i="2"/>
  <c r="D1780" i="2"/>
  <c r="L1779" i="2"/>
  <c r="E1779" i="2"/>
  <c r="D1779" i="2"/>
  <c r="L1778" i="2"/>
  <c r="E1778" i="2"/>
  <c r="D1778" i="2"/>
  <c r="L1777" i="2"/>
  <c r="E1777" i="2"/>
  <c r="D1777" i="2"/>
  <c r="L1776" i="2"/>
  <c r="E1776" i="2"/>
  <c r="D1776" i="2"/>
  <c r="L1775" i="2"/>
  <c r="E1775" i="2"/>
  <c r="D1775" i="2"/>
  <c r="L1774" i="2"/>
  <c r="E1774" i="2"/>
  <c r="D1774" i="2"/>
  <c r="X1773" i="2"/>
  <c r="L1773" i="2"/>
  <c r="E1773" i="2"/>
  <c r="D1773" i="2"/>
  <c r="L1772" i="2"/>
  <c r="E1772" i="2"/>
  <c r="D1772" i="2"/>
  <c r="L1771" i="2"/>
  <c r="E1771" i="2"/>
  <c r="D1771" i="2"/>
  <c r="L1770" i="2"/>
  <c r="E1770" i="2"/>
  <c r="D1770" i="2"/>
  <c r="L1769" i="2"/>
  <c r="E1769" i="2"/>
  <c r="D1769" i="2"/>
  <c r="L1768" i="2"/>
  <c r="E1768" i="2"/>
  <c r="D1768" i="2"/>
  <c r="L1767" i="2"/>
  <c r="E1767" i="2"/>
  <c r="D1767" i="2"/>
  <c r="X1766" i="2"/>
  <c r="L1766" i="2"/>
  <c r="E1766" i="2"/>
  <c r="D1766" i="2"/>
  <c r="L1765" i="2"/>
  <c r="E1765" i="2"/>
  <c r="D1765" i="2"/>
  <c r="L1764" i="2"/>
  <c r="E1764" i="2"/>
  <c r="D1764" i="2"/>
  <c r="L1763" i="2"/>
  <c r="E1763" i="2"/>
  <c r="D1763" i="2"/>
  <c r="X1762" i="2"/>
  <c r="L1762" i="2"/>
  <c r="E1762" i="2"/>
  <c r="D1762" i="2"/>
  <c r="L1761" i="2"/>
  <c r="E1761" i="2"/>
  <c r="D1761" i="2"/>
  <c r="L1760" i="2"/>
  <c r="E1760" i="2"/>
  <c r="D1760" i="2"/>
  <c r="L1759" i="2"/>
  <c r="E1759" i="2"/>
  <c r="D1759" i="2"/>
  <c r="L1758" i="2"/>
  <c r="E1758" i="2"/>
  <c r="D1758" i="2"/>
  <c r="X1757" i="2"/>
  <c r="L1757" i="2"/>
  <c r="E1757" i="2"/>
  <c r="D1757" i="2"/>
  <c r="X1756" i="2"/>
  <c r="L1756" i="2"/>
  <c r="E1756" i="2"/>
  <c r="D1756" i="2"/>
  <c r="L1755" i="2"/>
  <c r="E1755" i="2"/>
  <c r="D1755" i="2"/>
  <c r="L1754" i="2"/>
  <c r="E1754" i="2"/>
  <c r="D1754" i="2"/>
  <c r="L1753" i="2"/>
  <c r="E1753" i="2"/>
  <c r="D1753" i="2"/>
  <c r="L1752" i="2"/>
  <c r="E1752" i="2"/>
  <c r="D1752" i="2"/>
  <c r="L1751" i="2"/>
  <c r="E1751" i="2"/>
  <c r="D1751" i="2"/>
  <c r="L1750" i="2"/>
  <c r="E1750" i="2"/>
  <c r="D1750" i="2"/>
  <c r="L1749" i="2"/>
  <c r="E1749" i="2"/>
  <c r="D1749" i="2"/>
  <c r="L1748" i="2"/>
  <c r="E1748" i="2"/>
  <c r="D1748" i="2"/>
  <c r="X1747" i="2"/>
  <c r="L1747" i="2"/>
  <c r="E1747" i="2"/>
  <c r="D1747" i="2"/>
  <c r="L1746" i="2"/>
  <c r="E1746" i="2"/>
  <c r="D1746" i="2"/>
  <c r="L1745" i="2"/>
  <c r="E1745" i="2"/>
  <c r="D1745" i="2"/>
  <c r="L1744" i="2"/>
  <c r="E1744" i="2"/>
  <c r="D1744" i="2"/>
  <c r="X1743" i="2"/>
  <c r="L1743" i="2"/>
  <c r="E1743" i="2"/>
  <c r="D1743" i="2"/>
  <c r="L1742" i="2"/>
  <c r="E1742" i="2"/>
  <c r="D1742" i="2"/>
  <c r="L1741" i="2"/>
  <c r="E1741" i="2"/>
  <c r="D1741" i="2"/>
  <c r="L1740" i="2"/>
  <c r="E1740" i="2"/>
  <c r="D1740" i="2"/>
  <c r="L1739" i="2"/>
  <c r="E1739" i="2"/>
  <c r="D1739" i="2"/>
  <c r="X1738" i="2"/>
  <c r="L1738" i="2"/>
  <c r="E1738" i="2"/>
  <c r="D1738" i="2"/>
  <c r="L1737" i="2"/>
  <c r="E1737" i="2"/>
  <c r="D1737" i="2"/>
  <c r="L1736" i="2"/>
  <c r="E1736" i="2"/>
  <c r="D1736" i="2"/>
  <c r="L1735" i="2"/>
  <c r="E1735" i="2"/>
  <c r="D1735" i="2"/>
  <c r="L1734" i="2"/>
  <c r="E1734" i="2"/>
  <c r="D1734" i="2"/>
  <c r="X1733" i="2"/>
  <c r="L1733" i="2"/>
  <c r="E1733" i="2"/>
  <c r="D1733" i="2"/>
  <c r="L1732" i="2"/>
  <c r="E1732" i="2"/>
  <c r="D1732" i="2"/>
  <c r="L1731" i="2"/>
  <c r="E1731" i="2"/>
  <c r="D1731" i="2"/>
  <c r="L1730" i="2"/>
  <c r="E1730" i="2"/>
  <c r="D1730" i="2"/>
  <c r="L1729" i="2"/>
  <c r="E1729" i="2"/>
  <c r="D1729" i="2"/>
  <c r="L1728" i="2"/>
  <c r="E1728" i="2"/>
  <c r="D1728" i="2"/>
  <c r="L1727" i="2"/>
  <c r="E1727" i="2"/>
  <c r="D1727" i="2"/>
  <c r="L1726" i="2"/>
  <c r="E1726" i="2"/>
  <c r="D1726" i="2"/>
  <c r="L1725" i="2"/>
  <c r="E1725" i="2"/>
  <c r="D1725" i="2"/>
  <c r="L1724" i="2"/>
  <c r="E1724" i="2"/>
  <c r="D1724" i="2"/>
  <c r="L1723" i="2"/>
  <c r="E1723" i="2"/>
  <c r="D1723" i="2"/>
  <c r="L1722" i="2"/>
  <c r="E1722" i="2"/>
  <c r="D1722" i="2"/>
  <c r="L1721" i="2"/>
  <c r="E1721" i="2"/>
  <c r="D1721" i="2"/>
  <c r="X1720" i="2"/>
  <c r="L1720" i="2"/>
  <c r="E1720" i="2"/>
  <c r="D1720" i="2"/>
  <c r="L1719" i="2"/>
  <c r="E1719" i="2"/>
  <c r="D1719" i="2"/>
  <c r="L1718" i="2"/>
  <c r="E1718" i="2"/>
  <c r="D1718" i="2"/>
  <c r="L1717" i="2"/>
  <c r="E1717" i="2"/>
  <c r="D1717" i="2"/>
  <c r="L1716" i="2"/>
  <c r="E1716" i="2"/>
  <c r="D1716" i="2"/>
  <c r="L1715" i="2"/>
  <c r="E1715" i="2"/>
  <c r="D1715" i="2"/>
  <c r="L1714" i="2"/>
  <c r="E1714" i="2"/>
  <c r="D1714" i="2"/>
  <c r="L1713" i="2"/>
  <c r="E1713" i="2"/>
  <c r="D1713" i="2"/>
  <c r="L1712" i="2"/>
  <c r="E1712" i="2"/>
  <c r="D1712" i="2"/>
  <c r="L1711" i="2"/>
  <c r="E1711" i="2"/>
  <c r="D1711" i="2"/>
  <c r="X1710" i="2"/>
  <c r="L1710" i="2"/>
  <c r="E1710" i="2"/>
  <c r="D1710" i="2"/>
  <c r="L1709" i="2"/>
  <c r="E1709" i="2"/>
  <c r="D1709" i="2"/>
  <c r="L1708" i="2"/>
  <c r="E1708" i="2"/>
  <c r="D1708" i="2"/>
  <c r="L1707" i="2"/>
  <c r="E1707" i="2"/>
  <c r="D1707" i="2"/>
  <c r="X1706" i="2"/>
  <c r="L1706" i="2"/>
  <c r="E1706" i="2"/>
  <c r="D1706" i="2"/>
  <c r="L1705" i="2"/>
  <c r="E1705" i="2"/>
  <c r="D1705" i="2"/>
  <c r="L1704" i="2"/>
  <c r="E1704" i="2"/>
  <c r="D1704" i="2"/>
  <c r="X1703" i="2"/>
  <c r="L1703" i="2"/>
  <c r="E1703" i="2"/>
  <c r="D1703" i="2"/>
  <c r="L1702" i="2"/>
  <c r="E1702" i="2"/>
  <c r="D1702" i="2"/>
  <c r="L1701" i="2"/>
  <c r="E1701" i="2"/>
  <c r="D1701" i="2"/>
  <c r="L1700" i="2"/>
  <c r="E1700" i="2"/>
  <c r="D1700" i="2"/>
  <c r="L1699" i="2"/>
  <c r="E1699" i="2"/>
  <c r="D1699" i="2"/>
  <c r="L1698" i="2"/>
  <c r="E1698" i="2"/>
  <c r="D1698" i="2"/>
  <c r="X1697" i="2"/>
  <c r="L1697" i="2"/>
  <c r="E1697" i="2"/>
  <c r="D1697" i="2"/>
  <c r="L1696" i="2"/>
  <c r="E1696" i="2"/>
  <c r="D1696" i="2"/>
  <c r="L1695" i="2"/>
  <c r="E1695" i="2"/>
  <c r="D1695" i="2"/>
  <c r="L1694" i="2"/>
  <c r="E1694" i="2"/>
  <c r="D1694" i="2"/>
  <c r="L1693" i="2"/>
  <c r="E1693" i="2"/>
  <c r="D1693" i="2"/>
  <c r="L1692" i="2"/>
  <c r="E1692" i="2"/>
  <c r="D1692" i="2"/>
  <c r="L1691" i="2"/>
  <c r="E1691" i="2"/>
  <c r="D1691" i="2"/>
  <c r="X1690" i="2"/>
  <c r="L1690" i="2"/>
  <c r="E1690" i="2"/>
  <c r="D1690" i="2"/>
  <c r="X1689" i="2"/>
  <c r="L1689" i="2"/>
  <c r="E1689" i="2"/>
  <c r="D1689" i="2"/>
  <c r="L1688" i="2"/>
  <c r="E1688" i="2"/>
  <c r="D1688" i="2"/>
  <c r="L1687" i="2"/>
  <c r="E1687" i="2"/>
  <c r="D1687" i="2"/>
  <c r="L1686" i="2"/>
  <c r="E1686" i="2"/>
  <c r="D1686" i="2"/>
  <c r="L1685" i="2"/>
  <c r="E1685" i="2"/>
  <c r="D1685" i="2"/>
  <c r="L1684" i="2"/>
  <c r="E1684" i="2"/>
  <c r="D1684" i="2"/>
  <c r="L1683" i="2"/>
  <c r="E1683" i="2"/>
  <c r="D1683" i="2"/>
  <c r="X1682" i="2"/>
  <c r="L1682" i="2"/>
  <c r="E1682" i="2"/>
  <c r="D1682" i="2"/>
  <c r="L1681" i="2"/>
  <c r="E1681" i="2"/>
  <c r="D1681" i="2"/>
  <c r="L1680" i="2"/>
  <c r="E1680" i="2"/>
  <c r="D1680" i="2"/>
  <c r="L1679" i="2"/>
  <c r="E1679" i="2"/>
  <c r="D1679" i="2"/>
  <c r="L1678" i="2"/>
  <c r="E1678" i="2"/>
  <c r="D1678" i="2"/>
  <c r="L1677" i="2"/>
  <c r="E1677" i="2"/>
  <c r="D1677" i="2"/>
  <c r="L1676" i="2"/>
  <c r="E1676" i="2"/>
  <c r="D1676" i="2"/>
  <c r="L1675" i="2"/>
  <c r="E1675" i="2"/>
  <c r="D1675" i="2"/>
  <c r="L1674" i="2"/>
  <c r="E1674" i="2"/>
  <c r="D1674" i="2"/>
  <c r="L1673" i="2"/>
  <c r="E1673" i="2"/>
  <c r="D1673" i="2"/>
  <c r="L1672" i="2"/>
  <c r="E1672" i="2"/>
  <c r="D1672" i="2"/>
  <c r="L1671" i="2"/>
  <c r="E1671" i="2"/>
  <c r="D1671" i="2"/>
  <c r="L1670" i="2"/>
  <c r="E1670" i="2"/>
  <c r="D1670" i="2"/>
  <c r="X1669" i="2"/>
  <c r="L1669" i="2"/>
  <c r="E1669" i="2"/>
  <c r="D1669" i="2"/>
  <c r="L1668" i="2"/>
  <c r="E1668" i="2"/>
  <c r="D1668" i="2"/>
  <c r="L1667" i="2"/>
  <c r="E1667" i="2"/>
  <c r="D1667" i="2"/>
  <c r="L1666" i="2"/>
  <c r="E1666" i="2"/>
  <c r="D1666" i="2"/>
  <c r="L1665" i="2"/>
  <c r="E1665" i="2"/>
  <c r="D1665" i="2"/>
  <c r="L1664" i="2"/>
  <c r="E1664" i="2"/>
  <c r="D1664" i="2"/>
  <c r="L1663" i="2"/>
  <c r="E1663" i="2"/>
  <c r="D1663" i="2"/>
  <c r="X1662" i="2"/>
  <c r="L1662" i="2"/>
  <c r="E1662" i="2"/>
  <c r="D1662" i="2"/>
  <c r="X1661" i="2"/>
  <c r="L1661" i="2"/>
  <c r="E1661" i="2"/>
  <c r="D1661" i="2"/>
  <c r="L1660" i="2"/>
  <c r="E1660" i="2"/>
  <c r="D1660" i="2"/>
  <c r="L1659" i="2"/>
  <c r="E1659" i="2"/>
  <c r="D1659" i="2"/>
  <c r="X1658" i="2"/>
  <c r="L1658" i="2"/>
  <c r="E1658" i="2"/>
  <c r="D1658" i="2"/>
  <c r="X1657" i="2"/>
  <c r="L1657" i="2"/>
  <c r="E1657" i="2"/>
  <c r="D1657" i="2"/>
  <c r="L1656" i="2"/>
  <c r="E1656" i="2"/>
  <c r="D1656" i="2"/>
  <c r="L1655" i="2"/>
  <c r="E1655" i="2"/>
  <c r="D1655" i="2"/>
  <c r="X1654" i="2"/>
  <c r="L1654" i="2"/>
  <c r="E1654" i="2"/>
  <c r="D1654" i="2"/>
  <c r="X1653" i="2"/>
  <c r="L1653" i="2"/>
  <c r="E1653" i="2"/>
  <c r="D1653" i="2"/>
  <c r="L1652" i="2"/>
  <c r="E1652" i="2"/>
  <c r="D1652" i="2"/>
  <c r="X1651" i="2"/>
  <c r="L1651" i="2"/>
  <c r="E1651" i="2"/>
  <c r="D1651" i="2"/>
  <c r="X1650" i="2"/>
  <c r="L1650" i="2"/>
  <c r="E1650" i="2"/>
  <c r="D1650" i="2"/>
  <c r="L1649" i="2"/>
  <c r="E1649" i="2"/>
  <c r="D1649" i="2"/>
  <c r="L1648" i="2"/>
  <c r="E1648" i="2"/>
  <c r="D1648" i="2"/>
  <c r="L1647" i="2"/>
  <c r="E1647" i="2"/>
  <c r="D1647" i="2"/>
  <c r="X1646" i="2"/>
  <c r="L1646" i="2"/>
  <c r="E1646" i="2"/>
  <c r="D1646" i="2"/>
  <c r="X1645" i="2"/>
  <c r="L1645" i="2"/>
  <c r="E1645" i="2"/>
  <c r="D1645" i="2"/>
  <c r="L1644" i="2"/>
  <c r="E1644" i="2"/>
  <c r="D1644" i="2"/>
  <c r="L1643" i="2"/>
  <c r="E1643" i="2"/>
  <c r="D1643" i="2"/>
  <c r="L1642" i="2"/>
  <c r="E1642" i="2"/>
  <c r="D1642" i="2"/>
  <c r="L1641" i="2"/>
  <c r="E1641" i="2"/>
  <c r="D1641" i="2"/>
  <c r="L1640" i="2"/>
  <c r="E1640" i="2"/>
  <c r="D1640" i="2"/>
  <c r="L1639" i="2"/>
  <c r="E1639" i="2"/>
  <c r="D1639" i="2"/>
  <c r="X1638" i="2"/>
  <c r="L1638" i="2"/>
  <c r="E1638" i="2"/>
  <c r="D1638" i="2"/>
  <c r="X1637" i="2"/>
  <c r="L1637" i="2"/>
  <c r="E1637" i="2"/>
  <c r="D1637" i="2"/>
  <c r="L1636" i="2"/>
  <c r="E1636" i="2"/>
  <c r="D1636" i="2"/>
  <c r="L1635" i="2"/>
  <c r="E1635" i="2"/>
  <c r="D1635" i="2"/>
  <c r="L1634" i="2"/>
  <c r="E1634" i="2"/>
  <c r="D1634" i="2"/>
  <c r="X1633" i="2"/>
  <c r="L1633" i="2"/>
  <c r="E1633" i="2"/>
  <c r="D1633" i="2"/>
  <c r="X1632" i="2"/>
  <c r="L1632" i="2"/>
  <c r="E1632" i="2"/>
  <c r="D1632" i="2"/>
  <c r="L1631" i="2"/>
  <c r="E1631" i="2"/>
  <c r="D1631" i="2"/>
  <c r="X1630" i="2"/>
  <c r="L1630" i="2"/>
  <c r="E1630" i="2"/>
  <c r="D1630" i="2"/>
  <c r="X1629" i="2"/>
  <c r="L1629" i="2"/>
  <c r="E1629" i="2"/>
  <c r="D1629" i="2"/>
  <c r="L1628" i="2"/>
  <c r="E1628" i="2"/>
  <c r="D1628" i="2"/>
  <c r="L1627" i="2"/>
  <c r="E1627" i="2"/>
  <c r="D1627" i="2"/>
  <c r="L1626" i="2"/>
  <c r="E1626" i="2"/>
  <c r="D1626" i="2"/>
  <c r="L1625" i="2"/>
  <c r="E1625" i="2"/>
  <c r="D1625" i="2"/>
  <c r="X1624" i="2"/>
  <c r="L1624" i="2"/>
  <c r="E1624" i="2"/>
  <c r="D1624" i="2"/>
  <c r="X1623" i="2"/>
  <c r="L1623" i="2"/>
  <c r="E1623" i="2"/>
  <c r="D1623" i="2"/>
  <c r="L1622" i="2"/>
  <c r="E1622" i="2"/>
  <c r="D1622" i="2"/>
  <c r="L1621" i="2"/>
  <c r="E1621" i="2"/>
  <c r="D1621" i="2"/>
  <c r="L1620" i="2"/>
  <c r="E1620" i="2"/>
  <c r="D1620" i="2"/>
  <c r="L1619" i="2"/>
  <c r="E1619" i="2"/>
  <c r="D1619" i="2"/>
  <c r="L1618" i="2"/>
  <c r="E1618" i="2"/>
  <c r="D1618" i="2"/>
  <c r="X1617" i="2"/>
  <c r="L1617" i="2"/>
  <c r="E1617" i="2"/>
  <c r="D1617" i="2"/>
  <c r="L1616" i="2"/>
  <c r="E1616" i="2"/>
  <c r="D1616" i="2"/>
  <c r="L1615" i="2"/>
  <c r="E1615" i="2"/>
  <c r="D1615" i="2"/>
  <c r="L1614" i="2"/>
  <c r="E1614" i="2"/>
  <c r="D1614" i="2"/>
  <c r="L1613" i="2"/>
  <c r="E1613" i="2"/>
  <c r="D1613" i="2"/>
  <c r="L1612" i="2"/>
  <c r="E1612" i="2"/>
  <c r="D1612" i="2"/>
  <c r="L1611" i="2"/>
  <c r="E1611" i="2"/>
  <c r="D1611" i="2"/>
  <c r="X1610" i="2"/>
  <c r="L1610" i="2"/>
  <c r="E1610" i="2"/>
  <c r="D1610" i="2"/>
  <c r="L1609" i="2"/>
  <c r="E1609" i="2"/>
  <c r="D1609" i="2"/>
  <c r="X1608" i="2"/>
  <c r="L1608" i="2"/>
  <c r="E1608" i="2"/>
  <c r="D1608" i="2"/>
  <c r="X1607" i="2"/>
  <c r="L1607" i="2"/>
  <c r="E1607" i="2"/>
  <c r="D1607" i="2"/>
  <c r="L1606" i="2"/>
  <c r="E1606" i="2"/>
  <c r="D1606" i="2"/>
  <c r="L1605" i="2"/>
  <c r="E1605" i="2"/>
  <c r="D1605" i="2"/>
  <c r="L1604" i="2"/>
  <c r="E1604" i="2"/>
  <c r="D1604" i="2"/>
  <c r="L1603" i="2"/>
  <c r="E1603" i="2"/>
  <c r="D1603" i="2"/>
  <c r="L1602" i="2"/>
  <c r="E1602" i="2"/>
  <c r="D1602" i="2"/>
  <c r="L1601" i="2"/>
  <c r="E1601" i="2"/>
  <c r="D1601" i="2"/>
  <c r="L1600" i="2"/>
  <c r="E1600" i="2"/>
  <c r="D1600" i="2"/>
  <c r="L1599" i="2"/>
  <c r="E1599" i="2"/>
  <c r="D1599" i="2"/>
  <c r="L1598" i="2"/>
  <c r="E1598" i="2"/>
  <c r="D1598" i="2"/>
  <c r="L1597" i="2"/>
  <c r="E1597" i="2"/>
  <c r="D1597" i="2"/>
  <c r="L1596" i="2"/>
  <c r="E1596" i="2"/>
  <c r="D1596" i="2"/>
  <c r="X1595" i="2"/>
  <c r="L1595" i="2"/>
  <c r="E1595" i="2"/>
  <c r="D1595" i="2"/>
  <c r="X1594" i="2"/>
  <c r="L1594" i="2"/>
  <c r="E1594" i="2"/>
  <c r="D1594" i="2"/>
  <c r="L1593" i="2"/>
  <c r="E1593" i="2"/>
  <c r="D1593" i="2"/>
  <c r="L1592" i="2"/>
  <c r="E1592" i="2"/>
  <c r="D1592" i="2"/>
  <c r="L1591" i="2"/>
  <c r="E1591" i="2"/>
  <c r="D1591" i="2"/>
  <c r="L1590" i="2"/>
  <c r="E1590" i="2"/>
  <c r="D1590" i="2"/>
  <c r="L1589" i="2"/>
  <c r="E1589" i="2"/>
  <c r="D1589" i="2"/>
  <c r="L1588" i="2"/>
  <c r="E1588" i="2"/>
  <c r="D1588" i="2"/>
  <c r="L1587" i="2"/>
  <c r="E1587" i="2"/>
  <c r="D1587" i="2"/>
  <c r="L1586" i="2"/>
  <c r="E1586" i="2"/>
  <c r="D1586" i="2"/>
  <c r="X1585" i="2"/>
  <c r="L1585" i="2"/>
  <c r="E1585" i="2"/>
  <c r="D1585" i="2"/>
  <c r="X1584" i="2"/>
  <c r="L1584" i="2"/>
  <c r="E1584" i="2"/>
  <c r="D1584" i="2"/>
  <c r="L1583" i="2"/>
  <c r="E1583" i="2"/>
  <c r="D1583" i="2"/>
  <c r="X1582" i="2"/>
  <c r="L1582" i="2"/>
  <c r="E1582" i="2"/>
  <c r="D1582" i="2"/>
  <c r="X1581" i="2"/>
  <c r="L1581" i="2"/>
  <c r="E1581" i="2"/>
  <c r="D1581" i="2"/>
  <c r="X1580" i="2"/>
  <c r="L1580" i="2"/>
  <c r="E1580" i="2"/>
  <c r="D1580" i="2"/>
  <c r="L1579" i="2"/>
  <c r="E1579" i="2"/>
  <c r="D1579" i="2"/>
  <c r="L1578" i="2"/>
  <c r="E1578" i="2"/>
  <c r="D1578" i="2"/>
  <c r="L1577" i="2"/>
  <c r="E1577" i="2"/>
  <c r="D1577" i="2"/>
  <c r="L1576" i="2"/>
  <c r="E1576" i="2"/>
  <c r="D1576" i="2"/>
  <c r="L1575" i="2"/>
  <c r="E1575" i="2"/>
  <c r="D1575" i="2"/>
  <c r="L1574" i="2"/>
  <c r="E1574" i="2"/>
  <c r="D1574" i="2"/>
  <c r="L1573" i="2"/>
  <c r="E1573" i="2"/>
  <c r="D1573" i="2"/>
  <c r="L1572" i="2"/>
  <c r="E1572" i="2"/>
  <c r="D1572" i="2"/>
  <c r="L1571" i="2"/>
  <c r="E1571" i="2"/>
  <c r="D1571" i="2"/>
  <c r="L1570" i="2"/>
  <c r="E1570" i="2"/>
  <c r="D1570" i="2"/>
  <c r="L1569" i="2"/>
  <c r="E1569" i="2"/>
  <c r="D1569" i="2"/>
  <c r="L1568" i="2"/>
  <c r="E1568" i="2"/>
  <c r="D1568" i="2"/>
  <c r="L1567" i="2"/>
  <c r="E1567" i="2"/>
  <c r="D1567" i="2"/>
  <c r="L1566" i="2"/>
  <c r="E1566" i="2"/>
  <c r="D1566" i="2"/>
  <c r="L1565" i="2"/>
  <c r="E1565" i="2"/>
  <c r="D1565" i="2"/>
  <c r="L1564" i="2"/>
  <c r="E1564" i="2"/>
  <c r="D1564" i="2"/>
  <c r="L1563" i="2"/>
  <c r="E1563" i="2"/>
  <c r="D1563" i="2"/>
  <c r="L1562" i="2"/>
  <c r="E1562" i="2"/>
  <c r="D1562" i="2"/>
  <c r="L1561" i="2"/>
  <c r="E1561" i="2"/>
  <c r="D1561" i="2"/>
  <c r="L1560" i="2"/>
  <c r="E1560" i="2"/>
  <c r="D1560" i="2"/>
  <c r="L1559" i="2"/>
  <c r="E1559" i="2"/>
  <c r="D1559" i="2"/>
  <c r="X1558" i="2"/>
  <c r="L1558" i="2"/>
  <c r="E1558" i="2"/>
  <c r="D1558" i="2"/>
  <c r="L1557" i="2"/>
  <c r="E1557" i="2"/>
  <c r="D1557" i="2"/>
  <c r="L1556" i="2"/>
  <c r="E1556" i="2"/>
  <c r="D1556" i="2"/>
  <c r="L1555" i="2"/>
  <c r="E1555" i="2"/>
  <c r="D1555" i="2"/>
  <c r="L1554" i="2"/>
  <c r="E1554" i="2"/>
  <c r="D1554" i="2"/>
  <c r="L1553" i="2"/>
  <c r="E1553" i="2"/>
  <c r="D1553" i="2"/>
  <c r="L1552" i="2"/>
  <c r="E1552" i="2"/>
  <c r="D1552" i="2"/>
  <c r="L1551" i="2"/>
  <c r="E1551" i="2"/>
  <c r="D1551" i="2"/>
  <c r="L1550" i="2"/>
  <c r="E1550" i="2"/>
  <c r="D1550" i="2"/>
  <c r="L1549" i="2"/>
  <c r="E1549" i="2"/>
  <c r="D1549" i="2"/>
  <c r="L1548" i="2"/>
  <c r="E1548" i="2"/>
  <c r="D1548" i="2"/>
  <c r="L1547" i="2"/>
  <c r="E1547" i="2"/>
  <c r="D1547" i="2"/>
  <c r="L1546" i="2"/>
  <c r="E1546" i="2"/>
  <c r="D1546" i="2"/>
  <c r="L1545" i="2"/>
  <c r="E1545" i="2"/>
  <c r="D1545" i="2"/>
  <c r="L1544" i="2"/>
  <c r="E1544" i="2"/>
  <c r="D1544" i="2"/>
  <c r="L1543" i="2"/>
  <c r="E1543" i="2"/>
  <c r="D1543" i="2"/>
  <c r="L1542" i="2"/>
  <c r="E1542" i="2"/>
  <c r="D1542" i="2"/>
  <c r="L1541" i="2"/>
  <c r="E1541" i="2"/>
  <c r="D1541" i="2"/>
  <c r="L1540" i="2"/>
  <c r="E1540" i="2"/>
  <c r="D1540" i="2"/>
  <c r="L1539" i="2"/>
  <c r="E1539" i="2"/>
  <c r="D1539" i="2"/>
  <c r="L1538" i="2"/>
  <c r="E1538" i="2"/>
  <c r="D1538" i="2"/>
  <c r="L1537" i="2"/>
  <c r="E1537" i="2"/>
  <c r="D1537" i="2"/>
  <c r="X1536" i="2"/>
  <c r="L1536" i="2"/>
  <c r="E1536" i="2"/>
  <c r="D1536" i="2"/>
  <c r="L1535" i="2"/>
  <c r="E1535" i="2"/>
  <c r="D1535" i="2"/>
  <c r="L1534" i="2"/>
  <c r="E1534" i="2"/>
  <c r="D1534" i="2"/>
  <c r="L1533" i="2"/>
  <c r="E1533" i="2"/>
  <c r="D1533" i="2"/>
  <c r="L1532" i="2"/>
  <c r="E1532" i="2"/>
  <c r="D1532" i="2"/>
  <c r="L1531" i="2"/>
  <c r="E1531" i="2"/>
  <c r="D1531" i="2"/>
  <c r="L1530" i="2"/>
  <c r="E1530" i="2"/>
  <c r="D1530" i="2"/>
  <c r="L1529" i="2"/>
  <c r="E1529" i="2"/>
  <c r="D1529" i="2"/>
  <c r="L1528" i="2"/>
  <c r="E1528" i="2"/>
  <c r="D1528" i="2"/>
  <c r="L1527" i="2"/>
  <c r="E1527" i="2"/>
  <c r="D1527" i="2"/>
  <c r="L1526" i="2"/>
  <c r="E1526" i="2"/>
  <c r="D1526" i="2"/>
  <c r="L1525" i="2"/>
  <c r="E1525" i="2"/>
  <c r="D1525" i="2"/>
  <c r="L1524" i="2"/>
  <c r="E1524" i="2"/>
  <c r="D1524" i="2"/>
  <c r="L1523" i="2"/>
  <c r="E1523" i="2"/>
  <c r="D1523" i="2"/>
  <c r="X1522" i="2"/>
  <c r="L1522" i="2"/>
  <c r="E1522" i="2"/>
  <c r="D1522" i="2"/>
  <c r="L1521" i="2"/>
  <c r="E1521" i="2"/>
  <c r="D1521" i="2"/>
  <c r="L1520" i="2"/>
  <c r="E1520" i="2"/>
  <c r="D1520" i="2"/>
  <c r="L1519" i="2"/>
  <c r="E1519" i="2"/>
  <c r="D1519" i="2"/>
  <c r="X1518" i="2"/>
  <c r="L1518" i="2"/>
  <c r="E1518" i="2"/>
  <c r="D1518" i="2"/>
  <c r="L1517" i="2"/>
  <c r="E1517" i="2"/>
  <c r="D1517" i="2"/>
  <c r="L1516" i="2"/>
  <c r="E1516" i="2"/>
  <c r="D1516" i="2"/>
  <c r="L1515" i="2"/>
  <c r="E1515" i="2"/>
  <c r="D1515" i="2"/>
  <c r="L1514" i="2"/>
  <c r="E1514" i="2"/>
  <c r="D1514" i="2"/>
  <c r="X1513" i="2"/>
  <c r="L1513" i="2"/>
  <c r="E1513" i="2"/>
  <c r="D1513" i="2"/>
  <c r="L1512" i="2"/>
  <c r="E1512" i="2"/>
  <c r="D1512" i="2"/>
  <c r="L1511" i="2"/>
  <c r="E1511" i="2"/>
  <c r="D1511" i="2"/>
  <c r="X1510" i="2"/>
  <c r="L1510" i="2"/>
  <c r="E1510" i="2"/>
  <c r="D1510" i="2"/>
  <c r="L1509" i="2"/>
  <c r="E1509" i="2"/>
  <c r="D1509" i="2"/>
  <c r="L1508" i="2"/>
  <c r="E1508" i="2"/>
  <c r="D1508" i="2"/>
  <c r="L1507" i="2"/>
  <c r="E1507" i="2"/>
  <c r="D1507" i="2"/>
  <c r="L1506" i="2"/>
  <c r="E1506" i="2"/>
  <c r="D1506" i="2"/>
  <c r="L1505" i="2"/>
  <c r="E1505" i="2"/>
  <c r="D1505" i="2"/>
  <c r="L1504" i="2"/>
  <c r="E1504" i="2"/>
  <c r="D1504" i="2"/>
  <c r="L1503" i="2"/>
  <c r="E1503" i="2"/>
  <c r="D1503" i="2"/>
  <c r="X1502" i="2"/>
  <c r="L1502" i="2"/>
  <c r="E1502" i="2"/>
  <c r="D1502" i="2"/>
  <c r="L1501" i="2"/>
  <c r="E1501" i="2"/>
  <c r="D1501" i="2"/>
  <c r="L1500" i="2"/>
  <c r="E1500" i="2"/>
  <c r="D1500" i="2"/>
  <c r="L1499" i="2"/>
  <c r="E1499" i="2"/>
  <c r="D1499" i="2"/>
  <c r="X1498" i="2"/>
  <c r="L1498" i="2"/>
  <c r="E1498" i="2"/>
  <c r="D1498" i="2"/>
  <c r="L1497" i="2"/>
  <c r="E1497" i="2"/>
  <c r="D1497" i="2"/>
  <c r="L1496" i="2"/>
  <c r="E1496" i="2"/>
  <c r="D1496" i="2"/>
  <c r="L1495" i="2"/>
  <c r="E1495" i="2"/>
  <c r="D1495" i="2"/>
  <c r="L1494" i="2"/>
  <c r="E1494" i="2"/>
  <c r="D1494" i="2"/>
  <c r="L1493" i="2"/>
  <c r="E1493" i="2"/>
  <c r="D1493" i="2"/>
  <c r="L1492" i="2"/>
  <c r="E1492" i="2"/>
  <c r="D1492" i="2"/>
  <c r="L1491" i="2"/>
  <c r="E1491" i="2"/>
  <c r="D1491" i="2"/>
  <c r="X1490" i="2"/>
  <c r="L1490" i="2"/>
  <c r="E1490" i="2"/>
  <c r="D1490" i="2"/>
  <c r="L1489" i="2"/>
  <c r="E1489" i="2"/>
  <c r="D1489" i="2"/>
  <c r="L1488" i="2"/>
  <c r="E1488" i="2"/>
  <c r="D1488" i="2"/>
  <c r="L1487" i="2"/>
  <c r="E1487" i="2"/>
  <c r="D1487" i="2"/>
  <c r="L1486" i="2"/>
  <c r="E1486" i="2"/>
  <c r="D1486" i="2"/>
  <c r="X1485" i="2"/>
  <c r="L1485" i="2"/>
  <c r="E1485" i="2"/>
  <c r="D1485" i="2"/>
  <c r="L1484" i="2"/>
  <c r="E1484" i="2"/>
  <c r="D1484" i="2"/>
  <c r="L1483" i="2"/>
  <c r="E1483" i="2"/>
  <c r="D1483" i="2"/>
  <c r="X1482" i="2"/>
  <c r="L1482" i="2"/>
  <c r="E1482" i="2"/>
  <c r="D1482" i="2"/>
  <c r="L1481" i="2"/>
  <c r="E1481" i="2"/>
  <c r="D1481" i="2"/>
  <c r="L1480" i="2"/>
  <c r="E1480" i="2"/>
  <c r="D1480" i="2"/>
  <c r="L1479" i="2"/>
  <c r="E1479" i="2"/>
  <c r="D1479" i="2"/>
  <c r="L1478" i="2"/>
  <c r="E1478" i="2"/>
  <c r="D1478" i="2"/>
  <c r="L1477" i="2"/>
  <c r="E1477" i="2"/>
  <c r="D1477" i="2"/>
  <c r="X1476" i="2"/>
  <c r="L1476" i="2"/>
  <c r="E1476" i="2"/>
  <c r="D1476" i="2"/>
  <c r="L1475" i="2"/>
  <c r="E1475" i="2"/>
  <c r="D1475" i="2"/>
  <c r="L1474" i="2"/>
  <c r="E1474" i="2"/>
  <c r="D1474" i="2"/>
  <c r="L1473" i="2"/>
  <c r="E1473" i="2"/>
  <c r="D1473" i="2"/>
  <c r="L1472" i="2"/>
  <c r="E1472" i="2"/>
  <c r="D1472" i="2"/>
  <c r="L1471" i="2"/>
  <c r="E1471" i="2"/>
  <c r="D1471" i="2"/>
  <c r="X1470" i="2"/>
  <c r="L1470" i="2"/>
  <c r="E1470" i="2"/>
  <c r="D1470" i="2"/>
  <c r="L1469" i="2"/>
  <c r="E1469" i="2"/>
  <c r="D1469" i="2"/>
  <c r="L1468" i="2"/>
  <c r="E1468" i="2"/>
  <c r="D1468" i="2"/>
  <c r="L1467" i="2"/>
  <c r="E1467" i="2"/>
  <c r="D1467" i="2"/>
  <c r="L1466" i="2"/>
  <c r="E1466" i="2"/>
  <c r="D1466" i="2"/>
  <c r="L1465" i="2"/>
  <c r="E1465" i="2"/>
  <c r="D1465" i="2"/>
  <c r="L1464" i="2"/>
  <c r="E1464" i="2"/>
  <c r="D1464" i="2"/>
  <c r="L1463" i="2"/>
  <c r="E1463" i="2"/>
  <c r="D1463" i="2"/>
  <c r="L1462" i="2"/>
  <c r="E1462" i="2"/>
  <c r="D1462" i="2"/>
  <c r="L1461" i="2"/>
  <c r="E1461" i="2"/>
  <c r="D1461" i="2"/>
  <c r="L1460" i="2"/>
  <c r="E1460" i="2"/>
  <c r="D1460" i="2"/>
  <c r="L1459" i="2"/>
  <c r="E1459" i="2"/>
  <c r="D1459" i="2"/>
  <c r="X1458" i="2"/>
  <c r="L1458" i="2"/>
  <c r="E1458" i="2"/>
  <c r="D1458" i="2"/>
  <c r="L1457" i="2"/>
  <c r="E1457" i="2"/>
  <c r="D1457" i="2"/>
  <c r="L1456" i="2"/>
  <c r="E1456" i="2"/>
  <c r="D1456" i="2"/>
  <c r="L1455" i="2"/>
  <c r="E1455" i="2"/>
  <c r="D1455" i="2"/>
  <c r="L1454" i="2"/>
  <c r="E1454" i="2"/>
  <c r="D1454" i="2"/>
  <c r="L1453" i="2"/>
  <c r="E1453" i="2"/>
  <c r="D1453" i="2"/>
  <c r="L1452" i="2"/>
  <c r="E1452" i="2"/>
  <c r="D1452" i="2"/>
  <c r="L1451" i="2"/>
  <c r="E1451" i="2"/>
  <c r="D1451" i="2"/>
  <c r="L1450" i="2"/>
  <c r="E1450" i="2"/>
  <c r="D1450" i="2"/>
  <c r="L1449" i="2"/>
  <c r="E1449" i="2"/>
  <c r="D1449" i="2"/>
  <c r="L1448" i="2"/>
  <c r="E1448" i="2"/>
  <c r="D1448" i="2"/>
  <c r="L1447" i="2"/>
  <c r="E1447" i="2"/>
  <c r="D1447" i="2"/>
  <c r="L1446" i="2"/>
  <c r="E1446" i="2"/>
  <c r="D1446" i="2"/>
  <c r="X1445" i="2"/>
  <c r="L1445" i="2"/>
  <c r="E1445" i="2"/>
  <c r="D1445" i="2"/>
  <c r="L1444" i="2"/>
  <c r="E1444" i="2"/>
  <c r="D1444" i="2"/>
  <c r="L1443" i="2"/>
  <c r="E1443" i="2"/>
  <c r="D1443" i="2"/>
  <c r="L1442" i="2"/>
  <c r="E1442" i="2"/>
  <c r="D1442" i="2"/>
  <c r="L1441" i="2"/>
  <c r="E1441" i="2"/>
  <c r="D1441" i="2"/>
  <c r="L1440" i="2"/>
  <c r="E1440" i="2"/>
  <c r="D1440" i="2"/>
  <c r="L1439" i="2"/>
  <c r="E1439" i="2"/>
  <c r="D1439" i="2"/>
  <c r="L1438" i="2"/>
  <c r="E1438" i="2"/>
  <c r="D1438" i="2"/>
  <c r="L1437" i="2"/>
  <c r="E1437" i="2"/>
  <c r="D1437" i="2"/>
  <c r="L1436" i="2"/>
  <c r="E1436" i="2"/>
  <c r="D1436" i="2"/>
  <c r="X1435" i="2"/>
  <c r="L1435" i="2"/>
  <c r="E1435" i="2"/>
  <c r="D1435" i="2"/>
  <c r="L1434" i="2"/>
  <c r="E1434" i="2"/>
  <c r="D1434" i="2"/>
  <c r="L1433" i="2"/>
  <c r="E1433" i="2"/>
  <c r="D1433" i="2"/>
  <c r="L1432" i="2"/>
  <c r="E1432" i="2"/>
  <c r="D1432" i="2"/>
  <c r="X1431" i="2"/>
  <c r="L1431" i="2"/>
  <c r="E1431" i="2"/>
  <c r="D1431" i="2"/>
  <c r="X1430" i="2"/>
  <c r="L1430" i="2"/>
  <c r="E1430" i="2"/>
  <c r="D1430" i="2"/>
  <c r="X1429" i="2"/>
  <c r="L1429" i="2"/>
  <c r="E1429" i="2"/>
  <c r="D1429" i="2"/>
  <c r="L1428" i="2"/>
  <c r="E1428" i="2"/>
  <c r="D1428" i="2"/>
  <c r="L1427" i="2"/>
  <c r="E1427" i="2"/>
  <c r="D1427" i="2"/>
  <c r="L1426" i="2"/>
  <c r="E1426" i="2"/>
  <c r="D1426" i="2"/>
  <c r="L1425" i="2"/>
  <c r="E1425" i="2"/>
  <c r="D1425" i="2"/>
  <c r="L1424" i="2"/>
  <c r="E1424" i="2"/>
  <c r="D1424" i="2"/>
  <c r="L1423" i="2"/>
  <c r="E1423" i="2"/>
  <c r="D1423" i="2"/>
  <c r="L1422" i="2"/>
  <c r="E1422" i="2"/>
  <c r="D1422" i="2"/>
  <c r="X1421" i="2"/>
  <c r="L1421" i="2"/>
  <c r="E1421" i="2"/>
  <c r="D1421" i="2"/>
  <c r="L1420" i="2"/>
  <c r="E1420" i="2"/>
  <c r="D1420" i="2"/>
  <c r="L1419" i="2"/>
  <c r="E1419" i="2"/>
  <c r="D1419" i="2"/>
  <c r="L1418" i="2"/>
  <c r="E1418" i="2"/>
  <c r="D1418" i="2"/>
  <c r="L1417" i="2"/>
  <c r="E1417" i="2"/>
  <c r="D1417" i="2"/>
  <c r="L1416" i="2"/>
  <c r="E1416" i="2"/>
  <c r="D1416" i="2"/>
  <c r="L1415" i="2"/>
  <c r="E1415" i="2"/>
  <c r="D1415" i="2"/>
  <c r="L1414" i="2"/>
  <c r="E1414" i="2"/>
  <c r="D1414" i="2"/>
  <c r="L1413" i="2"/>
  <c r="E1413" i="2"/>
  <c r="D1413" i="2"/>
  <c r="L1412" i="2"/>
  <c r="E1412" i="2"/>
  <c r="D1412" i="2"/>
  <c r="L1411" i="2"/>
  <c r="E1411" i="2"/>
  <c r="D1411" i="2"/>
  <c r="L1410" i="2"/>
  <c r="E1410" i="2"/>
  <c r="D1410" i="2"/>
  <c r="L1409" i="2"/>
  <c r="E1409" i="2"/>
  <c r="D1409" i="2"/>
  <c r="L1408" i="2"/>
  <c r="E1408" i="2"/>
  <c r="D1408" i="2"/>
  <c r="L1407" i="2"/>
  <c r="E1407" i="2"/>
  <c r="D1407" i="2"/>
  <c r="L1406" i="2"/>
  <c r="E1406" i="2"/>
  <c r="D1406" i="2"/>
  <c r="L1405" i="2"/>
  <c r="E1405" i="2"/>
  <c r="D1405" i="2"/>
  <c r="L1404" i="2"/>
  <c r="E1404" i="2"/>
  <c r="D1404" i="2"/>
  <c r="L1403" i="2"/>
  <c r="E1403" i="2"/>
  <c r="D1403" i="2"/>
  <c r="L1402" i="2"/>
  <c r="E1402" i="2"/>
  <c r="D1402" i="2"/>
  <c r="L1401" i="2"/>
  <c r="E1401" i="2"/>
  <c r="D1401" i="2"/>
  <c r="L1400" i="2"/>
  <c r="E1400" i="2"/>
  <c r="D1400" i="2"/>
  <c r="L1399" i="2"/>
  <c r="E1399" i="2"/>
  <c r="D1399" i="2"/>
  <c r="L1398" i="2"/>
  <c r="E1398" i="2"/>
  <c r="D1398" i="2"/>
  <c r="L1397" i="2"/>
  <c r="E1397" i="2"/>
  <c r="D1397" i="2"/>
  <c r="L1396" i="2"/>
  <c r="E1396" i="2"/>
  <c r="D1396" i="2"/>
  <c r="L1395" i="2"/>
  <c r="E1395" i="2"/>
  <c r="D1395" i="2"/>
  <c r="L1394" i="2"/>
  <c r="E1394" i="2"/>
  <c r="D1394" i="2"/>
  <c r="L1393" i="2"/>
  <c r="E1393" i="2"/>
  <c r="D1393" i="2"/>
  <c r="L1392" i="2"/>
  <c r="E1392" i="2"/>
  <c r="D1392" i="2"/>
  <c r="L1391" i="2"/>
  <c r="E1391" i="2"/>
  <c r="D1391" i="2"/>
  <c r="L1390" i="2"/>
  <c r="E1390" i="2"/>
  <c r="D1390" i="2"/>
  <c r="L1389" i="2"/>
  <c r="E1389" i="2"/>
  <c r="D1389" i="2"/>
  <c r="L1388" i="2"/>
  <c r="E1388" i="2"/>
  <c r="D1388" i="2"/>
  <c r="L1387" i="2"/>
  <c r="E1387" i="2"/>
  <c r="D1387" i="2"/>
  <c r="L1386" i="2"/>
  <c r="E1386" i="2"/>
  <c r="D1386" i="2"/>
  <c r="L1385" i="2"/>
  <c r="E1385" i="2"/>
  <c r="D1385" i="2"/>
  <c r="L1384" i="2"/>
  <c r="E1384" i="2"/>
  <c r="D1384" i="2"/>
  <c r="L1383" i="2"/>
  <c r="E1383" i="2"/>
  <c r="D1383" i="2"/>
  <c r="L1382" i="2"/>
  <c r="E1382" i="2"/>
  <c r="D1382" i="2"/>
  <c r="L1381" i="2"/>
  <c r="E1381" i="2"/>
  <c r="D1381" i="2"/>
  <c r="L1380" i="2"/>
  <c r="E1380" i="2"/>
  <c r="D1380" i="2"/>
  <c r="L1379" i="2"/>
  <c r="E1379" i="2"/>
  <c r="D1379" i="2"/>
  <c r="L1378" i="2"/>
  <c r="E1378" i="2"/>
  <c r="D1378" i="2"/>
  <c r="L1377" i="2"/>
  <c r="E1377" i="2"/>
  <c r="D1377" i="2"/>
  <c r="L1376" i="2"/>
  <c r="E1376" i="2"/>
  <c r="D1376" i="2"/>
  <c r="L1375" i="2"/>
  <c r="E1375" i="2"/>
  <c r="D1375" i="2"/>
  <c r="L1374" i="2"/>
  <c r="E1374" i="2"/>
  <c r="D1374" i="2"/>
  <c r="L1373" i="2"/>
  <c r="E1373" i="2"/>
  <c r="D1373" i="2"/>
  <c r="L1372" i="2"/>
  <c r="E1372" i="2"/>
  <c r="D1372" i="2"/>
  <c r="L1371" i="2"/>
  <c r="E1371" i="2"/>
  <c r="D1371" i="2"/>
  <c r="L1370" i="2"/>
  <c r="E1370" i="2"/>
  <c r="D1370" i="2"/>
  <c r="L1369" i="2"/>
  <c r="E1369" i="2"/>
  <c r="D1369" i="2"/>
  <c r="L1368" i="2"/>
  <c r="E1368" i="2"/>
  <c r="D1368" i="2"/>
  <c r="L1367" i="2"/>
  <c r="E1367" i="2"/>
  <c r="D1367" i="2"/>
  <c r="L1366" i="2"/>
  <c r="E1366" i="2"/>
  <c r="D1366" i="2"/>
  <c r="L1365" i="2"/>
  <c r="E1365" i="2"/>
  <c r="D1365" i="2"/>
  <c r="L1364" i="2"/>
  <c r="E1364" i="2"/>
  <c r="D1364" i="2"/>
  <c r="L1363" i="2"/>
  <c r="E1363" i="2"/>
  <c r="D1363" i="2"/>
  <c r="L1362" i="2"/>
  <c r="E1362" i="2"/>
  <c r="D1362" i="2"/>
  <c r="L1361" i="2"/>
  <c r="E1361" i="2"/>
  <c r="D1361" i="2"/>
  <c r="L1360" i="2"/>
  <c r="E1360" i="2"/>
  <c r="D1360" i="2"/>
  <c r="L1359" i="2"/>
  <c r="E1359" i="2"/>
  <c r="D1359" i="2"/>
  <c r="L1358" i="2"/>
  <c r="E1358" i="2"/>
  <c r="D1358" i="2"/>
  <c r="L1357" i="2"/>
  <c r="E1357" i="2"/>
  <c r="D1357" i="2"/>
  <c r="L1356" i="2"/>
  <c r="E1356" i="2"/>
  <c r="D1356" i="2"/>
  <c r="L1355" i="2"/>
  <c r="E1355" i="2"/>
  <c r="D1355" i="2"/>
  <c r="L1354" i="2"/>
  <c r="E1354" i="2"/>
  <c r="D1354" i="2"/>
  <c r="L1353" i="2"/>
  <c r="E1353" i="2"/>
  <c r="D1353" i="2"/>
  <c r="L1352" i="2"/>
  <c r="E1352" i="2"/>
  <c r="D1352" i="2"/>
  <c r="L1351" i="2"/>
  <c r="E1351" i="2"/>
  <c r="D1351" i="2"/>
  <c r="L1350" i="2"/>
  <c r="E1350" i="2"/>
  <c r="D1350" i="2"/>
  <c r="L1349" i="2"/>
  <c r="E1349" i="2"/>
  <c r="D1349" i="2"/>
  <c r="L1348" i="2"/>
  <c r="E1348" i="2"/>
  <c r="D1348" i="2"/>
  <c r="L1347" i="2"/>
  <c r="E1347" i="2"/>
  <c r="D1347" i="2"/>
  <c r="L1346" i="2"/>
  <c r="E1346" i="2"/>
  <c r="D1346" i="2"/>
  <c r="L1345" i="2"/>
  <c r="E1345" i="2"/>
  <c r="D1345" i="2"/>
  <c r="L1344" i="2"/>
  <c r="E1344" i="2"/>
  <c r="D1344" i="2"/>
  <c r="L1343" i="2"/>
  <c r="E1343" i="2"/>
  <c r="D1343" i="2"/>
  <c r="L1342" i="2"/>
  <c r="E1342" i="2"/>
  <c r="D1342" i="2"/>
  <c r="L1341" i="2"/>
  <c r="E1341" i="2"/>
  <c r="D1341" i="2"/>
  <c r="L1340" i="2"/>
  <c r="E1340" i="2"/>
  <c r="D1340" i="2"/>
  <c r="L1339" i="2"/>
  <c r="E1339" i="2"/>
  <c r="D1339" i="2"/>
  <c r="L1338" i="2"/>
  <c r="E1338" i="2"/>
  <c r="D1338" i="2"/>
  <c r="L1337" i="2"/>
  <c r="E1337" i="2"/>
  <c r="D1337" i="2"/>
  <c r="L1336" i="2"/>
  <c r="E1336" i="2"/>
  <c r="D1336" i="2"/>
  <c r="L1335" i="2"/>
  <c r="E1335" i="2"/>
  <c r="D1335" i="2"/>
  <c r="L1334" i="2"/>
  <c r="E1334" i="2"/>
  <c r="D1334" i="2"/>
  <c r="L1333" i="2"/>
  <c r="E1333" i="2"/>
  <c r="D1333" i="2"/>
  <c r="L1332" i="2"/>
  <c r="E1332" i="2"/>
  <c r="D1332" i="2"/>
  <c r="L1331" i="2"/>
  <c r="E1331" i="2"/>
  <c r="D1331" i="2"/>
  <c r="L1330" i="2"/>
  <c r="E1330" i="2"/>
  <c r="D1330" i="2"/>
  <c r="L1329" i="2"/>
  <c r="E1329" i="2"/>
  <c r="D1329" i="2"/>
  <c r="L1328" i="2"/>
  <c r="E1328" i="2"/>
  <c r="D1328" i="2"/>
  <c r="L1327" i="2"/>
  <c r="E1327" i="2"/>
  <c r="D1327" i="2"/>
  <c r="L1326" i="2"/>
  <c r="E1326" i="2"/>
  <c r="D1326" i="2"/>
  <c r="L1325" i="2"/>
  <c r="E1325" i="2"/>
  <c r="D1325" i="2"/>
  <c r="L1324" i="2"/>
  <c r="E1324" i="2"/>
  <c r="D1324" i="2"/>
  <c r="X1323" i="2"/>
  <c r="L1323" i="2"/>
  <c r="E1323" i="2"/>
  <c r="D1323" i="2"/>
  <c r="X1322" i="2"/>
  <c r="L1322" i="2"/>
  <c r="E1322" i="2"/>
  <c r="D1322" i="2"/>
  <c r="L1321" i="2"/>
  <c r="E1321" i="2"/>
  <c r="D1321" i="2"/>
  <c r="L1320" i="2"/>
  <c r="E1320" i="2"/>
  <c r="D1320" i="2"/>
  <c r="L1319" i="2"/>
  <c r="E1319" i="2"/>
  <c r="D1319" i="2"/>
  <c r="L1318" i="2"/>
  <c r="E1318" i="2"/>
  <c r="D1318" i="2"/>
  <c r="L1317" i="2"/>
  <c r="E1317" i="2"/>
  <c r="D1317" i="2"/>
  <c r="L1316" i="2"/>
  <c r="E1316" i="2"/>
  <c r="D1316" i="2"/>
  <c r="L1315" i="2"/>
  <c r="E1315" i="2"/>
  <c r="D1315" i="2"/>
  <c r="X1314" i="2"/>
  <c r="L1314" i="2"/>
  <c r="E1314" i="2"/>
  <c r="D1314" i="2"/>
  <c r="X1313" i="2"/>
  <c r="L1313" i="2"/>
  <c r="E1313" i="2"/>
  <c r="D1313" i="2"/>
  <c r="X1312" i="2"/>
  <c r="L1312" i="2"/>
  <c r="E1312" i="2"/>
  <c r="D1312" i="2"/>
  <c r="X1311" i="2"/>
  <c r="L1311" i="2"/>
  <c r="E1311" i="2"/>
  <c r="D1311" i="2"/>
  <c r="X1310" i="2"/>
  <c r="L1310" i="2"/>
  <c r="E1310" i="2"/>
  <c r="D1310" i="2"/>
  <c r="X1309" i="2"/>
  <c r="L1309" i="2"/>
  <c r="E1309" i="2"/>
  <c r="D1309" i="2"/>
  <c r="X1308" i="2"/>
  <c r="L1308" i="2"/>
  <c r="E1308" i="2"/>
  <c r="D1308" i="2"/>
  <c r="X1307" i="2"/>
  <c r="L1307" i="2"/>
  <c r="E1307" i="2"/>
  <c r="D1307" i="2"/>
  <c r="X1306" i="2"/>
  <c r="L1306" i="2"/>
  <c r="E1306" i="2"/>
  <c r="D1306" i="2"/>
  <c r="X1305" i="2"/>
  <c r="L1305" i="2"/>
  <c r="E1305" i="2"/>
  <c r="D1305" i="2"/>
  <c r="X1304" i="2"/>
  <c r="L1304" i="2"/>
  <c r="E1304" i="2"/>
  <c r="D1304" i="2"/>
  <c r="X1303" i="2"/>
  <c r="L1303" i="2"/>
  <c r="E1303" i="2"/>
  <c r="D1303" i="2"/>
  <c r="L1302" i="2"/>
  <c r="E1302" i="2"/>
  <c r="D1302" i="2"/>
  <c r="L1301" i="2"/>
  <c r="E1301" i="2"/>
  <c r="D1301" i="2"/>
  <c r="X1300" i="2"/>
  <c r="L1300" i="2"/>
  <c r="E1300" i="2"/>
  <c r="D1300" i="2"/>
  <c r="X1299" i="2"/>
  <c r="L1299" i="2"/>
  <c r="E1299" i="2"/>
  <c r="D1299" i="2"/>
  <c r="X1298" i="2"/>
  <c r="L1298" i="2"/>
  <c r="E1298" i="2"/>
  <c r="D1298" i="2"/>
  <c r="X1297" i="2"/>
  <c r="L1297" i="2"/>
  <c r="E1297" i="2"/>
  <c r="D1297" i="2"/>
  <c r="X1296" i="2"/>
  <c r="L1296" i="2"/>
  <c r="E1296" i="2"/>
  <c r="D1296" i="2"/>
  <c r="X1295" i="2"/>
  <c r="L1295" i="2"/>
  <c r="E1295" i="2"/>
  <c r="D1295" i="2"/>
  <c r="L1294" i="2"/>
  <c r="E1294" i="2"/>
  <c r="D1294" i="2"/>
  <c r="L1293" i="2"/>
  <c r="E1293" i="2"/>
  <c r="D1293" i="2"/>
  <c r="L1292" i="2"/>
  <c r="E1292" i="2"/>
  <c r="D1292" i="2"/>
  <c r="X1291" i="2"/>
  <c r="L1291" i="2"/>
  <c r="E1291" i="2"/>
  <c r="D1291" i="2"/>
  <c r="X1290" i="2"/>
  <c r="L1290" i="2"/>
  <c r="E1290" i="2"/>
  <c r="D1290" i="2"/>
  <c r="X1289" i="2"/>
  <c r="L1289" i="2"/>
  <c r="E1289" i="2"/>
  <c r="D1289" i="2"/>
  <c r="X1288" i="2"/>
  <c r="L1288" i="2"/>
  <c r="E1288" i="2"/>
  <c r="D1288" i="2"/>
  <c r="X1287" i="2"/>
  <c r="L1287" i="2"/>
  <c r="E1287" i="2"/>
  <c r="D1287" i="2"/>
  <c r="X1286" i="2"/>
  <c r="L1286" i="2"/>
  <c r="E1286" i="2"/>
  <c r="D1286" i="2"/>
  <c r="X1285" i="2"/>
  <c r="L1285" i="2"/>
  <c r="E1285" i="2"/>
  <c r="D1285" i="2"/>
  <c r="X1284" i="2"/>
  <c r="L1284" i="2"/>
  <c r="E1284" i="2"/>
  <c r="D1284" i="2"/>
  <c r="X1283" i="2"/>
  <c r="L1283" i="2"/>
  <c r="E1283" i="2"/>
  <c r="D1283" i="2"/>
  <c r="X1282" i="2"/>
  <c r="L1282" i="2"/>
  <c r="E1282" i="2"/>
  <c r="D1282" i="2"/>
  <c r="X1281" i="2"/>
  <c r="L1281" i="2"/>
  <c r="E1281" i="2"/>
  <c r="D1281" i="2"/>
  <c r="X1280" i="2"/>
  <c r="L1280" i="2"/>
  <c r="E1280" i="2"/>
  <c r="D1280" i="2"/>
  <c r="X1279" i="2"/>
  <c r="L1279" i="2"/>
  <c r="E1279" i="2"/>
  <c r="D1279" i="2"/>
  <c r="X1278" i="2"/>
  <c r="L1278" i="2"/>
  <c r="E1278" i="2"/>
  <c r="D1278" i="2"/>
  <c r="X1277" i="2"/>
  <c r="L1277" i="2"/>
  <c r="E1277" i="2"/>
  <c r="D1277" i="2"/>
  <c r="X1276" i="2"/>
  <c r="L1276" i="2"/>
  <c r="E1276" i="2"/>
  <c r="D1276" i="2"/>
  <c r="X1275" i="2"/>
  <c r="L1275" i="2"/>
  <c r="E1275" i="2"/>
  <c r="D1275" i="2"/>
  <c r="X1274" i="2"/>
  <c r="L1274" i="2"/>
  <c r="E1274" i="2"/>
  <c r="D1274" i="2"/>
  <c r="X1273" i="2"/>
  <c r="L1273" i="2"/>
  <c r="E1273" i="2"/>
  <c r="D1273" i="2"/>
  <c r="X1272" i="2"/>
  <c r="L1272" i="2"/>
  <c r="E1272" i="2"/>
  <c r="D1272" i="2"/>
  <c r="X1271" i="2"/>
  <c r="L1271" i="2"/>
  <c r="E1271" i="2"/>
  <c r="D1271" i="2"/>
  <c r="X1270" i="2"/>
  <c r="L1270" i="2"/>
  <c r="E1270" i="2"/>
  <c r="D1270" i="2"/>
  <c r="X1269" i="2"/>
  <c r="L1269" i="2"/>
  <c r="E1269" i="2"/>
  <c r="D1269" i="2"/>
  <c r="L1268" i="2"/>
  <c r="E1268" i="2"/>
  <c r="D1268" i="2"/>
  <c r="L1267" i="2"/>
  <c r="E1267" i="2"/>
  <c r="D1267" i="2"/>
  <c r="L1266" i="2"/>
  <c r="E1266" i="2"/>
  <c r="D1266" i="2"/>
  <c r="L1265" i="2"/>
  <c r="E1265" i="2"/>
  <c r="D1265" i="2"/>
  <c r="L1264" i="2"/>
  <c r="E1264" i="2"/>
  <c r="D1264" i="2"/>
  <c r="L1263" i="2"/>
  <c r="E1263" i="2"/>
  <c r="D1263" i="2"/>
  <c r="L1262" i="2"/>
  <c r="E1262" i="2"/>
  <c r="D1262" i="2"/>
  <c r="L1261" i="2"/>
  <c r="E1261" i="2"/>
  <c r="D1261" i="2"/>
  <c r="L1260" i="2"/>
  <c r="E1260" i="2"/>
  <c r="D1260" i="2"/>
  <c r="X1259" i="2"/>
  <c r="L1259" i="2"/>
  <c r="E1259" i="2"/>
  <c r="D1259" i="2"/>
  <c r="L1258" i="2"/>
  <c r="E1258" i="2"/>
  <c r="D1258" i="2"/>
  <c r="L1257" i="2"/>
  <c r="E1257" i="2"/>
  <c r="D1257" i="2"/>
  <c r="L1256" i="2"/>
  <c r="E1256" i="2"/>
  <c r="D1256" i="2"/>
  <c r="L1255" i="2"/>
  <c r="E1255" i="2"/>
  <c r="D1255" i="2"/>
  <c r="L1254" i="2"/>
  <c r="E1254" i="2"/>
  <c r="D1254" i="2"/>
  <c r="L1253" i="2"/>
  <c r="E1253" i="2"/>
  <c r="D1253" i="2"/>
  <c r="L1252" i="2"/>
  <c r="E1252" i="2"/>
  <c r="D1252" i="2"/>
  <c r="L1251" i="2"/>
  <c r="E1251" i="2"/>
  <c r="D1251" i="2"/>
  <c r="L1250" i="2"/>
  <c r="E1250" i="2"/>
  <c r="D1250" i="2"/>
  <c r="L1249" i="2"/>
  <c r="E1249" i="2"/>
  <c r="D1249" i="2"/>
  <c r="L1248" i="2"/>
  <c r="E1248" i="2"/>
  <c r="D1248" i="2"/>
  <c r="L1247" i="2"/>
  <c r="E1247" i="2"/>
  <c r="D1247" i="2"/>
  <c r="L1246" i="2"/>
  <c r="E1246" i="2"/>
  <c r="D1246" i="2"/>
  <c r="L1245" i="2"/>
  <c r="E1245" i="2"/>
  <c r="D1245" i="2"/>
  <c r="L1244" i="2"/>
  <c r="E1244" i="2"/>
  <c r="D1244" i="2"/>
  <c r="L1243" i="2"/>
  <c r="E1243" i="2"/>
  <c r="D1243" i="2"/>
  <c r="L1242" i="2"/>
  <c r="E1242" i="2"/>
  <c r="D1242" i="2"/>
  <c r="L1241" i="2"/>
  <c r="E1241" i="2"/>
  <c r="D1241" i="2"/>
  <c r="L1240" i="2"/>
  <c r="E1240" i="2"/>
  <c r="D1240" i="2"/>
  <c r="L1239" i="2"/>
  <c r="E1239" i="2"/>
  <c r="D1239" i="2"/>
  <c r="X1238" i="2"/>
  <c r="L1238" i="2"/>
  <c r="E1238" i="2"/>
  <c r="D1238" i="2"/>
  <c r="L1237" i="2"/>
  <c r="E1237" i="2"/>
  <c r="D1237" i="2"/>
  <c r="L1236" i="2"/>
  <c r="E1236" i="2"/>
  <c r="D1236" i="2"/>
  <c r="X1235" i="2"/>
  <c r="L1235" i="2"/>
  <c r="E1235" i="2"/>
  <c r="D1235" i="2"/>
  <c r="X1234" i="2"/>
  <c r="L1234" i="2"/>
  <c r="E1234" i="2"/>
  <c r="D1234" i="2"/>
  <c r="L1233" i="2"/>
  <c r="E1233" i="2"/>
  <c r="D1233" i="2"/>
  <c r="X1232" i="2"/>
  <c r="L1232" i="2"/>
  <c r="E1232" i="2"/>
  <c r="D1232" i="2"/>
  <c r="X1231" i="2"/>
  <c r="L1231" i="2"/>
  <c r="E1231" i="2"/>
  <c r="D1231" i="2"/>
  <c r="X1230" i="2"/>
  <c r="L1230" i="2"/>
  <c r="E1230" i="2"/>
  <c r="D1230" i="2"/>
  <c r="X1229" i="2"/>
  <c r="L1229" i="2"/>
  <c r="E1229" i="2"/>
  <c r="D1229" i="2"/>
  <c r="L1228" i="2"/>
  <c r="E1228" i="2"/>
  <c r="D1228" i="2"/>
  <c r="L1227" i="2"/>
  <c r="E1227" i="2"/>
  <c r="D1227" i="2"/>
  <c r="X1226" i="2"/>
  <c r="L1226" i="2"/>
  <c r="E1226" i="2"/>
  <c r="D1226" i="2"/>
  <c r="X1225" i="2"/>
  <c r="L1225" i="2"/>
  <c r="E1225" i="2"/>
  <c r="D1225" i="2"/>
  <c r="L1224" i="2"/>
  <c r="E1224" i="2"/>
  <c r="D1224" i="2"/>
  <c r="X1223" i="2"/>
  <c r="L1223" i="2"/>
  <c r="E1223" i="2"/>
  <c r="D1223" i="2"/>
  <c r="X1222" i="2"/>
  <c r="L1222" i="2"/>
  <c r="E1222" i="2"/>
  <c r="D1222" i="2"/>
  <c r="X1221" i="2"/>
  <c r="L1221" i="2"/>
  <c r="E1221" i="2"/>
  <c r="D1221" i="2"/>
  <c r="X1220" i="2"/>
  <c r="L1220" i="2"/>
  <c r="E1220" i="2"/>
  <c r="D1220" i="2"/>
  <c r="X1219" i="2"/>
  <c r="L1219" i="2"/>
  <c r="E1219" i="2"/>
  <c r="D1219" i="2"/>
  <c r="X1218" i="2"/>
  <c r="L1218" i="2"/>
  <c r="E1218" i="2"/>
  <c r="D1218" i="2"/>
  <c r="X1217" i="2"/>
  <c r="L1217" i="2"/>
  <c r="E1217" i="2"/>
  <c r="D1217" i="2"/>
  <c r="X1216" i="2"/>
  <c r="L1216" i="2"/>
  <c r="E1216" i="2"/>
  <c r="D1216" i="2"/>
  <c r="X1215" i="2"/>
  <c r="L1215" i="2"/>
  <c r="E1215" i="2"/>
  <c r="D1215" i="2"/>
  <c r="X1214" i="2"/>
  <c r="L1214" i="2"/>
  <c r="E1214" i="2"/>
  <c r="D1214" i="2"/>
  <c r="X1213" i="2"/>
  <c r="L1213" i="2"/>
  <c r="E1213" i="2"/>
  <c r="D1213" i="2"/>
  <c r="X1212" i="2"/>
  <c r="L1212" i="2"/>
  <c r="E1212" i="2"/>
  <c r="D1212" i="2"/>
  <c r="X1211" i="2"/>
  <c r="L1211" i="2"/>
  <c r="E1211" i="2"/>
  <c r="D1211" i="2"/>
  <c r="X1210" i="2"/>
  <c r="L1210" i="2"/>
  <c r="E1210" i="2"/>
  <c r="D1210" i="2"/>
  <c r="X1209" i="2"/>
  <c r="L1209" i="2"/>
  <c r="E1209" i="2"/>
  <c r="D1209" i="2"/>
  <c r="X1208" i="2"/>
  <c r="L1208" i="2"/>
  <c r="E1208" i="2"/>
  <c r="D1208" i="2"/>
  <c r="X1207" i="2"/>
  <c r="L1207" i="2"/>
  <c r="E1207" i="2"/>
  <c r="D1207" i="2"/>
  <c r="X1206" i="2"/>
  <c r="L1206" i="2"/>
  <c r="E1206" i="2"/>
  <c r="D1206" i="2"/>
  <c r="X1205" i="2"/>
  <c r="L1205" i="2"/>
  <c r="E1205" i="2"/>
  <c r="D1205" i="2"/>
  <c r="X1204" i="2"/>
  <c r="L1204" i="2"/>
  <c r="E1204" i="2"/>
  <c r="D1204" i="2"/>
  <c r="X1203" i="2"/>
  <c r="L1203" i="2"/>
  <c r="E1203" i="2"/>
  <c r="D1203" i="2"/>
  <c r="X1202" i="2"/>
  <c r="L1202" i="2"/>
  <c r="E1202" i="2"/>
  <c r="D1202" i="2"/>
  <c r="X1201" i="2"/>
  <c r="L1201" i="2"/>
  <c r="E1201" i="2"/>
  <c r="D1201" i="2"/>
  <c r="X1200" i="2"/>
  <c r="L1200" i="2"/>
  <c r="E1200" i="2"/>
  <c r="D1200" i="2"/>
  <c r="X1199" i="2"/>
  <c r="L1199" i="2"/>
  <c r="E1199" i="2"/>
  <c r="D1199" i="2"/>
  <c r="X1198" i="2"/>
  <c r="L1198" i="2"/>
  <c r="E1198" i="2"/>
  <c r="D1198" i="2"/>
  <c r="X1197" i="2"/>
  <c r="L1197" i="2"/>
  <c r="E1197" i="2"/>
  <c r="D1197" i="2"/>
  <c r="X1196" i="2"/>
  <c r="L1196" i="2"/>
  <c r="E1196" i="2"/>
  <c r="D1196" i="2"/>
  <c r="X1195" i="2"/>
  <c r="L1195" i="2"/>
  <c r="E1195" i="2"/>
  <c r="D1195" i="2"/>
  <c r="X1194" i="2"/>
  <c r="L1194" i="2"/>
  <c r="E1194" i="2"/>
  <c r="D1194" i="2"/>
  <c r="X1193" i="2"/>
  <c r="L1193" i="2"/>
  <c r="E1193" i="2"/>
  <c r="D1193" i="2"/>
  <c r="X1192" i="2"/>
  <c r="L1192" i="2"/>
  <c r="E1192" i="2"/>
  <c r="D1192" i="2"/>
  <c r="X1191" i="2"/>
  <c r="L1191" i="2"/>
  <c r="E1191" i="2"/>
  <c r="D1191" i="2"/>
  <c r="X1190" i="2"/>
  <c r="L1190" i="2"/>
  <c r="E1190" i="2"/>
  <c r="D1190" i="2"/>
  <c r="X1189" i="2"/>
  <c r="L1189" i="2"/>
  <c r="E1189" i="2"/>
  <c r="D1189" i="2"/>
  <c r="L1188" i="2"/>
  <c r="E1188" i="2"/>
  <c r="D1188" i="2"/>
  <c r="L1187" i="2"/>
  <c r="E1187" i="2"/>
  <c r="D1187" i="2"/>
  <c r="L1186" i="2"/>
  <c r="E1186" i="2"/>
  <c r="D1186" i="2"/>
  <c r="L1185" i="2"/>
  <c r="E1185" i="2"/>
  <c r="D1185" i="2"/>
  <c r="L1184" i="2"/>
  <c r="E1184" i="2"/>
  <c r="D1184" i="2"/>
  <c r="L1183" i="2"/>
  <c r="E1183" i="2"/>
  <c r="D1183" i="2"/>
  <c r="L1182" i="2"/>
  <c r="E1182" i="2"/>
  <c r="D1182" i="2"/>
  <c r="L1181" i="2"/>
  <c r="E1181" i="2"/>
  <c r="D1181" i="2"/>
  <c r="L1180" i="2"/>
  <c r="E1180" i="2"/>
  <c r="D1180" i="2"/>
  <c r="L1179" i="2"/>
  <c r="E1179" i="2"/>
  <c r="D1179" i="2"/>
  <c r="L1178" i="2"/>
  <c r="E1178" i="2"/>
  <c r="D1178" i="2"/>
  <c r="L1177" i="2"/>
  <c r="E1177" i="2"/>
  <c r="D1177" i="2"/>
  <c r="L1176" i="2"/>
  <c r="E1176" i="2"/>
  <c r="D1176" i="2"/>
  <c r="L1175" i="2"/>
  <c r="E1175" i="2"/>
  <c r="D1175" i="2"/>
  <c r="L1174" i="2"/>
  <c r="E1174" i="2"/>
  <c r="D1174" i="2"/>
  <c r="L1173" i="2"/>
  <c r="E1173" i="2"/>
  <c r="D1173" i="2"/>
  <c r="L1172" i="2"/>
  <c r="E1172" i="2"/>
  <c r="D1172" i="2"/>
  <c r="L1171" i="2"/>
  <c r="E1171" i="2"/>
  <c r="D1171" i="2"/>
  <c r="L1170" i="2"/>
  <c r="E1170" i="2"/>
  <c r="D1170" i="2"/>
  <c r="L1169" i="2"/>
  <c r="E1169" i="2"/>
  <c r="D1169" i="2"/>
  <c r="L1168" i="2"/>
  <c r="E1168" i="2"/>
  <c r="D1168" i="2"/>
  <c r="L1167" i="2"/>
  <c r="E1167" i="2"/>
  <c r="D1167" i="2"/>
  <c r="L1166" i="2"/>
  <c r="E1166" i="2"/>
  <c r="D1166" i="2"/>
  <c r="L1165" i="2"/>
  <c r="E1165" i="2"/>
  <c r="D1165" i="2"/>
  <c r="L1164" i="2"/>
  <c r="E1164" i="2"/>
  <c r="D1164" i="2"/>
  <c r="L1163" i="2"/>
  <c r="E1163" i="2"/>
  <c r="D1163" i="2"/>
  <c r="L1162" i="2"/>
  <c r="E1162" i="2"/>
  <c r="D1162" i="2"/>
  <c r="L1161" i="2"/>
  <c r="E1161" i="2"/>
  <c r="D1161" i="2"/>
  <c r="L1160" i="2"/>
  <c r="E1160" i="2"/>
  <c r="D1160" i="2"/>
  <c r="L1159" i="2"/>
  <c r="E1159" i="2"/>
  <c r="D1159" i="2"/>
  <c r="X1158" i="2"/>
  <c r="L1158" i="2"/>
  <c r="E1158" i="2"/>
  <c r="D1158" i="2"/>
  <c r="X1157" i="2"/>
  <c r="L1157" i="2"/>
  <c r="E1157" i="2"/>
  <c r="D1157" i="2"/>
  <c r="X1156" i="2"/>
  <c r="L1156" i="2"/>
  <c r="E1156" i="2"/>
  <c r="D1156" i="2"/>
  <c r="X1155" i="2"/>
  <c r="L1155" i="2"/>
  <c r="E1155" i="2"/>
  <c r="D1155" i="2"/>
  <c r="X1154" i="2"/>
  <c r="L1154" i="2"/>
  <c r="E1154" i="2"/>
  <c r="D1154" i="2"/>
  <c r="X1153" i="2"/>
  <c r="L1153" i="2"/>
  <c r="E1153" i="2"/>
  <c r="D1153" i="2"/>
  <c r="X1152" i="2"/>
  <c r="L1152" i="2"/>
  <c r="E1152" i="2"/>
  <c r="D1152" i="2"/>
  <c r="X1151" i="2"/>
  <c r="L1151" i="2"/>
  <c r="E1151" i="2"/>
  <c r="D1151" i="2"/>
  <c r="X1150" i="2"/>
  <c r="L1150" i="2"/>
  <c r="E1150" i="2"/>
  <c r="D1150" i="2"/>
  <c r="X1149" i="2"/>
  <c r="L1149" i="2"/>
  <c r="E1149" i="2"/>
  <c r="D1149" i="2"/>
  <c r="X1148" i="2"/>
  <c r="L1148" i="2"/>
  <c r="E1148" i="2"/>
  <c r="D1148" i="2"/>
  <c r="X1147" i="2"/>
  <c r="L1147" i="2"/>
  <c r="E1147" i="2"/>
  <c r="D1147" i="2"/>
  <c r="X1146" i="2"/>
  <c r="L1146" i="2"/>
  <c r="E1146" i="2"/>
  <c r="D1146" i="2"/>
  <c r="X1145" i="2"/>
  <c r="L1145" i="2"/>
  <c r="E1145" i="2"/>
  <c r="D1145" i="2"/>
  <c r="X1144" i="2"/>
  <c r="L1144" i="2"/>
  <c r="E1144" i="2"/>
  <c r="D1144" i="2"/>
  <c r="X1143" i="2"/>
  <c r="L1143" i="2"/>
  <c r="E1143" i="2"/>
  <c r="D1143" i="2"/>
  <c r="X1142" i="2"/>
  <c r="L1142" i="2"/>
  <c r="E1142" i="2"/>
  <c r="D1142" i="2"/>
  <c r="X1141" i="2"/>
  <c r="L1141" i="2"/>
  <c r="E1141" i="2"/>
  <c r="D1141" i="2"/>
  <c r="X1140" i="2"/>
  <c r="L1140" i="2"/>
  <c r="E1140" i="2"/>
  <c r="D1140" i="2"/>
  <c r="X1139" i="2"/>
  <c r="L1139" i="2"/>
  <c r="E1139" i="2"/>
  <c r="D1139" i="2"/>
  <c r="X1138" i="2"/>
  <c r="L1138" i="2"/>
  <c r="E1138" i="2"/>
  <c r="D1138" i="2"/>
  <c r="X1137" i="2"/>
  <c r="L1137" i="2"/>
  <c r="E1137" i="2"/>
  <c r="D1137" i="2"/>
  <c r="X1136" i="2"/>
  <c r="L1136" i="2"/>
  <c r="E1136" i="2"/>
  <c r="D1136" i="2"/>
  <c r="X1135" i="2"/>
  <c r="L1135" i="2"/>
  <c r="E1135" i="2"/>
  <c r="D1135" i="2"/>
  <c r="X1134" i="2"/>
  <c r="L1134" i="2"/>
  <c r="E1134" i="2"/>
  <c r="D1134" i="2"/>
  <c r="L1133" i="2"/>
  <c r="E1133" i="2"/>
  <c r="D1133" i="2"/>
  <c r="L1132" i="2"/>
  <c r="E1132" i="2"/>
  <c r="D1132" i="2"/>
  <c r="X1131" i="2"/>
  <c r="L1131" i="2"/>
  <c r="E1131" i="2"/>
  <c r="D1131" i="2"/>
  <c r="X1130" i="2"/>
  <c r="L1130" i="2"/>
  <c r="E1130" i="2"/>
  <c r="D1130" i="2"/>
  <c r="X1129" i="2"/>
  <c r="L1129" i="2"/>
  <c r="E1129" i="2"/>
  <c r="D1129" i="2"/>
  <c r="X1128" i="2"/>
  <c r="L1128" i="2"/>
  <c r="E1128" i="2"/>
  <c r="D1128" i="2"/>
  <c r="X1127" i="2"/>
  <c r="L1127" i="2"/>
  <c r="E1127" i="2"/>
  <c r="D1127" i="2"/>
  <c r="X1126" i="2"/>
  <c r="L1126" i="2"/>
  <c r="E1126" i="2"/>
  <c r="D1126" i="2"/>
  <c r="X1125" i="2"/>
  <c r="L1125" i="2"/>
  <c r="E1125" i="2"/>
  <c r="D1125" i="2"/>
  <c r="X1124" i="2"/>
  <c r="L1124" i="2"/>
  <c r="E1124" i="2"/>
  <c r="D1124" i="2"/>
  <c r="X1123" i="2"/>
  <c r="L1123" i="2"/>
  <c r="E1123" i="2"/>
  <c r="D1123" i="2"/>
  <c r="X1122" i="2"/>
  <c r="L1122" i="2"/>
  <c r="E1122" i="2"/>
  <c r="D1122" i="2"/>
  <c r="X1121" i="2"/>
  <c r="L1121" i="2"/>
  <c r="E1121" i="2"/>
  <c r="D1121" i="2"/>
  <c r="L1120" i="2"/>
  <c r="E1120" i="2"/>
  <c r="D1120" i="2"/>
  <c r="X1119" i="2"/>
  <c r="L1119" i="2"/>
  <c r="E1119" i="2"/>
  <c r="D1119" i="2"/>
  <c r="X1118" i="2"/>
  <c r="L1118" i="2"/>
  <c r="E1118" i="2"/>
  <c r="D1118" i="2"/>
  <c r="X1117" i="2"/>
  <c r="L1117" i="2"/>
  <c r="E1117" i="2"/>
  <c r="D1117" i="2"/>
  <c r="X1116" i="2"/>
  <c r="L1116" i="2"/>
  <c r="E1116" i="2"/>
  <c r="D1116" i="2"/>
  <c r="X1115" i="2"/>
  <c r="L1115" i="2"/>
  <c r="E1115" i="2"/>
  <c r="D1115" i="2"/>
  <c r="X1114" i="2"/>
  <c r="L1114" i="2"/>
  <c r="E1114" i="2"/>
  <c r="D1114" i="2"/>
  <c r="X1113" i="2"/>
  <c r="L1113" i="2"/>
  <c r="E1113" i="2"/>
  <c r="D1113" i="2"/>
  <c r="L1112" i="2"/>
  <c r="E1112" i="2"/>
  <c r="D1112" i="2"/>
  <c r="L1111" i="2"/>
  <c r="E1111" i="2"/>
  <c r="D1111" i="2"/>
  <c r="L1110" i="2"/>
  <c r="E1110" i="2"/>
  <c r="D1110" i="2"/>
  <c r="L1109" i="2"/>
  <c r="E1109" i="2"/>
  <c r="D1109" i="2"/>
  <c r="L1108" i="2"/>
  <c r="E1108" i="2"/>
  <c r="D1108" i="2"/>
  <c r="L1107" i="2"/>
  <c r="E1107" i="2"/>
  <c r="D1107" i="2"/>
  <c r="L1106" i="2"/>
  <c r="E1106" i="2"/>
  <c r="D1106" i="2"/>
  <c r="L1105" i="2"/>
  <c r="E1105" i="2"/>
  <c r="D1105" i="2"/>
  <c r="L1104" i="2"/>
  <c r="E1104" i="2"/>
  <c r="D1104" i="2"/>
  <c r="L1103" i="2"/>
  <c r="E1103" i="2"/>
  <c r="D1103" i="2"/>
  <c r="L1102" i="2"/>
  <c r="E1102" i="2"/>
  <c r="D1102" i="2"/>
  <c r="L1101" i="2"/>
  <c r="E1101" i="2"/>
  <c r="D1101" i="2"/>
  <c r="L1100" i="2"/>
  <c r="E1100" i="2"/>
  <c r="D1100" i="2"/>
  <c r="L1099" i="2"/>
  <c r="E1099" i="2"/>
  <c r="D1099" i="2"/>
  <c r="L1098" i="2"/>
  <c r="E1098" i="2"/>
  <c r="D1098" i="2"/>
  <c r="L1097" i="2"/>
  <c r="E1097" i="2"/>
  <c r="D1097" i="2"/>
  <c r="L1096" i="2"/>
  <c r="E1096" i="2"/>
  <c r="D1096" i="2"/>
  <c r="L1095" i="2"/>
  <c r="E1095" i="2"/>
  <c r="D1095" i="2"/>
  <c r="L1094" i="2"/>
  <c r="E1094" i="2"/>
  <c r="D1094" i="2"/>
  <c r="L1093" i="2"/>
  <c r="E1093" i="2"/>
  <c r="D1093" i="2"/>
  <c r="L1092" i="2"/>
  <c r="E1092" i="2"/>
  <c r="D1092" i="2"/>
  <c r="L1091" i="2"/>
  <c r="E1091" i="2"/>
  <c r="D1091" i="2"/>
  <c r="L1090" i="2"/>
  <c r="E1090" i="2"/>
  <c r="D1090" i="2"/>
  <c r="L1089" i="2"/>
  <c r="E1089" i="2"/>
  <c r="D1089" i="2"/>
  <c r="L1088" i="2"/>
  <c r="E1088" i="2"/>
  <c r="D1088" i="2"/>
  <c r="L1087" i="2"/>
  <c r="E1087" i="2"/>
  <c r="D1087" i="2"/>
  <c r="L1086" i="2"/>
  <c r="E1086" i="2"/>
  <c r="D1086" i="2"/>
  <c r="L1085" i="2"/>
  <c r="E1085" i="2"/>
  <c r="D1085" i="2"/>
  <c r="L1084" i="2"/>
  <c r="E1084" i="2"/>
  <c r="D1084" i="2"/>
  <c r="L1083" i="2"/>
  <c r="E1083" i="2"/>
  <c r="D1083" i="2"/>
  <c r="L1082" i="2"/>
  <c r="E1082" i="2"/>
  <c r="D1082" i="2"/>
  <c r="X1081" i="2"/>
  <c r="L1081" i="2"/>
  <c r="E1081" i="2"/>
  <c r="D1081" i="2"/>
  <c r="X1080" i="2"/>
  <c r="L1080" i="2"/>
  <c r="E1080" i="2"/>
  <c r="D1080" i="2"/>
  <c r="X1079" i="2"/>
  <c r="L1079" i="2"/>
  <c r="E1079" i="2"/>
  <c r="D1079" i="2"/>
  <c r="X1078" i="2"/>
  <c r="L1078" i="2"/>
  <c r="E1078" i="2"/>
  <c r="D1078" i="2"/>
  <c r="X1077" i="2"/>
  <c r="L1077" i="2"/>
  <c r="E1077" i="2"/>
  <c r="D1077" i="2"/>
  <c r="X1076" i="2"/>
  <c r="L1076" i="2"/>
  <c r="E1076" i="2"/>
  <c r="D1076" i="2"/>
  <c r="X1075" i="2"/>
  <c r="L1075" i="2"/>
  <c r="E1075" i="2"/>
  <c r="D1075" i="2"/>
  <c r="X1074" i="2"/>
  <c r="L1074" i="2"/>
  <c r="E1074" i="2"/>
  <c r="D1074" i="2"/>
  <c r="L1073" i="2"/>
  <c r="E1073" i="2"/>
  <c r="D1073" i="2"/>
  <c r="L1072" i="2"/>
  <c r="E1072" i="2"/>
  <c r="D1072" i="2"/>
  <c r="X1071" i="2"/>
  <c r="L1071" i="2"/>
  <c r="E1071" i="2"/>
  <c r="D1071" i="2"/>
  <c r="X1070" i="2"/>
  <c r="L1070" i="2"/>
  <c r="E1070" i="2"/>
  <c r="D1070" i="2"/>
  <c r="X1069" i="2"/>
  <c r="L1069" i="2"/>
  <c r="E1069" i="2"/>
  <c r="D1069" i="2"/>
  <c r="X1068" i="2"/>
  <c r="L1068" i="2"/>
  <c r="E1068" i="2"/>
  <c r="D1068" i="2"/>
  <c r="X1067" i="2"/>
  <c r="L1067" i="2"/>
  <c r="E1067" i="2"/>
  <c r="D1067" i="2"/>
  <c r="X1066" i="2"/>
  <c r="L1066" i="2"/>
  <c r="E1066" i="2"/>
  <c r="D1066" i="2"/>
  <c r="X1065" i="2"/>
  <c r="L1065" i="2"/>
  <c r="E1065" i="2"/>
  <c r="D1065" i="2"/>
  <c r="X1064" i="2"/>
  <c r="L1064" i="2"/>
  <c r="E1064" i="2"/>
  <c r="D1064" i="2"/>
  <c r="X1063" i="2"/>
  <c r="L1063" i="2"/>
  <c r="E1063" i="2"/>
  <c r="D1063" i="2"/>
  <c r="X1062" i="2"/>
  <c r="L1062" i="2"/>
  <c r="E1062" i="2"/>
  <c r="D1062" i="2"/>
  <c r="X1061" i="2"/>
  <c r="L1061" i="2"/>
  <c r="E1061" i="2"/>
  <c r="D1061" i="2"/>
  <c r="X1060" i="2"/>
  <c r="L1060" i="2"/>
  <c r="E1060" i="2"/>
  <c r="D1060" i="2"/>
  <c r="X1059" i="2"/>
  <c r="L1059" i="2"/>
  <c r="E1059" i="2"/>
  <c r="D1059" i="2"/>
  <c r="X1058" i="2"/>
  <c r="L1058" i="2"/>
  <c r="E1058" i="2"/>
  <c r="D1058" i="2"/>
  <c r="X1057" i="2"/>
  <c r="L1057" i="2"/>
  <c r="E1057" i="2"/>
  <c r="D1057" i="2"/>
  <c r="X1056" i="2"/>
  <c r="L1056" i="2"/>
  <c r="E1056" i="2"/>
  <c r="D1056" i="2"/>
  <c r="X1055" i="2"/>
  <c r="L1055" i="2"/>
  <c r="E1055" i="2"/>
  <c r="D1055" i="2"/>
  <c r="X1054" i="2"/>
  <c r="L1054" i="2"/>
  <c r="E1054" i="2"/>
  <c r="D1054" i="2"/>
  <c r="X1053" i="2"/>
  <c r="L1053" i="2"/>
  <c r="E1053" i="2"/>
  <c r="D1053" i="2"/>
  <c r="X1052" i="2"/>
  <c r="L1052" i="2"/>
  <c r="E1052" i="2"/>
  <c r="D1052" i="2"/>
  <c r="X1051" i="2"/>
  <c r="L1051" i="2"/>
  <c r="E1051" i="2"/>
  <c r="D1051" i="2"/>
  <c r="L1050" i="2"/>
  <c r="E1050" i="2"/>
  <c r="D1050" i="2"/>
  <c r="X1049" i="2"/>
  <c r="L1049" i="2"/>
  <c r="E1049" i="2"/>
  <c r="D1049" i="2"/>
  <c r="X1048" i="2"/>
  <c r="L1048" i="2"/>
  <c r="E1048" i="2"/>
  <c r="D1048" i="2"/>
  <c r="X1047" i="2"/>
  <c r="L1047" i="2"/>
  <c r="E1047" i="2"/>
  <c r="D1047" i="2"/>
  <c r="X1046" i="2"/>
  <c r="L1046" i="2"/>
  <c r="E1046" i="2"/>
  <c r="D1046" i="2"/>
  <c r="X1045" i="2"/>
  <c r="L1045" i="2"/>
  <c r="E1045" i="2"/>
  <c r="D1045" i="2"/>
  <c r="X1044" i="2"/>
  <c r="L1044" i="2"/>
  <c r="E1044" i="2"/>
  <c r="D1044" i="2"/>
  <c r="X1043" i="2"/>
  <c r="L1043" i="2"/>
  <c r="E1043" i="2"/>
  <c r="D1043" i="2"/>
  <c r="X1042" i="2"/>
  <c r="L1042" i="2"/>
  <c r="E1042" i="2"/>
  <c r="D1042" i="2"/>
  <c r="X1041" i="2"/>
  <c r="L1041" i="2"/>
  <c r="E1041" i="2"/>
  <c r="D1041" i="2"/>
  <c r="X1040" i="2"/>
  <c r="L1040" i="2"/>
  <c r="E1040" i="2"/>
  <c r="D1040" i="2"/>
  <c r="X1039" i="2"/>
  <c r="L1039" i="2"/>
  <c r="E1039" i="2"/>
  <c r="D1039" i="2"/>
  <c r="X1038" i="2"/>
  <c r="L1038" i="2"/>
  <c r="E1038" i="2"/>
  <c r="D1038" i="2"/>
  <c r="X1037" i="2"/>
  <c r="L1037" i="2"/>
  <c r="E1037" i="2"/>
  <c r="D1037" i="2"/>
  <c r="X1036" i="2"/>
  <c r="L1036" i="2"/>
  <c r="E1036" i="2"/>
  <c r="D1036" i="2"/>
  <c r="X1035" i="2"/>
  <c r="L1035" i="2"/>
  <c r="E1035" i="2"/>
  <c r="D1035" i="2"/>
  <c r="L1034" i="2"/>
  <c r="E1034" i="2"/>
  <c r="D1034" i="2"/>
  <c r="L1033" i="2"/>
  <c r="E1033" i="2"/>
  <c r="D1033" i="2"/>
  <c r="L1032" i="2"/>
  <c r="E1032" i="2"/>
  <c r="D1032" i="2"/>
  <c r="L1031" i="2"/>
  <c r="E1031" i="2"/>
  <c r="D1031" i="2"/>
  <c r="L1030" i="2"/>
  <c r="E1030" i="2"/>
  <c r="D1030" i="2"/>
  <c r="L1029" i="2"/>
  <c r="E1029" i="2"/>
  <c r="D1029" i="2"/>
  <c r="L1028" i="2"/>
  <c r="E1028" i="2"/>
  <c r="D1028" i="2"/>
  <c r="L1027" i="2"/>
  <c r="E1027" i="2"/>
  <c r="D1027" i="2"/>
  <c r="L1026" i="2"/>
  <c r="E1026" i="2"/>
  <c r="D1026" i="2"/>
  <c r="L1025" i="2"/>
  <c r="E1025" i="2"/>
  <c r="D1025" i="2"/>
  <c r="L1024" i="2"/>
  <c r="E1024" i="2"/>
  <c r="D1024" i="2"/>
  <c r="L1023" i="2"/>
  <c r="E1023" i="2"/>
  <c r="D1023" i="2"/>
  <c r="L1022" i="2"/>
  <c r="E1022" i="2"/>
  <c r="D1022" i="2"/>
  <c r="L1021" i="2"/>
  <c r="E1021" i="2"/>
  <c r="D1021" i="2"/>
  <c r="L1020" i="2"/>
  <c r="E1020" i="2"/>
  <c r="D1020" i="2"/>
  <c r="L1019" i="2"/>
  <c r="E1019" i="2"/>
  <c r="D1019" i="2"/>
  <c r="L1018" i="2"/>
  <c r="E1018" i="2"/>
  <c r="D1018" i="2"/>
  <c r="L1017" i="2"/>
  <c r="E1017" i="2"/>
  <c r="D1017" i="2"/>
  <c r="L1016" i="2"/>
  <c r="E1016" i="2"/>
  <c r="D1016" i="2"/>
  <c r="L1015" i="2"/>
  <c r="E1015" i="2"/>
  <c r="D1015" i="2"/>
  <c r="L1014" i="2"/>
  <c r="E1014" i="2"/>
  <c r="D1014" i="2"/>
  <c r="L1013" i="2"/>
  <c r="E1013" i="2"/>
  <c r="D1013" i="2"/>
  <c r="L1012" i="2"/>
  <c r="E1012" i="2"/>
  <c r="D1012" i="2"/>
  <c r="L1011" i="2"/>
  <c r="E1011" i="2"/>
  <c r="D1011" i="2"/>
  <c r="L1010" i="2"/>
  <c r="E1010" i="2"/>
  <c r="D1010" i="2"/>
  <c r="X1009" i="2"/>
  <c r="L1009" i="2"/>
  <c r="E1009" i="2"/>
  <c r="D1009" i="2"/>
  <c r="L1008" i="2"/>
  <c r="E1008" i="2"/>
  <c r="D1008" i="2"/>
  <c r="L1007" i="2"/>
  <c r="E1007" i="2"/>
  <c r="D1007" i="2"/>
  <c r="L1006" i="2"/>
  <c r="E1006" i="2"/>
  <c r="D1006" i="2"/>
  <c r="L1005" i="2"/>
  <c r="E1005" i="2"/>
  <c r="D1005" i="2"/>
  <c r="X1004" i="2"/>
  <c r="L1004" i="2"/>
  <c r="E1004" i="2"/>
  <c r="D1004" i="2"/>
  <c r="X1003" i="2"/>
  <c r="L1003" i="2"/>
  <c r="E1003" i="2"/>
  <c r="D1003" i="2"/>
  <c r="X1002" i="2"/>
  <c r="L1002" i="2"/>
  <c r="E1002" i="2"/>
  <c r="D1002" i="2"/>
  <c r="X1001" i="2"/>
  <c r="L1001" i="2"/>
  <c r="E1001" i="2"/>
  <c r="D1001" i="2"/>
  <c r="X1000" i="2"/>
  <c r="L1000" i="2"/>
  <c r="E1000" i="2"/>
  <c r="D1000" i="2"/>
  <c r="X999" i="2"/>
  <c r="L999" i="2"/>
  <c r="E999" i="2"/>
  <c r="D999" i="2"/>
  <c r="X998" i="2"/>
  <c r="L998" i="2"/>
  <c r="E998" i="2"/>
  <c r="D998" i="2"/>
  <c r="X997" i="2"/>
  <c r="L997" i="2"/>
  <c r="E997" i="2"/>
  <c r="D997" i="2"/>
  <c r="X996" i="2"/>
  <c r="L996" i="2"/>
  <c r="E996" i="2"/>
  <c r="D996" i="2"/>
  <c r="X995" i="2"/>
  <c r="L995" i="2"/>
  <c r="E995" i="2"/>
  <c r="D995" i="2"/>
  <c r="X994" i="2"/>
  <c r="L994" i="2"/>
  <c r="E994" i="2"/>
  <c r="D994" i="2"/>
  <c r="X993" i="2"/>
  <c r="L993" i="2"/>
  <c r="E993" i="2"/>
  <c r="D993" i="2"/>
  <c r="X992" i="2"/>
  <c r="L992" i="2"/>
  <c r="E992" i="2"/>
  <c r="D992" i="2"/>
  <c r="X991" i="2"/>
  <c r="L991" i="2"/>
  <c r="E991" i="2"/>
  <c r="D991" i="2"/>
  <c r="X990" i="2"/>
  <c r="L990" i="2"/>
  <c r="E990" i="2"/>
  <c r="D990" i="2"/>
  <c r="X989" i="2"/>
  <c r="L989" i="2"/>
  <c r="E989" i="2"/>
  <c r="D989" i="2"/>
  <c r="X988" i="2"/>
  <c r="L988" i="2"/>
  <c r="E988" i="2"/>
  <c r="D988" i="2"/>
  <c r="X987" i="2"/>
  <c r="L987" i="2"/>
  <c r="E987" i="2"/>
  <c r="D987" i="2"/>
  <c r="X986" i="2"/>
  <c r="L986" i="2"/>
  <c r="E986" i="2"/>
  <c r="D986" i="2"/>
  <c r="X985" i="2"/>
  <c r="L985" i="2"/>
  <c r="E985" i="2"/>
  <c r="D985" i="2"/>
  <c r="X984" i="2"/>
  <c r="L984" i="2"/>
  <c r="E984" i="2"/>
  <c r="D984" i="2"/>
  <c r="X983" i="2"/>
  <c r="L983" i="2"/>
  <c r="E983" i="2"/>
  <c r="D983" i="2"/>
  <c r="X982" i="2"/>
  <c r="L982" i="2"/>
  <c r="E982" i="2"/>
  <c r="D982" i="2"/>
  <c r="X981" i="2"/>
  <c r="L981" i="2"/>
  <c r="E981" i="2"/>
  <c r="D981" i="2"/>
  <c r="X980" i="2"/>
  <c r="L980" i="2"/>
  <c r="E980" i="2"/>
  <c r="D980" i="2"/>
  <c r="X979" i="2"/>
  <c r="L979" i="2"/>
  <c r="E979" i="2"/>
  <c r="D979" i="2"/>
  <c r="X978" i="2"/>
  <c r="L978" i="2"/>
  <c r="E978" i="2"/>
  <c r="D978" i="2"/>
  <c r="X977" i="2"/>
  <c r="L977" i="2"/>
  <c r="E977" i="2"/>
  <c r="D977" i="2"/>
  <c r="X976" i="2"/>
  <c r="L976" i="2"/>
  <c r="E976" i="2"/>
  <c r="D976" i="2"/>
  <c r="X975" i="2"/>
  <c r="L975" i="2"/>
  <c r="E975" i="2"/>
  <c r="D975" i="2"/>
  <c r="X974" i="2"/>
  <c r="L974" i="2"/>
  <c r="E974" i="2"/>
  <c r="D974" i="2"/>
  <c r="X973" i="2"/>
  <c r="L973" i="2"/>
  <c r="E973" i="2"/>
  <c r="D973" i="2"/>
  <c r="X972" i="2"/>
  <c r="L972" i="2"/>
  <c r="E972" i="2"/>
  <c r="D972" i="2"/>
  <c r="X971" i="2"/>
  <c r="L971" i="2"/>
  <c r="E971" i="2"/>
  <c r="D971" i="2"/>
  <c r="X970" i="2"/>
  <c r="L970" i="2"/>
  <c r="E970" i="2"/>
  <c r="D970" i="2"/>
  <c r="X969" i="2"/>
  <c r="L969" i="2"/>
  <c r="E969" i="2"/>
  <c r="D969" i="2"/>
  <c r="X968" i="2"/>
  <c r="L968" i="2"/>
  <c r="E968" i="2"/>
  <c r="D968" i="2"/>
  <c r="X967" i="2"/>
  <c r="L967" i="2"/>
  <c r="E967" i="2"/>
  <c r="D967" i="2"/>
  <c r="X966" i="2"/>
  <c r="L966" i="2"/>
  <c r="E966" i="2"/>
  <c r="D966" i="2"/>
  <c r="X965" i="2"/>
  <c r="L965" i="2"/>
  <c r="E965" i="2"/>
  <c r="D965" i="2"/>
  <c r="X964" i="2"/>
  <c r="L964" i="2"/>
  <c r="E964" i="2"/>
  <c r="D964" i="2"/>
  <c r="X963" i="2"/>
  <c r="L963" i="2"/>
  <c r="E963" i="2"/>
  <c r="D963" i="2"/>
  <c r="X962" i="2"/>
  <c r="L962" i="2"/>
  <c r="E962" i="2"/>
  <c r="D962" i="2"/>
  <c r="X961" i="2"/>
  <c r="L961" i="2"/>
  <c r="E961" i="2"/>
  <c r="D961" i="2"/>
  <c r="X960" i="2"/>
  <c r="L960" i="2"/>
  <c r="E960" i="2"/>
  <c r="D960" i="2"/>
  <c r="X959" i="2"/>
  <c r="L959" i="2"/>
  <c r="E959" i="2"/>
  <c r="D959" i="2"/>
  <c r="L958" i="2"/>
  <c r="E958" i="2"/>
  <c r="D958" i="2"/>
  <c r="L957" i="2"/>
  <c r="E957" i="2"/>
  <c r="D957" i="2"/>
  <c r="L956" i="2"/>
  <c r="E956" i="2"/>
  <c r="D956" i="2"/>
  <c r="L955" i="2"/>
  <c r="E955" i="2"/>
  <c r="D955" i="2"/>
  <c r="L954" i="2"/>
  <c r="E954" i="2"/>
  <c r="D954" i="2"/>
  <c r="L953" i="2"/>
  <c r="E953" i="2"/>
  <c r="D953" i="2"/>
  <c r="L952" i="2"/>
  <c r="E952" i="2"/>
  <c r="D952" i="2"/>
  <c r="L951" i="2"/>
  <c r="E951" i="2"/>
  <c r="D951" i="2"/>
  <c r="L950" i="2"/>
  <c r="E950" i="2"/>
  <c r="D950" i="2"/>
  <c r="L949" i="2"/>
  <c r="E949" i="2"/>
  <c r="D949" i="2"/>
  <c r="L948" i="2"/>
  <c r="E948" i="2"/>
  <c r="D948" i="2"/>
  <c r="L947" i="2"/>
  <c r="E947" i="2"/>
  <c r="D947" i="2"/>
  <c r="L946" i="2"/>
  <c r="E946" i="2"/>
  <c r="D946" i="2"/>
  <c r="L945" i="2"/>
  <c r="E945" i="2"/>
  <c r="D945" i="2"/>
  <c r="L944" i="2"/>
  <c r="E944" i="2"/>
  <c r="D944" i="2"/>
  <c r="L943" i="2"/>
  <c r="E943" i="2"/>
  <c r="D943" i="2"/>
  <c r="L942" i="2"/>
  <c r="E942" i="2"/>
  <c r="D942" i="2"/>
  <c r="L941" i="2"/>
  <c r="E941" i="2"/>
  <c r="D941" i="2"/>
  <c r="L940" i="2"/>
  <c r="E940" i="2"/>
  <c r="D940" i="2"/>
  <c r="L939" i="2"/>
  <c r="E939" i="2"/>
  <c r="D939" i="2"/>
  <c r="L938" i="2"/>
  <c r="E938" i="2"/>
  <c r="D938" i="2"/>
  <c r="L937" i="2"/>
  <c r="E937" i="2"/>
  <c r="D937" i="2"/>
  <c r="L936" i="2"/>
  <c r="E936" i="2"/>
  <c r="D936" i="2"/>
  <c r="L935" i="2"/>
  <c r="E935" i="2"/>
  <c r="D935" i="2"/>
  <c r="L934" i="2"/>
  <c r="E934" i="2"/>
  <c r="D934" i="2"/>
  <c r="L933" i="2"/>
  <c r="E933" i="2"/>
  <c r="D933" i="2"/>
  <c r="L932" i="2"/>
  <c r="E932" i="2"/>
  <c r="D932" i="2"/>
  <c r="L931" i="2"/>
  <c r="E931" i="2"/>
  <c r="D931" i="2"/>
  <c r="L930" i="2"/>
  <c r="E930" i="2"/>
  <c r="D930" i="2"/>
  <c r="L929" i="2"/>
  <c r="E929" i="2"/>
  <c r="D929" i="2"/>
  <c r="L928" i="2"/>
  <c r="E928" i="2"/>
  <c r="D928" i="2"/>
  <c r="L927" i="2"/>
  <c r="E927" i="2"/>
  <c r="D927" i="2"/>
  <c r="L926" i="2"/>
  <c r="E926" i="2"/>
  <c r="D926" i="2"/>
  <c r="L925" i="2"/>
  <c r="E925" i="2"/>
  <c r="D925" i="2"/>
  <c r="L924" i="2"/>
  <c r="E924" i="2"/>
  <c r="D924" i="2"/>
  <c r="L923" i="2"/>
  <c r="E923" i="2"/>
  <c r="D923" i="2"/>
  <c r="L922" i="2"/>
  <c r="E922" i="2"/>
  <c r="D922" i="2"/>
  <c r="L921" i="2"/>
  <c r="E921" i="2"/>
  <c r="D921" i="2"/>
  <c r="L920" i="2"/>
  <c r="E920" i="2"/>
  <c r="D920" i="2"/>
  <c r="L919" i="2"/>
  <c r="E919" i="2"/>
  <c r="D919" i="2"/>
  <c r="L918" i="2"/>
  <c r="E918" i="2"/>
  <c r="D918" i="2"/>
  <c r="L917" i="2"/>
  <c r="E917" i="2"/>
  <c r="D917" i="2"/>
  <c r="L916" i="2"/>
  <c r="E916" i="2"/>
  <c r="D916" i="2"/>
  <c r="L915" i="2"/>
  <c r="E915" i="2"/>
  <c r="D915" i="2"/>
  <c r="L914" i="2"/>
  <c r="E914" i="2"/>
  <c r="D914" i="2"/>
  <c r="L913" i="2"/>
  <c r="E913" i="2"/>
  <c r="D913" i="2"/>
  <c r="L912" i="2"/>
  <c r="E912" i="2"/>
  <c r="D912" i="2"/>
  <c r="L911" i="2"/>
  <c r="E911" i="2"/>
  <c r="D911" i="2"/>
  <c r="L910" i="2"/>
  <c r="E910" i="2"/>
  <c r="D910" i="2"/>
  <c r="L909" i="2"/>
  <c r="E909" i="2"/>
  <c r="D909" i="2"/>
  <c r="L908" i="2"/>
  <c r="E908" i="2"/>
  <c r="D908" i="2"/>
  <c r="L907" i="2"/>
  <c r="E907" i="2"/>
  <c r="D907" i="2"/>
  <c r="L906" i="2"/>
  <c r="E906" i="2"/>
  <c r="D906" i="2"/>
  <c r="L905" i="2"/>
  <c r="E905" i="2"/>
  <c r="D905" i="2"/>
  <c r="L904" i="2"/>
  <c r="E904" i="2"/>
  <c r="D904" i="2"/>
  <c r="L903" i="2"/>
  <c r="E903" i="2"/>
  <c r="D903" i="2"/>
  <c r="L902" i="2"/>
  <c r="E902" i="2"/>
  <c r="D902" i="2"/>
  <c r="L901" i="2"/>
  <c r="E901" i="2"/>
  <c r="D901" i="2"/>
  <c r="L900" i="2"/>
  <c r="E900" i="2"/>
  <c r="D900" i="2"/>
  <c r="L899" i="2"/>
  <c r="E899" i="2"/>
  <c r="D899" i="2"/>
  <c r="L898" i="2"/>
  <c r="E898" i="2"/>
  <c r="D898" i="2"/>
  <c r="L897" i="2"/>
  <c r="E897" i="2"/>
  <c r="D897" i="2"/>
  <c r="L896" i="2"/>
  <c r="E896" i="2"/>
  <c r="D896" i="2"/>
  <c r="L895" i="2"/>
  <c r="E895" i="2"/>
  <c r="D895" i="2"/>
  <c r="L894" i="2"/>
  <c r="E894" i="2"/>
  <c r="D894" i="2"/>
  <c r="L893" i="2"/>
  <c r="E893" i="2"/>
  <c r="D893" i="2"/>
  <c r="L892" i="2"/>
  <c r="E892" i="2"/>
  <c r="D892" i="2"/>
  <c r="L891" i="2"/>
  <c r="E891" i="2"/>
  <c r="D891" i="2"/>
  <c r="L890" i="2"/>
  <c r="E890" i="2"/>
  <c r="D890" i="2"/>
  <c r="L889" i="2"/>
  <c r="E889" i="2"/>
  <c r="D889" i="2"/>
  <c r="L888" i="2"/>
  <c r="E888" i="2"/>
  <c r="D888" i="2"/>
  <c r="L887" i="2"/>
  <c r="E887" i="2"/>
  <c r="D887" i="2"/>
  <c r="L886" i="2"/>
  <c r="E886" i="2"/>
  <c r="D886" i="2"/>
  <c r="L885" i="2"/>
  <c r="E885" i="2"/>
  <c r="D885" i="2"/>
  <c r="L884" i="2"/>
  <c r="E884" i="2"/>
  <c r="D884" i="2"/>
  <c r="L883" i="2"/>
  <c r="E883" i="2"/>
  <c r="D883" i="2"/>
  <c r="L882" i="2"/>
  <c r="E882" i="2"/>
  <c r="D882" i="2"/>
  <c r="L881" i="2"/>
  <c r="E881" i="2"/>
  <c r="D881" i="2"/>
  <c r="L880" i="2"/>
  <c r="E880" i="2"/>
  <c r="D880" i="2"/>
  <c r="L879" i="2"/>
  <c r="E879" i="2"/>
  <c r="D879" i="2"/>
  <c r="X878" i="2"/>
  <c r="L878" i="2"/>
  <c r="E878" i="2"/>
  <c r="D878" i="2"/>
  <c r="X877" i="2"/>
  <c r="L877" i="2"/>
  <c r="E877" i="2"/>
  <c r="D877" i="2"/>
  <c r="X876" i="2"/>
  <c r="L876" i="2"/>
  <c r="E876" i="2"/>
  <c r="D876" i="2"/>
  <c r="X875" i="2"/>
  <c r="L875" i="2"/>
  <c r="E875" i="2"/>
  <c r="D875" i="2"/>
  <c r="X874" i="2"/>
  <c r="L874" i="2"/>
  <c r="E874" i="2"/>
  <c r="D874" i="2"/>
  <c r="X873" i="2"/>
  <c r="L873" i="2"/>
  <c r="E873" i="2"/>
  <c r="D873" i="2"/>
  <c r="X872" i="2"/>
  <c r="L872" i="2"/>
  <c r="E872" i="2"/>
  <c r="D872" i="2"/>
  <c r="X871" i="2"/>
  <c r="L871" i="2"/>
  <c r="E871" i="2"/>
  <c r="D871" i="2"/>
  <c r="L870" i="2"/>
  <c r="E870" i="2"/>
  <c r="D870" i="2"/>
  <c r="L869" i="2"/>
  <c r="E869" i="2"/>
  <c r="D869" i="2"/>
  <c r="L868" i="2"/>
  <c r="E868" i="2"/>
  <c r="D868" i="2"/>
  <c r="X867" i="2"/>
  <c r="L867" i="2"/>
  <c r="E867" i="2"/>
  <c r="D867" i="2"/>
  <c r="X866" i="2"/>
  <c r="L866" i="2"/>
  <c r="E866" i="2"/>
  <c r="D866" i="2"/>
  <c r="L865" i="2"/>
  <c r="E865" i="2"/>
  <c r="D865" i="2"/>
  <c r="X864" i="2"/>
  <c r="L864" i="2"/>
  <c r="E864" i="2"/>
  <c r="D864" i="2"/>
  <c r="X863" i="2"/>
  <c r="L863" i="2"/>
  <c r="E863" i="2"/>
  <c r="D863" i="2"/>
  <c r="L862" i="2"/>
  <c r="E862" i="2"/>
  <c r="D862" i="2"/>
  <c r="L861" i="2"/>
  <c r="E861" i="2"/>
  <c r="D861" i="2"/>
  <c r="X860" i="2"/>
  <c r="L860" i="2"/>
  <c r="E860" i="2"/>
  <c r="D860" i="2"/>
  <c r="X859" i="2"/>
  <c r="L859" i="2"/>
  <c r="E859" i="2"/>
  <c r="D859" i="2"/>
  <c r="L858" i="2"/>
  <c r="E858" i="2"/>
  <c r="D858" i="2"/>
  <c r="L857" i="2"/>
  <c r="E857" i="2"/>
  <c r="D857" i="2"/>
  <c r="L856" i="2"/>
  <c r="E856" i="2"/>
  <c r="D856" i="2"/>
  <c r="L855" i="2"/>
  <c r="E855" i="2"/>
  <c r="D855" i="2"/>
  <c r="L854" i="2"/>
  <c r="E854" i="2"/>
  <c r="D854" i="2"/>
  <c r="L853" i="2"/>
  <c r="E853" i="2"/>
  <c r="D853" i="2"/>
  <c r="X852" i="2"/>
  <c r="L852" i="2"/>
  <c r="E852" i="2"/>
  <c r="D852" i="2"/>
  <c r="X851" i="2"/>
  <c r="L851" i="2"/>
  <c r="E851" i="2"/>
  <c r="D851" i="2"/>
  <c r="L850" i="2"/>
  <c r="E850" i="2"/>
  <c r="D850" i="2"/>
  <c r="L849" i="2"/>
  <c r="E849" i="2"/>
  <c r="D849" i="2"/>
  <c r="L848" i="2"/>
  <c r="E848" i="2"/>
  <c r="D848" i="2"/>
  <c r="L847" i="2"/>
  <c r="E847" i="2"/>
  <c r="D847" i="2"/>
  <c r="L846" i="2"/>
  <c r="E846" i="2"/>
  <c r="D846" i="2"/>
  <c r="X845" i="2"/>
  <c r="L845" i="2"/>
  <c r="E845" i="2"/>
  <c r="D845" i="2"/>
  <c r="X844" i="2"/>
  <c r="L844" i="2"/>
  <c r="E844" i="2"/>
  <c r="D844" i="2"/>
  <c r="L843" i="2"/>
  <c r="E843" i="2"/>
  <c r="D843" i="2"/>
  <c r="L842" i="2"/>
  <c r="E842" i="2"/>
  <c r="D842" i="2"/>
  <c r="L841" i="2"/>
  <c r="E841" i="2"/>
  <c r="D841" i="2"/>
  <c r="X840" i="2"/>
  <c r="L840" i="2"/>
  <c r="E840" i="2"/>
  <c r="D840" i="2"/>
  <c r="X839" i="2"/>
  <c r="L839" i="2"/>
  <c r="E839" i="2"/>
  <c r="D839" i="2"/>
  <c r="L838" i="2"/>
  <c r="E838" i="2"/>
  <c r="D838" i="2"/>
  <c r="X837" i="2"/>
  <c r="L837" i="2"/>
  <c r="E837" i="2"/>
  <c r="D837" i="2"/>
  <c r="X836" i="2"/>
  <c r="L836" i="2"/>
  <c r="E836" i="2"/>
  <c r="D836" i="2"/>
  <c r="L835" i="2"/>
  <c r="E835" i="2"/>
  <c r="D835" i="2"/>
  <c r="L834" i="2"/>
  <c r="E834" i="2"/>
  <c r="D834" i="2"/>
  <c r="L833" i="2"/>
  <c r="E833" i="2"/>
  <c r="D833" i="2"/>
  <c r="L832" i="2"/>
  <c r="E832" i="2"/>
  <c r="D832" i="2"/>
  <c r="L831" i="2"/>
  <c r="E831" i="2"/>
  <c r="D831" i="2"/>
  <c r="L830" i="2"/>
  <c r="E830" i="2"/>
  <c r="D830" i="2"/>
  <c r="L829" i="2"/>
  <c r="E829" i="2"/>
  <c r="D829" i="2"/>
  <c r="X828" i="2"/>
  <c r="L828" i="2"/>
  <c r="E828" i="2"/>
  <c r="D828" i="2"/>
  <c r="X827" i="2"/>
  <c r="L827" i="2"/>
  <c r="E827" i="2"/>
  <c r="D827" i="2"/>
  <c r="L826" i="2"/>
  <c r="E826" i="2"/>
  <c r="D826" i="2"/>
  <c r="L825" i="2"/>
  <c r="E825" i="2"/>
  <c r="D825" i="2"/>
  <c r="L824" i="2"/>
  <c r="E824" i="2"/>
  <c r="D824" i="2"/>
  <c r="L823" i="2"/>
  <c r="E823" i="2"/>
  <c r="D823" i="2"/>
  <c r="X822" i="2"/>
  <c r="L822" i="2"/>
  <c r="E822" i="2"/>
  <c r="D822" i="2"/>
  <c r="X821" i="2"/>
  <c r="L821" i="2"/>
  <c r="E821" i="2"/>
  <c r="D821" i="2"/>
  <c r="X820" i="2"/>
  <c r="L820" i="2"/>
  <c r="E820" i="2"/>
  <c r="D820" i="2"/>
  <c r="X819" i="2"/>
  <c r="L819" i="2"/>
  <c r="E819" i="2"/>
  <c r="D819" i="2"/>
  <c r="L818" i="2"/>
  <c r="E818" i="2"/>
  <c r="D818" i="2"/>
  <c r="L817" i="2"/>
  <c r="E817" i="2"/>
  <c r="D817" i="2"/>
  <c r="L816" i="2"/>
  <c r="E816" i="2"/>
  <c r="D816" i="2"/>
  <c r="L815" i="2"/>
  <c r="E815" i="2"/>
  <c r="D815" i="2"/>
  <c r="L814" i="2"/>
  <c r="E814" i="2"/>
  <c r="D814" i="2"/>
  <c r="L813" i="2"/>
  <c r="E813" i="2"/>
  <c r="D813" i="2"/>
  <c r="L812" i="2"/>
  <c r="E812" i="2"/>
  <c r="D812" i="2"/>
  <c r="L811" i="2"/>
  <c r="E811" i="2"/>
  <c r="D811" i="2"/>
  <c r="L810" i="2"/>
  <c r="E810" i="2"/>
  <c r="D810" i="2"/>
  <c r="L809" i="2"/>
  <c r="E809" i="2"/>
  <c r="D809" i="2"/>
  <c r="L808" i="2"/>
  <c r="E808" i="2"/>
  <c r="D808" i="2"/>
  <c r="L807" i="2"/>
  <c r="E807" i="2"/>
  <c r="D807" i="2"/>
  <c r="L806" i="2"/>
  <c r="E806" i="2"/>
  <c r="D806" i="2"/>
  <c r="L805" i="2"/>
  <c r="E805" i="2"/>
  <c r="D805" i="2"/>
  <c r="L804" i="2"/>
  <c r="E804" i="2"/>
  <c r="D804" i="2"/>
  <c r="L803" i="2"/>
  <c r="E803" i="2"/>
  <c r="D803" i="2"/>
  <c r="L802" i="2"/>
  <c r="E802" i="2"/>
  <c r="D802" i="2"/>
  <c r="L801" i="2"/>
  <c r="E801" i="2"/>
  <c r="D801" i="2"/>
  <c r="L800" i="2"/>
  <c r="E800" i="2"/>
  <c r="D800" i="2"/>
  <c r="L799" i="2"/>
  <c r="E799" i="2"/>
  <c r="D799" i="2"/>
  <c r="X798" i="2"/>
  <c r="L798" i="2"/>
  <c r="E798" i="2"/>
  <c r="D798" i="2"/>
  <c r="X797" i="2"/>
  <c r="L797" i="2"/>
  <c r="E797" i="2"/>
  <c r="D797" i="2"/>
  <c r="L796" i="2"/>
  <c r="E796" i="2"/>
  <c r="D796" i="2"/>
  <c r="L795" i="2"/>
  <c r="E795" i="2"/>
  <c r="D795" i="2"/>
  <c r="X794" i="2"/>
  <c r="L794" i="2"/>
  <c r="E794" i="2"/>
  <c r="D794" i="2"/>
  <c r="X793" i="2"/>
  <c r="L793" i="2"/>
  <c r="E793" i="2"/>
  <c r="D793" i="2"/>
  <c r="X792" i="2"/>
  <c r="L792" i="2"/>
  <c r="E792" i="2"/>
  <c r="D792" i="2"/>
  <c r="X791" i="2"/>
  <c r="L791" i="2"/>
  <c r="E791" i="2"/>
  <c r="D791" i="2"/>
  <c r="X790" i="2"/>
  <c r="L790" i="2"/>
  <c r="E790" i="2"/>
  <c r="D790" i="2"/>
  <c r="X789" i="2"/>
  <c r="L789" i="2"/>
  <c r="E789" i="2"/>
  <c r="D789" i="2"/>
  <c r="X788" i="2"/>
  <c r="L788" i="2"/>
  <c r="E788" i="2"/>
  <c r="D788" i="2"/>
  <c r="X787" i="2"/>
  <c r="L787" i="2"/>
  <c r="E787" i="2"/>
  <c r="D787" i="2"/>
  <c r="X786" i="2"/>
  <c r="L786" i="2"/>
  <c r="E786" i="2"/>
  <c r="D786" i="2"/>
  <c r="X785" i="2"/>
  <c r="L785" i="2"/>
  <c r="E785" i="2"/>
  <c r="D785" i="2"/>
  <c r="L784" i="2"/>
  <c r="E784" i="2"/>
  <c r="D784" i="2"/>
  <c r="L783" i="2"/>
  <c r="E783" i="2"/>
  <c r="D783" i="2"/>
  <c r="L782" i="2"/>
  <c r="E782" i="2"/>
  <c r="D782" i="2"/>
  <c r="L781" i="2"/>
  <c r="E781" i="2"/>
  <c r="D781" i="2"/>
  <c r="L780" i="2"/>
  <c r="E780" i="2"/>
  <c r="D780" i="2"/>
  <c r="L779" i="2"/>
  <c r="E779" i="2"/>
  <c r="D779" i="2"/>
  <c r="L778" i="2"/>
  <c r="E778" i="2"/>
  <c r="D778" i="2"/>
  <c r="L777" i="2"/>
  <c r="E777" i="2"/>
  <c r="D777" i="2"/>
  <c r="L776" i="2"/>
  <c r="E776" i="2"/>
  <c r="D776" i="2"/>
  <c r="L775" i="2"/>
  <c r="E775" i="2"/>
  <c r="D775" i="2"/>
  <c r="L774" i="2"/>
  <c r="E774" i="2"/>
  <c r="D774" i="2"/>
  <c r="L773" i="2"/>
  <c r="E773" i="2"/>
  <c r="D773" i="2"/>
  <c r="L772" i="2"/>
  <c r="E772" i="2"/>
  <c r="D772" i="2"/>
  <c r="L771" i="2"/>
  <c r="E771" i="2"/>
  <c r="D771" i="2"/>
  <c r="L770" i="2"/>
  <c r="E770" i="2"/>
  <c r="D770" i="2"/>
  <c r="L769" i="2"/>
  <c r="E769" i="2"/>
  <c r="D769" i="2"/>
  <c r="L768" i="2"/>
  <c r="E768" i="2"/>
  <c r="D768" i="2"/>
  <c r="L767" i="2"/>
  <c r="E767" i="2"/>
  <c r="D767" i="2"/>
  <c r="L766" i="2"/>
  <c r="E766" i="2"/>
  <c r="D766" i="2"/>
  <c r="L765" i="2"/>
  <c r="E765" i="2"/>
  <c r="D765" i="2"/>
  <c r="L764" i="2"/>
  <c r="E764" i="2"/>
  <c r="D764" i="2"/>
  <c r="L763" i="2"/>
  <c r="E763" i="2"/>
  <c r="D763" i="2"/>
  <c r="L762" i="2"/>
  <c r="E762" i="2"/>
  <c r="D762" i="2"/>
  <c r="L761" i="2"/>
  <c r="E761" i="2"/>
  <c r="D761" i="2"/>
  <c r="L760" i="2"/>
  <c r="E760" i="2"/>
  <c r="D760" i="2"/>
  <c r="L759" i="2"/>
  <c r="E759" i="2"/>
  <c r="D759" i="2"/>
  <c r="L758" i="2"/>
  <c r="E758" i="2"/>
  <c r="D758" i="2"/>
  <c r="L757" i="2"/>
  <c r="E757" i="2"/>
  <c r="D757" i="2"/>
  <c r="L756" i="2"/>
  <c r="E756" i="2"/>
  <c r="D756" i="2"/>
  <c r="L755" i="2"/>
  <c r="E755" i="2"/>
  <c r="D755" i="2"/>
  <c r="L754" i="2"/>
  <c r="E754" i="2"/>
  <c r="D754" i="2"/>
  <c r="L753" i="2"/>
  <c r="E753" i="2"/>
  <c r="D753" i="2"/>
  <c r="L752" i="2"/>
  <c r="E752" i="2"/>
  <c r="D752" i="2"/>
  <c r="L751" i="2"/>
  <c r="E751" i="2"/>
  <c r="D751" i="2"/>
  <c r="L750" i="2"/>
  <c r="E750" i="2"/>
  <c r="D750" i="2"/>
  <c r="L749" i="2"/>
  <c r="E749" i="2"/>
  <c r="D749" i="2"/>
  <c r="L748" i="2"/>
  <c r="E748" i="2"/>
  <c r="D748" i="2"/>
  <c r="L747" i="2"/>
  <c r="E747" i="2"/>
  <c r="D747" i="2"/>
  <c r="L746" i="2"/>
  <c r="E746" i="2"/>
  <c r="D746" i="2"/>
  <c r="L745" i="2"/>
  <c r="E745" i="2"/>
  <c r="D745" i="2"/>
  <c r="L744" i="2"/>
  <c r="E744" i="2"/>
  <c r="D744" i="2"/>
  <c r="L743" i="2"/>
  <c r="E743" i="2"/>
  <c r="D743" i="2"/>
  <c r="L742" i="2"/>
  <c r="E742" i="2"/>
  <c r="D742" i="2"/>
  <c r="L741" i="2"/>
  <c r="E741" i="2"/>
  <c r="D741" i="2"/>
  <c r="L740" i="2"/>
  <c r="E740" i="2"/>
  <c r="D740" i="2"/>
  <c r="L739" i="2"/>
  <c r="E739" i="2"/>
  <c r="D739" i="2"/>
  <c r="L738" i="2"/>
  <c r="E738" i="2"/>
  <c r="D738" i="2"/>
  <c r="L737" i="2"/>
  <c r="E737" i="2"/>
  <c r="D737" i="2"/>
  <c r="L736" i="2"/>
  <c r="E736" i="2"/>
  <c r="D736" i="2"/>
  <c r="L735" i="2"/>
  <c r="E735" i="2"/>
  <c r="D735" i="2"/>
  <c r="L734" i="2"/>
  <c r="E734" i="2"/>
  <c r="D734" i="2"/>
  <c r="L733" i="2"/>
  <c r="E733" i="2"/>
  <c r="D733" i="2"/>
  <c r="L732" i="2"/>
  <c r="E732" i="2"/>
  <c r="D732" i="2"/>
  <c r="L731" i="2"/>
  <c r="E731" i="2"/>
  <c r="D731" i="2"/>
  <c r="L730" i="2"/>
  <c r="E730" i="2"/>
  <c r="D730" i="2"/>
  <c r="L729" i="2"/>
  <c r="E729" i="2"/>
  <c r="D729" i="2"/>
  <c r="L728" i="2"/>
  <c r="E728" i="2"/>
  <c r="D728" i="2"/>
  <c r="L727" i="2"/>
  <c r="E727" i="2"/>
  <c r="D727" i="2"/>
  <c r="L726" i="2"/>
  <c r="E726" i="2"/>
  <c r="D726" i="2"/>
  <c r="L725" i="2"/>
  <c r="E725" i="2"/>
  <c r="D725" i="2"/>
  <c r="L724" i="2"/>
  <c r="E724" i="2"/>
  <c r="D724" i="2"/>
  <c r="L723" i="2"/>
  <c r="E723" i="2"/>
  <c r="D723" i="2"/>
  <c r="L722" i="2"/>
  <c r="E722" i="2"/>
  <c r="D722" i="2"/>
  <c r="L721" i="2"/>
  <c r="E721" i="2"/>
  <c r="D721" i="2"/>
  <c r="L720" i="2"/>
  <c r="E720" i="2"/>
  <c r="D720" i="2"/>
  <c r="L719" i="2"/>
  <c r="E719" i="2"/>
  <c r="D719" i="2"/>
  <c r="L718" i="2"/>
  <c r="E718" i="2"/>
  <c r="D718" i="2"/>
  <c r="L717" i="2"/>
  <c r="E717" i="2"/>
  <c r="D717" i="2"/>
  <c r="L716" i="2"/>
  <c r="E716" i="2"/>
  <c r="D716" i="2"/>
  <c r="L715" i="2"/>
  <c r="E715" i="2"/>
  <c r="D715" i="2"/>
  <c r="L714" i="2"/>
  <c r="E714" i="2"/>
  <c r="D714" i="2"/>
  <c r="L713" i="2"/>
  <c r="E713" i="2"/>
  <c r="D713" i="2"/>
  <c r="L712" i="2"/>
  <c r="E712" i="2"/>
  <c r="D712" i="2"/>
  <c r="L711" i="2"/>
  <c r="E711" i="2"/>
  <c r="D711" i="2"/>
  <c r="L710" i="2"/>
  <c r="E710" i="2"/>
  <c r="D710" i="2"/>
  <c r="L709" i="2"/>
  <c r="E709" i="2"/>
  <c r="D709" i="2"/>
  <c r="L708" i="2"/>
  <c r="E708" i="2"/>
  <c r="D708" i="2"/>
  <c r="L707" i="2"/>
  <c r="E707" i="2"/>
  <c r="D707" i="2"/>
  <c r="L706" i="2"/>
  <c r="E706" i="2"/>
  <c r="D706" i="2"/>
  <c r="L705" i="2"/>
  <c r="E705" i="2"/>
  <c r="D705" i="2"/>
  <c r="L704" i="2"/>
  <c r="E704" i="2"/>
  <c r="D704" i="2"/>
  <c r="L703" i="2"/>
  <c r="E703" i="2"/>
  <c r="D703" i="2"/>
  <c r="L702" i="2"/>
  <c r="E702" i="2"/>
  <c r="D702" i="2"/>
  <c r="L701" i="2"/>
  <c r="E701" i="2"/>
  <c r="D701" i="2"/>
  <c r="X700" i="2"/>
  <c r="L700" i="2"/>
  <c r="E700" i="2"/>
  <c r="D700" i="2"/>
  <c r="X699" i="2"/>
  <c r="L699" i="2"/>
  <c r="E699" i="2"/>
  <c r="D699" i="2"/>
  <c r="X698" i="2"/>
  <c r="L698" i="2"/>
  <c r="E698" i="2"/>
  <c r="D698" i="2"/>
  <c r="X697" i="2"/>
  <c r="L697" i="2"/>
  <c r="E697" i="2"/>
  <c r="D697" i="2"/>
  <c r="X696" i="2"/>
  <c r="L696" i="2"/>
  <c r="E696" i="2"/>
  <c r="D696" i="2"/>
  <c r="X695" i="2"/>
  <c r="L695" i="2"/>
  <c r="E695" i="2"/>
  <c r="D695" i="2"/>
  <c r="X694" i="2"/>
  <c r="L694" i="2"/>
  <c r="E694" i="2"/>
  <c r="D694" i="2"/>
  <c r="X693" i="2"/>
  <c r="L693" i="2"/>
  <c r="E693" i="2"/>
  <c r="D693" i="2"/>
  <c r="X692" i="2"/>
  <c r="L692" i="2"/>
  <c r="E692" i="2"/>
  <c r="D692" i="2"/>
  <c r="X691" i="2"/>
  <c r="L691" i="2"/>
  <c r="E691" i="2"/>
  <c r="D691" i="2"/>
  <c r="L690" i="2"/>
  <c r="E690" i="2"/>
  <c r="D690" i="2"/>
  <c r="L689" i="2"/>
  <c r="E689" i="2"/>
  <c r="D689" i="2"/>
  <c r="X688" i="2"/>
  <c r="L688" i="2"/>
  <c r="E688" i="2"/>
  <c r="D688" i="2"/>
  <c r="X687" i="2"/>
  <c r="L687" i="2"/>
  <c r="E687" i="2"/>
  <c r="D687" i="2"/>
  <c r="L686" i="2"/>
  <c r="E686" i="2"/>
  <c r="D686" i="2"/>
  <c r="X685" i="2"/>
  <c r="L685" i="2"/>
  <c r="E685" i="2"/>
  <c r="D685" i="2"/>
  <c r="X684" i="2"/>
  <c r="L684" i="2"/>
  <c r="E684" i="2"/>
  <c r="D684" i="2"/>
  <c r="L683" i="2"/>
  <c r="E683" i="2"/>
  <c r="D683" i="2"/>
  <c r="L682" i="2"/>
  <c r="E682" i="2"/>
  <c r="D682" i="2"/>
  <c r="L681" i="2"/>
  <c r="E681" i="2"/>
  <c r="D681" i="2"/>
  <c r="L680" i="2"/>
  <c r="E680" i="2"/>
  <c r="D680" i="2"/>
  <c r="X679" i="2"/>
  <c r="L679" i="2"/>
  <c r="E679" i="2"/>
  <c r="D679" i="2"/>
  <c r="X678" i="2"/>
  <c r="L678" i="2"/>
  <c r="E678" i="2"/>
  <c r="D678" i="2"/>
  <c r="X677" i="2"/>
  <c r="L677" i="2"/>
  <c r="E677" i="2"/>
  <c r="D677" i="2"/>
  <c r="X676" i="2"/>
  <c r="L676" i="2"/>
  <c r="E676" i="2"/>
  <c r="D676" i="2"/>
  <c r="L675" i="2"/>
  <c r="E675" i="2"/>
  <c r="D675" i="2"/>
  <c r="L674" i="2"/>
  <c r="E674" i="2"/>
  <c r="D674" i="2"/>
  <c r="X673" i="2"/>
  <c r="L673" i="2"/>
  <c r="E673" i="2"/>
  <c r="D673" i="2"/>
  <c r="X672" i="2"/>
  <c r="L672" i="2"/>
  <c r="E672" i="2"/>
  <c r="D672" i="2"/>
  <c r="L671" i="2"/>
  <c r="E671" i="2"/>
  <c r="D671" i="2"/>
  <c r="L670" i="2"/>
  <c r="E670" i="2"/>
  <c r="D670" i="2"/>
  <c r="L669" i="2"/>
  <c r="E669" i="2"/>
  <c r="D669" i="2"/>
  <c r="L668" i="2"/>
  <c r="E668" i="2"/>
  <c r="D668" i="2"/>
  <c r="L667" i="2"/>
  <c r="E667" i="2"/>
  <c r="D667" i="2"/>
  <c r="L666" i="2"/>
  <c r="E666" i="2"/>
  <c r="D666" i="2"/>
  <c r="X665" i="2"/>
  <c r="L665" i="2"/>
  <c r="E665" i="2"/>
  <c r="D665" i="2"/>
  <c r="X664" i="2"/>
  <c r="L664" i="2"/>
  <c r="E664" i="2"/>
  <c r="D664" i="2"/>
  <c r="X663" i="2"/>
  <c r="L663" i="2"/>
  <c r="E663" i="2"/>
  <c r="D663" i="2"/>
  <c r="X662" i="2"/>
  <c r="L662" i="2"/>
  <c r="E662" i="2"/>
  <c r="D662" i="2"/>
  <c r="L661" i="2"/>
  <c r="E661" i="2"/>
  <c r="D661" i="2"/>
  <c r="L660" i="2"/>
  <c r="E660" i="2"/>
  <c r="D660" i="2"/>
  <c r="L659" i="2"/>
  <c r="E659" i="2"/>
  <c r="D659" i="2"/>
  <c r="L658" i="2"/>
  <c r="E658" i="2"/>
  <c r="D658" i="2"/>
  <c r="L657" i="2"/>
  <c r="E657" i="2"/>
  <c r="D657" i="2"/>
  <c r="X656" i="2"/>
  <c r="L656" i="2"/>
  <c r="E656" i="2"/>
  <c r="D656" i="2"/>
  <c r="X655" i="2"/>
  <c r="L655" i="2"/>
  <c r="E655" i="2"/>
  <c r="D655" i="2"/>
  <c r="L654" i="2"/>
  <c r="E654" i="2"/>
  <c r="D654" i="2"/>
  <c r="L653" i="2"/>
  <c r="E653" i="2"/>
  <c r="D653" i="2"/>
  <c r="L652" i="2"/>
  <c r="E652" i="2"/>
  <c r="D652" i="2"/>
  <c r="L651" i="2"/>
  <c r="E651" i="2"/>
  <c r="D651" i="2"/>
  <c r="L650" i="2"/>
  <c r="E650" i="2"/>
  <c r="D650" i="2"/>
  <c r="L649" i="2"/>
  <c r="E649" i="2"/>
  <c r="D649" i="2"/>
  <c r="L648" i="2"/>
  <c r="E648" i="2"/>
  <c r="D648" i="2"/>
  <c r="L647" i="2"/>
  <c r="E647" i="2"/>
  <c r="D647" i="2"/>
  <c r="L646" i="2"/>
  <c r="E646" i="2"/>
  <c r="D646" i="2"/>
  <c r="L645" i="2"/>
  <c r="E645" i="2"/>
  <c r="D645" i="2"/>
  <c r="L644" i="2"/>
  <c r="E644" i="2"/>
  <c r="D644" i="2"/>
  <c r="L643" i="2"/>
  <c r="E643" i="2"/>
  <c r="D643" i="2"/>
  <c r="L642" i="2"/>
  <c r="E642" i="2"/>
  <c r="D642" i="2"/>
  <c r="L641" i="2"/>
  <c r="E641" i="2"/>
  <c r="D641" i="2"/>
  <c r="L640" i="2"/>
  <c r="E640" i="2"/>
  <c r="D640" i="2"/>
  <c r="L639" i="2"/>
  <c r="E639" i="2"/>
  <c r="D639" i="2"/>
  <c r="L638" i="2"/>
  <c r="E638" i="2"/>
  <c r="D638" i="2"/>
  <c r="X637" i="2"/>
  <c r="L637" i="2"/>
  <c r="E637" i="2"/>
  <c r="D637" i="2"/>
  <c r="X636" i="2"/>
  <c r="L636" i="2"/>
  <c r="E636" i="2"/>
  <c r="D636" i="2"/>
  <c r="X635" i="2"/>
  <c r="L635" i="2"/>
  <c r="E635" i="2"/>
  <c r="D635" i="2"/>
  <c r="X634" i="2"/>
  <c r="L634" i="2"/>
  <c r="E634" i="2"/>
  <c r="D634" i="2"/>
  <c r="X633" i="2"/>
  <c r="L633" i="2"/>
  <c r="E633" i="2"/>
  <c r="D633" i="2"/>
  <c r="X632" i="2"/>
  <c r="L632" i="2"/>
  <c r="E632" i="2"/>
  <c r="D632" i="2"/>
  <c r="L631" i="2"/>
  <c r="E631" i="2"/>
  <c r="D631" i="2"/>
  <c r="L630" i="2"/>
  <c r="E630" i="2"/>
  <c r="D630" i="2"/>
  <c r="L629" i="2"/>
  <c r="E629" i="2"/>
  <c r="D629" i="2"/>
  <c r="X628" i="2"/>
  <c r="L628" i="2"/>
  <c r="E628" i="2"/>
  <c r="D628" i="2"/>
  <c r="X627" i="2"/>
  <c r="L627" i="2"/>
  <c r="E627" i="2"/>
  <c r="D627" i="2"/>
  <c r="L626" i="2"/>
  <c r="E626" i="2"/>
  <c r="D626" i="2"/>
  <c r="X625" i="2"/>
  <c r="L625" i="2"/>
  <c r="E625" i="2"/>
  <c r="D625" i="2"/>
  <c r="X624" i="2"/>
  <c r="L624" i="2"/>
  <c r="E624" i="2"/>
  <c r="D624" i="2"/>
  <c r="L623" i="2"/>
  <c r="E623" i="2"/>
  <c r="D623" i="2"/>
  <c r="L622" i="2"/>
  <c r="E622" i="2"/>
  <c r="D622" i="2"/>
  <c r="L621" i="2"/>
  <c r="E621" i="2"/>
  <c r="D621" i="2"/>
  <c r="L620" i="2"/>
  <c r="E620" i="2"/>
  <c r="D620" i="2"/>
  <c r="L619" i="2"/>
  <c r="E619" i="2"/>
  <c r="D619" i="2"/>
  <c r="L618" i="2"/>
  <c r="E618" i="2"/>
  <c r="D618" i="2"/>
  <c r="L617" i="2"/>
  <c r="E617" i="2"/>
  <c r="D617" i="2"/>
  <c r="X616" i="2"/>
  <c r="L616" i="2"/>
  <c r="E616" i="2"/>
  <c r="D616" i="2"/>
  <c r="X615" i="2"/>
  <c r="L615" i="2"/>
  <c r="E615" i="2"/>
  <c r="D615" i="2"/>
  <c r="L614" i="2"/>
  <c r="E614" i="2"/>
  <c r="D614" i="2"/>
  <c r="L613" i="2"/>
  <c r="E613" i="2"/>
  <c r="D613" i="2"/>
  <c r="L612" i="2"/>
  <c r="E612" i="2"/>
  <c r="D612" i="2"/>
  <c r="L611" i="2"/>
  <c r="E611" i="2"/>
  <c r="D611" i="2"/>
  <c r="X610" i="2"/>
  <c r="L610" i="2"/>
  <c r="E610" i="2"/>
  <c r="D610" i="2"/>
  <c r="X609" i="2"/>
  <c r="L609" i="2"/>
  <c r="E609" i="2"/>
  <c r="D609" i="2"/>
  <c r="X608" i="2"/>
  <c r="L608" i="2"/>
  <c r="E608" i="2"/>
  <c r="D608" i="2"/>
  <c r="X607" i="2"/>
  <c r="L607" i="2"/>
  <c r="E607" i="2"/>
  <c r="D607" i="2"/>
  <c r="X606" i="2"/>
  <c r="L606" i="2"/>
  <c r="E606" i="2"/>
  <c r="D606" i="2"/>
  <c r="X605" i="2"/>
  <c r="L605" i="2"/>
  <c r="E605" i="2"/>
  <c r="D605" i="2"/>
  <c r="X604" i="2"/>
  <c r="L604" i="2"/>
  <c r="E604" i="2"/>
  <c r="D604" i="2"/>
  <c r="X603" i="2"/>
  <c r="L603" i="2"/>
  <c r="E603" i="2"/>
  <c r="D603" i="2"/>
  <c r="X602" i="2"/>
  <c r="L602" i="2"/>
  <c r="E602" i="2"/>
  <c r="D602" i="2"/>
  <c r="L601" i="2"/>
  <c r="E601" i="2"/>
  <c r="D601" i="2"/>
  <c r="L600" i="2"/>
  <c r="E600" i="2"/>
  <c r="D600" i="2"/>
  <c r="L599" i="2"/>
  <c r="E599" i="2"/>
  <c r="D599" i="2"/>
  <c r="L598" i="2"/>
  <c r="E598" i="2"/>
  <c r="D598" i="2"/>
  <c r="L597" i="2"/>
  <c r="E597" i="2"/>
  <c r="D597" i="2"/>
  <c r="L596" i="2"/>
  <c r="E596" i="2"/>
  <c r="D596" i="2"/>
  <c r="L595" i="2"/>
  <c r="E595" i="2"/>
  <c r="D595" i="2"/>
  <c r="L594" i="2"/>
  <c r="E594" i="2"/>
  <c r="D594" i="2"/>
  <c r="L593" i="2"/>
  <c r="E593" i="2"/>
  <c r="D593" i="2"/>
  <c r="L592" i="2"/>
  <c r="E592" i="2"/>
  <c r="D592" i="2"/>
  <c r="L591" i="2"/>
  <c r="E591" i="2"/>
  <c r="D591" i="2"/>
  <c r="L590" i="2"/>
  <c r="E590" i="2"/>
  <c r="D590" i="2"/>
  <c r="L589" i="2"/>
  <c r="E589" i="2"/>
  <c r="D589" i="2"/>
  <c r="L588" i="2"/>
  <c r="E588" i="2"/>
  <c r="D588" i="2"/>
  <c r="L587" i="2"/>
  <c r="E587" i="2"/>
  <c r="D587" i="2"/>
  <c r="L586" i="2"/>
  <c r="E586" i="2"/>
  <c r="D586" i="2"/>
  <c r="L585" i="2"/>
  <c r="E585" i="2"/>
  <c r="D585" i="2"/>
  <c r="L584" i="2"/>
  <c r="E584" i="2"/>
  <c r="D584" i="2"/>
  <c r="L583" i="2"/>
  <c r="E583" i="2"/>
  <c r="D583" i="2"/>
  <c r="L582" i="2"/>
  <c r="E582" i="2"/>
  <c r="D582" i="2"/>
  <c r="L581" i="2"/>
  <c r="E581" i="2"/>
  <c r="D581" i="2"/>
  <c r="L580" i="2"/>
  <c r="E580" i="2"/>
  <c r="D580" i="2"/>
  <c r="L579" i="2"/>
  <c r="E579" i="2"/>
  <c r="D579" i="2"/>
  <c r="L578" i="2"/>
  <c r="E578" i="2"/>
  <c r="D578" i="2"/>
  <c r="L577" i="2"/>
  <c r="E577" i="2"/>
  <c r="D577" i="2"/>
  <c r="L576" i="2"/>
  <c r="E576" i="2"/>
  <c r="D576" i="2"/>
  <c r="L575" i="2"/>
  <c r="E575" i="2"/>
  <c r="D575" i="2"/>
  <c r="L574" i="2"/>
  <c r="E574" i="2"/>
  <c r="D574" i="2"/>
  <c r="L573" i="2"/>
  <c r="E573" i="2"/>
  <c r="D573" i="2"/>
  <c r="L572" i="2"/>
  <c r="E572" i="2"/>
  <c r="D572" i="2"/>
  <c r="L571" i="2"/>
  <c r="E571" i="2"/>
  <c r="D571" i="2"/>
  <c r="L570" i="2"/>
  <c r="E570" i="2"/>
  <c r="D570" i="2"/>
  <c r="L569" i="2"/>
  <c r="E569" i="2"/>
  <c r="D569" i="2"/>
  <c r="L568" i="2"/>
  <c r="E568" i="2"/>
  <c r="D568" i="2"/>
  <c r="L567" i="2"/>
  <c r="E567" i="2"/>
  <c r="D567" i="2"/>
  <c r="L566" i="2"/>
  <c r="E566" i="2"/>
  <c r="D566" i="2"/>
  <c r="L565" i="2"/>
  <c r="E565" i="2"/>
  <c r="D565" i="2"/>
  <c r="L564" i="2"/>
  <c r="E564" i="2"/>
  <c r="D564" i="2"/>
  <c r="L563" i="2"/>
  <c r="E563" i="2"/>
  <c r="D563" i="2"/>
  <c r="L562" i="2"/>
  <c r="E562" i="2"/>
  <c r="D562" i="2"/>
  <c r="L561" i="2"/>
  <c r="E561" i="2"/>
  <c r="D561" i="2"/>
  <c r="L560" i="2"/>
  <c r="E560" i="2"/>
  <c r="D560" i="2"/>
  <c r="L559" i="2"/>
  <c r="E559" i="2"/>
  <c r="D559" i="2"/>
  <c r="L558" i="2"/>
  <c r="E558" i="2"/>
  <c r="D558" i="2"/>
  <c r="L557" i="2"/>
  <c r="E557" i="2"/>
  <c r="D557" i="2"/>
  <c r="L556" i="2"/>
  <c r="E556" i="2"/>
  <c r="D556" i="2"/>
  <c r="L555" i="2"/>
  <c r="E555" i="2"/>
  <c r="D555" i="2"/>
  <c r="L554" i="2"/>
  <c r="E554" i="2"/>
  <c r="D554" i="2"/>
  <c r="L553" i="2"/>
  <c r="E553" i="2"/>
  <c r="D553" i="2"/>
  <c r="L552" i="2"/>
  <c r="E552" i="2"/>
  <c r="D552" i="2"/>
  <c r="L551" i="2"/>
  <c r="E551" i="2"/>
  <c r="D551" i="2"/>
  <c r="L550" i="2"/>
  <c r="E550" i="2"/>
  <c r="D550" i="2"/>
  <c r="L549" i="2"/>
  <c r="E549" i="2"/>
  <c r="D549" i="2"/>
  <c r="L548" i="2"/>
  <c r="E548" i="2"/>
  <c r="D548" i="2"/>
  <c r="L547" i="2"/>
  <c r="E547" i="2"/>
  <c r="D547" i="2"/>
  <c r="L546" i="2"/>
  <c r="E546" i="2"/>
  <c r="D546" i="2"/>
  <c r="L545" i="2"/>
  <c r="E545" i="2"/>
  <c r="D545" i="2"/>
  <c r="L544" i="2"/>
  <c r="E544" i="2"/>
  <c r="D544" i="2"/>
  <c r="L543" i="2"/>
  <c r="E543" i="2"/>
  <c r="D543" i="2"/>
  <c r="L542" i="2"/>
  <c r="E542" i="2"/>
  <c r="D542" i="2"/>
  <c r="L541" i="2"/>
  <c r="E541" i="2"/>
  <c r="D541" i="2"/>
  <c r="L540" i="2"/>
  <c r="E540" i="2"/>
  <c r="D540" i="2"/>
  <c r="L539" i="2"/>
  <c r="E539" i="2"/>
  <c r="D539" i="2"/>
  <c r="L538" i="2"/>
  <c r="E538" i="2"/>
  <c r="D538" i="2"/>
  <c r="L537" i="2"/>
  <c r="E537" i="2"/>
  <c r="D537" i="2"/>
  <c r="L536" i="2"/>
  <c r="E536" i="2"/>
  <c r="D536" i="2"/>
  <c r="L535" i="2"/>
  <c r="E535" i="2"/>
  <c r="D535" i="2"/>
  <c r="L534" i="2"/>
  <c r="E534" i="2"/>
  <c r="D534" i="2"/>
  <c r="L533" i="2"/>
  <c r="E533" i="2"/>
  <c r="D533" i="2"/>
  <c r="L532" i="2"/>
  <c r="E532" i="2"/>
  <c r="D532" i="2"/>
  <c r="L531" i="2"/>
  <c r="E531" i="2"/>
  <c r="D531" i="2"/>
  <c r="L530" i="2"/>
  <c r="E530" i="2"/>
  <c r="D530" i="2"/>
  <c r="L529" i="2"/>
  <c r="E529" i="2"/>
  <c r="D529" i="2"/>
  <c r="L528" i="2"/>
  <c r="E528" i="2"/>
  <c r="D528" i="2"/>
  <c r="L527" i="2"/>
  <c r="E527" i="2"/>
  <c r="D527" i="2"/>
  <c r="L526" i="2"/>
  <c r="E526" i="2"/>
  <c r="D526" i="2"/>
  <c r="L525" i="2"/>
  <c r="E525" i="2"/>
  <c r="D525" i="2"/>
  <c r="L524" i="2"/>
  <c r="E524" i="2"/>
  <c r="D524" i="2"/>
  <c r="L523" i="2"/>
  <c r="E523" i="2"/>
  <c r="D523" i="2"/>
  <c r="L522" i="2"/>
  <c r="E522" i="2"/>
  <c r="D522" i="2"/>
  <c r="X521" i="2"/>
  <c r="L521" i="2"/>
  <c r="E521" i="2"/>
  <c r="D521" i="2"/>
  <c r="X520" i="2"/>
  <c r="L520" i="2"/>
  <c r="E520" i="2"/>
  <c r="D520" i="2"/>
  <c r="X519" i="2"/>
  <c r="L519" i="2"/>
  <c r="E519" i="2"/>
  <c r="D519" i="2"/>
  <c r="X518" i="2"/>
  <c r="L518" i="2"/>
  <c r="E518" i="2"/>
  <c r="D518" i="2"/>
  <c r="X517" i="2"/>
  <c r="L517" i="2"/>
  <c r="E517" i="2"/>
  <c r="D517" i="2"/>
  <c r="X516" i="2"/>
  <c r="L516" i="2"/>
  <c r="E516" i="2"/>
  <c r="D516" i="2"/>
  <c r="X515" i="2"/>
  <c r="L515" i="2"/>
  <c r="E515" i="2"/>
  <c r="D515" i="2"/>
  <c r="X514" i="2"/>
  <c r="L514" i="2"/>
  <c r="E514" i="2"/>
  <c r="D514" i="2"/>
  <c r="X513" i="2"/>
  <c r="L513" i="2"/>
  <c r="E513" i="2"/>
  <c r="D513" i="2"/>
  <c r="X512" i="2"/>
  <c r="L512" i="2"/>
  <c r="E512" i="2"/>
  <c r="D512" i="2"/>
  <c r="X511" i="2"/>
  <c r="L511" i="2"/>
  <c r="E511" i="2"/>
  <c r="D511" i="2"/>
  <c r="X510" i="2"/>
  <c r="L510" i="2"/>
  <c r="E510" i="2"/>
  <c r="D510" i="2"/>
  <c r="X509" i="2"/>
  <c r="L509" i="2"/>
  <c r="E509" i="2"/>
  <c r="D509" i="2"/>
  <c r="X508" i="2"/>
  <c r="L508" i="2"/>
  <c r="E508" i="2"/>
  <c r="D508" i="2"/>
  <c r="X507" i="2"/>
  <c r="L507" i="2"/>
  <c r="E507" i="2"/>
  <c r="D507" i="2"/>
  <c r="X506" i="2"/>
  <c r="L506" i="2"/>
  <c r="E506" i="2"/>
  <c r="D506" i="2"/>
  <c r="X505" i="2"/>
  <c r="L505" i="2"/>
  <c r="E505" i="2"/>
  <c r="D505" i="2"/>
  <c r="X504" i="2"/>
  <c r="L504" i="2"/>
  <c r="E504" i="2"/>
  <c r="D504" i="2"/>
  <c r="X503" i="2"/>
  <c r="L503" i="2"/>
  <c r="E503" i="2"/>
  <c r="D503" i="2"/>
  <c r="X502" i="2"/>
  <c r="L502" i="2"/>
  <c r="E502" i="2"/>
  <c r="D502" i="2"/>
  <c r="X501" i="2"/>
  <c r="L501" i="2"/>
  <c r="E501" i="2"/>
  <c r="D501" i="2"/>
  <c r="X500" i="2"/>
  <c r="L500" i="2"/>
  <c r="E500" i="2"/>
  <c r="D500" i="2"/>
  <c r="X499" i="2"/>
  <c r="L499" i="2"/>
  <c r="E499" i="2"/>
  <c r="D499" i="2"/>
  <c r="X498" i="2"/>
  <c r="L498" i="2"/>
  <c r="E498" i="2"/>
  <c r="D498" i="2"/>
  <c r="X497" i="2"/>
  <c r="L497" i="2"/>
  <c r="E497" i="2"/>
  <c r="D497" i="2"/>
  <c r="X496" i="2"/>
  <c r="L496" i="2"/>
  <c r="E496" i="2"/>
  <c r="D496" i="2"/>
  <c r="X495" i="2"/>
  <c r="L495" i="2"/>
  <c r="E495" i="2"/>
  <c r="D495" i="2"/>
  <c r="X494" i="2"/>
  <c r="L494" i="2"/>
  <c r="E494" i="2"/>
  <c r="D494" i="2"/>
  <c r="X493" i="2"/>
  <c r="L493" i="2"/>
  <c r="E493" i="2"/>
  <c r="D493" i="2"/>
  <c r="X492" i="2"/>
  <c r="L492" i="2"/>
  <c r="E492" i="2"/>
  <c r="D492" i="2"/>
  <c r="X491" i="2"/>
  <c r="L491" i="2"/>
  <c r="E491" i="2"/>
  <c r="D491" i="2"/>
  <c r="X490" i="2"/>
  <c r="L490" i="2"/>
  <c r="E490" i="2"/>
  <c r="D490" i="2"/>
  <c r="X489" i="2"/>
  <c r="L489" i="2"/>
  <c r="E489" i="2"/>
  <c r="D489" i="2"/>
  <c r="X488" i="2"/>
  <c r="L488" i="2"/>
  <c r="E488" i="2"/>
  <c r="D488" i="2"/>
  <c r="X487" i="2"/>
  <c r="L487" i="2"/>
  <c r="E487" i="2"/>
  <c r="D487" i="2"/>
  <c r="X486" i="2"/>
  <c r="L486" i="2"/>
  <c r="E486" i="2"/>
  <c r="D486" i="2"/>
  <c r="X485" i="2"/>
  <c r="L485" i="2"/>
  <c r="E485" i="2"/>
  <c r="D485" i="2"/>
  <c r="X484" i="2"/>
  <c r="L484" i="2"/>
  <c r="E484" i="2"/>
  <c r="D484" i="2"/>
  <c r="X483" i="2"/>
  <c r="L483" i="2"/>
  <c r="E483" i="2"/>
  <c r="D483" i="2"/>
  <c r="X482" i="2"/>
  <c r="L482" i="2"/>
  <c r="E482" i="2"/>
  <c r="D482" i="2"/>
  <c r="X481" i="2"/>
  <c r="L481" i="2"/>
  <c r="E481" i="2"/>
  <c r="D481" i="2"/>
  <c r="X480" i="2"/>
  <c r="L480" i="2"/>
  <c r="E480" i="2"/>
  <c r="D480" i="2"/>
  <c r="X479" i="2"/>
  <c r="L479" i="2"/>
  <c r="E479" i="2"/>
  <c r="D479" i="2"/>
  <c r="X478" i="2"/>
  <c r="L478" i="2"/>
  <c r="E478" i="2"/>
  <c r="D478" i="2"/>
  <c r="X477" i="2"/>
  <c r="L477" i="2"/>
  <c r="E477" i="2"/>
  <c r="D477" i="2"/>
  <c r="X476" i="2"/>
  <c r="L476" i="2"/>
  <c r="E476" i="2"/>
  <c r="D476" i="2"/>
  <c r="X475" i="2"/>
  <c r="L475" i="2"/>
  <c r="E475" i="2"/>
  <c r="D475" i="2"/>
  <c r="X474" i="2"/>
  <c r="L474" i="2"/>
  <c r="E474" i="2"/>
  <c r="D474" i="2"/>
  <c r="X473" i="2"/>
  <c r="L473" i="2"/>
  <c r="E473" i="2"/>
  <c r="D473" i="2"/>
  <c r="X472" i="2"/>
  <c r="L472" i="2"/>
  <c r="E472" i="2"/>
  <c r="D472" i="2"/>
  <c r="X471" i="2"/>
  <c r="L471" i="2"/>
  <c r="E471" i="2"/>
  <c r="D471" i="2"/>
  <c r="X470" i="2"/>
  <c r="L470" i="2"/>
  <c r="E470" i="2"/>
  <c r="D470" i="2"/>
  <c r="X469" i="2"/>
  <c r="L469" i="2"/>
  <c r="E469" i="2"/>
  <c r="D469" i="2"/>
  <c r="X468" i="2"/>
  <c r="L468" i="2"/>
  <c r="E468" i="2"/>
  <c r="D468" i="2"/>
  <c r="X467" i="2"/>
  <c r="L467" i="2"/>
  <c r="E467" i="2"/>
  <c r="D467" i="2"/>
  <c r="X466" i="2"/>
  <c r="L466" i="2"/>
  <c r="E466" i="2"/>
  <c r="D466" i="2"/>
  <c r="X465" i="2"/>
  <c r="L465" i="2"/>
  <c r="E465" i="2"/>
  <c r="D465" i="2"/>
  <c r="X464" i="2"/>
  <c r="L464" i="2"/>
  <c r="E464" i="2"/>
  <c r="D464" i="2"/>
  <c r="X463" i="2"/>
  <c r="L463" i="2"/>
  <c r="E463" i="2"/>
  <c r="D463" i="2"/>
  <c r="X462" i="2"/>
  <c r="L462" i="2"/>
  <c r="E462" i="2"/>
  <c r="D462" i="2"/>
  <c r="X461" i="2"/>
  <c r="L461" i="2"/>
  <c r="E461" i="2"/>
  <c r="D461" i="2"/>
  <c r="X460" i="2"/>
  <c r="L460" i="2"/>
  <c r="E460" i="2"/>
  <c r="D460" i="2"/>
  <c r="X459" i="2"/>
  <c r="L459" i="2"/>
  <c r="E459" i="2"/>
  <c r="D459" i="2"/>
  <c r="X458" i="2"/>
  <c r="L458" i="2"/>
  <c r="E458" i="2"/>
  <c r="D458" i="2"/>
  <c r="X457" i="2"/>
  <c r="L457" i="2"/>
  <c r="E457" i="2"/>
  <c r="D457" i="2"/>
  <c r="X456" i="2"/>
  <c r="L456" i="2"/>
  <c r="E456" i="2"/>
  <c r="D456" i="2"/>
  <c r="X455" i="2"/>
  <c r="L455" i="2"/>
  <c r="E455" i="2"/>
  <c r="D455" i="2"/>
  <c r="X454" i="2"/>
  <c r="L454" i="2"/>
  <c r="E454" i="2"/>
  <c r="D454" i="2"/>
  <c r="X453" i="2"/>
  <c r="L453" i="2"/>
  <c r="E453" i="2"/>
  <c r="D453" i="2"/>
  <c r="X452" i="2"/>
  <c r="L452" i="2"/>
  <c r="E452" i="2"/>
  <c r="D452" i="2"/>
  <c r="X451" i="2"/>
  <c r="L451" i="2"/>
  <c r="E451" i="2"/>
  <c r="D451" i="2"/>
  <c r="X450" i="2"/>
  <c r="L450" i="2"/>
  <c r="E450" i="2"/>
  <c r="D450" i="2"/>
  <c r="X449" i="2"/>
  <c r="L449" i="2"/>
  <c r="E449" i="2"/>
  <c r="D449" i="2"/>
  <c r="X448" i="2"/>
  <c r="L448" i="2"/>
  <c r="E448" i="2"/>
  <c r="D448" i="2"/>
  <c r="X447" i="2"/>
  <c r="L447" i="2"/>
  <c r="E447" i="2"/>
  <c r="D447" i="2"/>
  <c r="X446" i="2"/>
  <c r="L446" i="2"/>
  <c r="E446" i="2"/>
  <c r="D446" i="2"/>
  <c r="X445" i="2"/>
  <c r="L445" i="2"/>
  <c r="E445" i="2"/>
  <c r="D445" i="2"/>
  <c r="X444" i="2"/>
  <c r="L444" i="2"/>
  <c r="E444" i="2"/>
  <c r="D444" i="2"/>
  <c r="X443" i="2"/>
  <c r="L443" i="2"/>
  <c r="E443" i="2"/>
  <c r="D443" i="2"/>
  <c r="X442" i="2"/>
  <c r="L442" i="2"/>
  <c r="E442" i="2"/>
  <c r="D442" i="2"/>
  <c r="X441" i="2"/>
  <c r="L441" i="2"/>
  <c r="E441" i="2"/>
  <c r="D441" i="2"/>
  <c r="X440" i="2"/>
  <c r="L440" i="2"/>
  <c r="E440" i="2"/>
  <c r="D440" i="2"/>
  <c r="X439" i="2"/>
  <c r="L439" i="2"/>
  <c r="E439" i="2"/>
  <c r="D439" i="2"/>
  <c r="X438" i="2"/>
  <c r="L438" i="2"/>
  <c r="E438" i="2"/>
  <c r="D438" i="2"/>
  <c r="X437" i="2"/>
  <c r="L437" i="2"/>
  <c r="E437" i="2"/>
  <c r="D437" i="2"/>
  <c r="X436" i="2"/>
  <c r="L436" i="2"/>
  <c r="E436" i="2"/>
  <c r="D436" i="2"/>
  <c r="X435" i="2"/>
  <c r="L435" i="2"/>
  <c r="E435" i="2"/>
  <c r="D435" i="2"/>
  <c r="X434" i="2"/>
  <c r="L434" i="2"/>
  <c r="E434" i="2"/>
  <c r="D434" i="2"/>
  <c r="X433" i="2"/>
  <c r="L433" i="2"/>
  <c r="E433" i="2"/>
  <c r="D433" i="2"/>
  <c r="X432" i="2"/>
  <c r="L432" i="2"/>
  <c r="E432" i="2"/>
  <c r="D432" i="2"/>
  <c r="X431" i="2"/>
  <c r="L431" i="2"/>
  <c r="E431" i="2"/>
  <c r="D431" i="2"/>
  <c r="X430" i="2"/>
  <c r="L430" i="2"/>
  <c r="E430" i="2"/>
  <c r="D430" i="2"/>
  <c r="X429" i="2"/>
  <c r="L429" i="2"/>
  <c r="E429" i="2"/>
  <c r="D429" i="2"/>
  <c r="X428" i="2"/>
  <c r="L428" i="2"/>
  <c r="E428" i="2"/>
  <c r="D428" i="2"/>
  <c r="X427" i="2"/>
  <c r="L427" i="2"/>
  <c r="E427" i="2"/>
  <c r="D427" i="2"/>
  <c r="X426" i="2"/>
  <c r="L426" i="2"/>
  <c r="E426" i="2"/>
  <c r="D426" i="2"/>
  <c r="X425" i="2"/>
  <c r="L425" i="2"/>
  <c r="E425" i="2"/>
  <c r="D425" i="2"/>
  <c r="X424" i="2"/>
  <c r="L424" i="2"/>
  <c r="E424" i="2"/>
  <c r="D424" i="2"/>
  <c r="X423" i="2"/>
  <c r="L423" i="2"/>
  <c r="E423" i="2"/>
  <c r="D423" i="2"/>
  <c r="X422" i="2"/>
  <c r="L422" i="2"/>
  <c r="E422" i="2"/>
  <c r="D422" i="2"/>
  <c r="X421" i="2"/>
  <c r="L421" i="2"/>
  <c r="E421" i="2"/>
  <c r="D421" i="2"/>
  <c r="X420" i="2"/>
  <c r="L420" i="2"/>
  <c r="E420" i="2"/>
  <c r="D420" i="2"/>
  <c r="X419" i="2"/>
  <c r="L419" i="2"/>
  <c r="E419" i="2"/>
  <c r="D419" i="2"/>
  <c r="X418" i="2"/>
  <c r="L418" i="2"/>
  <c r="E418" i="2"/>
  <c r="D418" i="2"/>
  <c r="X417" i="2"/>
  <c r="L417" i="2"/>
  <c r="E417" i="2"/>
  <c r="D417" i="2"/>
  <c r="X416" i="2"/>
  <c r="L416" i="2"/>
  <c r="E416" i="2"/>
  <c r="D416" i="2"/>
  <c r="X415" i="2"/>
  <c r="L415" i="2"/>
  <c r="E415" i="2"/>
  <c r="D415" i="2"/>
  <c r="X414" i="2"/>
  <c r="L414" i="2"/>
  <c r="E414" i="2"/>
  <c r="D414" i="2"/>
  <c r="X413" i="2"/>
  <c r="L413" i="2"/>
  <c r="E413" i="2"/>
  <c r="D413" i="2"/>
  <c r="X412" i="2"/>
  <c r="L412" i="2"/>
  <c r="E412" i="2"/>
  <c r="D412" i="2"/>
  <c r="X411" i="2"/>
  <c r="L411" i="2"/>
  <c r="E411" i="2"/>
  <c r="D411" i="2"/>
  <c r="X410" i="2"/>
  <c r="L410" i="2"/>
  <c r="E410" i="2"/>
  <c r="D410" i="2"/>
  <c r="X409" i="2"/>
  <c r="L409" i="2"/>
  <c r="E409" i="2"/>
  <c r="D409" i="2"/>
  <c r="X408" i="2"/>
  <c r="L408" i="2"/>
  <c r="E408" i="2"/>
  <c r="D408" i="2"/>
  <c r="X407" i="2"/>
  <c r="L407" i="2"/>
  <c r="E407" i="2"/>
  <c r="D407" i="2"/>
  <c r="X406" i="2"/>
  <c r="L406" i="2"/>
  <c r="E406" i="2"/>
  <c r="D406" i="2"/>
  <c r="X405" i="2"/>
  <c r="L405" i="2"/>
  <c r="E405" i="2"/>
  <c r="D405" i="2"/>
  <c r="X404" i="2"/>
  <c r="L404" i="2"/>
  <c r="E404" i="2"/>
  <c r="D404" i="2"/>
  <c r="X403" i="2"/>
  <c r="L403" i="2"/>
  <c r="E403" i="2"/>
  <c r="D403" i="2"/>
  <c r="X402" i="2"/>
  <c r="L402" i="2"/>
  <c r="E402" i="2"/>
  <c r="D402" i="2"/>
  <c r="L401" i="2"/>
  <c r="E401" i="2"/>
  <c r="D401" i="2"/>
  <c r="X400" i="2"/>
  <c r="L400" i="2"/>
  <c r="E400" i="2"/>
  <c r="D400" i="2"/>
  <c r="X399" i="2"/>
  <c r="L399" i="2"/>
  <c r="E399" i="2"/>
  <c r="D399" i="2"/>
  <c r="X398" i="2"/>
  <c r="L398" i="2"/>
  <c r="E398" i="2"/>
  <c r="D398" i="2"/>
  <c r="X397" i="2"/>
  <c r="L397" i="2"/>
  <c r="E397" i="2"/>
  <c r="D397" i="2"/>
  <c r="L396" i="2"/>
  <c r="E396" i="2"/>
  <c r="D396" i="2"/>
  <c r="X395" i="2"/>
  <c r="L395" i="2"/>
  <c r="E395" i="2"/>
  <c r="D395" i="2"/>
  <c r="X394" i="2"/>
  <c r="L394" i="2"/>
  <c r="E394" i="2"/>
  <c r="D394" i="2"/>
  <c r="X393" i="2"/>
  <c r="L393" i="2"/>
  <c r="E393" i="2"/>
  <c r="D393" i="2"/>
  <c r="X392" i="2"/>
  <c r="L392" i="2"/>
  <c r="E392" i="2"/>
  <c r="D392" i="2"/>
  <c r="X391" i="2"/>
  <c r="L391" i="2"/>
  <c r="E391" i="2"/>
  <c r="D391" i="2"/>
  <c r="X390" i="2"/>
  <c r="L390" i="2"/>
  <c r="E390" i="2"/>
  <c r="D390" i="2"/>
  <c r="X389" i="2"/>
  <c r="L389" i="2"/>
  <c r="E389" i="2"/>
  <c r="D389" i="2"/>
  <c r="X388" i="2"/>
  <c r="L388" i="2"/>
  <c r="E388" i="2"/>
  <c r="D388" i="2"/>
  <c r="X387" i="2"/>
  <c r="L387" i="2"/>
  <c r="E387" i="2"/>
  <c r="D387" i="2"/>
  <c r="X386" i="2"/>
  <c r="L386" i="2"/>
  <c r="E386" i="2"/>
  <c r="D386" i="2"/>
  <c r="X385" i="2"/>
  <c r="L385" i="2"/>
  <c r="E385" i="2"/>
  <c r="D385" i="2"/>
  <c r="X384" i="2"/>
  <c r="L384" i="2"/>
  <c r="E384" i="2"/>
  <c r="D384" i="2"/>
  <c r="X383" i="2"/>
  <c r="L383" i="2"/>
  <c r="E383" i="2"/>
  <c r="D383" i="2"/>
  <c r="X382" i="2"/>
  <c r="L382" i="2"/>
  <c r="E382" i="2"/>
  <c r="D382" i="2"/>
  <c r="X381" i="2"/>
  <c r="L381" i="2"/>
  <c r="E381" i="2"/>
  <c r="D381" i="2"/>
  <c r="X380" i="2"/>
  <c r="L380" i="2"/>
  <c r="E380" i="2"/>
  <c r="D380" i="2"/>
  <c r="X379" i="2"/>
  <c r="L379" i="2"/>
  <c r="E379" i="2"/>
  <c r="D379" i="2"/>
  <c r="X378" i="2"/>
  <c r="L378" i="2"/>
  <c r="E378" i="2"/>
  <c r="D378" i="2"/>
  <c r="X377" i="2"/>
  <c r="L377" i="2"/>
  <c r="E377" i="2"/>
  <c r="D377" i="2"/>
  <c r="X376" i="2"/>
  <c r="L376" i="2"/>
  <c r="E376" i="2"/>
  <c r="D376" i="2"/>
  <c r="X375" i="2"/>
  <c r="L375" i="2"/>
  <c r="E375" i="2"/>
  <c r="D375" i="2"/>
  <c r="X374" i="2"/>
  <c r="L374" i="2"/>
  <c r="E374" i="2"/>
  <c r="D374" i="2"/>
  <c r="X373" i="2"/>
  <c r="L373" i="2"/>
  <c r="E373" i="2"/>
  <c r="D373" i="2"/>
  <c r="X372" i="2"/>
  <c r="L372" i="2"/>
  <c r="E372" i="2"/>
  <c r="D372" i="2"/>
  <c r="X371" i="2"/>
  <c r="L371" i="2"/>
  <c r="E371" i="2"/>
  <c r="D371" i="2"/>
  <c r="X370" i="2"/>
  <c r="L370" i="2"/>
  <c r="E370" i="2"/>
  <c r="D370" i="2"/>
  <c r="X369" i="2"/>
  <c r="L369" i="2"/>
  <c r="E369" i="2"/>
  <c r="D369" i="2"/>
  <c r="X368" i="2"/>
  <c r="L368" i="2"/>
  <c r="E368" i="2"/>
  <c r="D368" i="2"/>
  <c r="X367" i="2"/>
  <c r="L367" i="2"/>
  <c r="E367" i="2"/>
  <c r="D367" i="2"/>
  <c r="X366" i="2"/>
  <c r="L366" i="2"/>
  <c r="E366" i="2"/>
  <c r="D366" i="2"/>
  <c r="X365" i="2"/>
  <c r="L365" i="2"/>
  <c r="E365" i="2"/>
  <c r="D365" i="2"/>
  <c r="X364" i="2"/>
  <c r="L364" i="2"/>
  <c r="E364" i="2"/>
  <c r="D364" i="2"/>
  <c r="X363" i="2"/>
  <c r="L363" i="2"/>
  <c r="E363" i="2"/>
  <c r="D363" i="2"/>
  <c r="X362" i="2"/>
  <c r="L362" i="2"/>
  <c r="E362" i="2"/>
  <c r="D362" i="2"/>
  <c r="X361" i="2"/>
  <c r="L361" i="2"/>
  <c r="E361" i="2"/>
  <c r="D361" i="2"/>
  <c r="X360" i="2"/>
  <c r="L360" i="2"/>
  <c r="E360" i="2"/>
  <c r="D360" i="2"/>
  <c r="X359" i="2"/>
  <c r="L359" i="2"/>
  <c r="E359" i="2"/>
  <c r="D359" i="2"/>
  <c r="X358" i="2"/>
  <c r="L358" i="2"/>
  <c r="E358" i="2"/>
  <c r="D358" i="2"/>
  <c r="X357" i="2"/>
  <c r="L357" i="2"/>
  <c r="E357" i="2"/>
  <c r="D357" i="2"/>
  <c r="X356" i="2"/>
  <c r="L356" i="2"/>
  <c r="E356" i="2"/>
  <c r="D356" i="2"/>
  <c r="X355" i="2"/>
  <c r="L355" i="2"/>
  <c r="E355" i="2"/>
  <c r="D355" i="2"/>
  <c r="X354" i="2"/>
  <c r="L354" i="2"/>
  <c r="E354" i="2"/>
  <c r="D354" i="2"/>
  <c r="X353" i="2"/>
  <c r="L353" i="2"/>
  <c r="E353" i="2"/>
  <c r="D353" i="2"/>
  <c r="X352" i="2"/>
  <c r="L352" i="2"/>
  <c r="E352" i="2"/>
  <c r="D352" i="2"/>
  <c r="X351" i="2"/>
  <c r="L351" i="2"/>
  <c r="E351" i="2"/>
  <c r="D351" i="2"/>
  <c r="X350" i="2"/>
  <c r="L350" i="2"/>
  <c r="E350" i="2"/>
  <c r="D350" i="2"/>
  <c r="X349" i="2"/>
  <c r="L349" i="2"/>
  <c r="E349" i="2"/>
  <c r="D349" i="2"/>
  <c r="X348" i="2"/>
  <c r="L348" i="2"/>
  <c r="E348" i="2"/>
  <c r="D348" i="2"/>
  <c r="X347" i="2"/>
  <c r="L347" i="2"/>
  <c r="E347" i="2"/>
  <c r="D347" i="2"/>
  <c r="X346" i="2"/>
  <c r="L346" i="2"/>
  <c r="E346" i="2"/>
  <c r="D346" i="2"/>
  <c r="X345" i="2"/>
  <c r="L345" i="2"/>
  <c r="E345" i="2"/>
  <c r="D345" i="2"/>
  <c r="X344" i="2"/>
  <c r="L344" i="2"/>
  <c r="E344" i="2"/>
  <c r="D344" i="2"/>
  <c r="X343" i="2"/>
  <c r="L343" i="2"/>
  <c r="E343" i="2"/>
  <c r="D343" i="2"/>
  <c r="X342" i="2"/>
  <c r="L342" i="2"/>
  <c r="E342" i="2"/>
  <c r="D342" i="2"/>
  <c r="X341" i="2"/>
  <c r="L341" i="2"/>
  <c r="E341" i="2"/>
  <c r="D341" i="2"/>
  <c r="X340" i="2"/>
  <c r="L340" i="2"/>
  <c r="E340" i="2"/>
  <c r="D340" i="2"/>
  <c r="X339" i="2"/>
  <c r="L339" i="2"/>
  <c r="E339" i="2"/>
  <c r="D339" i="2"/>
  <c r="X338" i="2"/>
  <c r="L338" i="2"/>
  <c r="E338" i="2"/>
  <c r="D338" i="2"/>
  <c r="X337" i="2"/>
  <c r="L337" i="2"/>
  <c r="E337" i="2"/>
  <c r="D337" i="2"/>
  <c r="X336" i="2"/>
  <c r="L336" i="2"/>
  <c r="E336" i="2"/>
  <c r="D336" i="2"/>
  <c r="X335" i="2"/>
  <c r="L335" i="2"/>
  <c r="E335" i="2"/>
  <c r="D335" i="2"/>
  <c r="X334" i="2"/>
  <c r="L334" i="2"/>
  <c r="E334" i="2"/>
  <c r="D334" i="2"/>
  <c r="X333" i="2"/>
  <c r="L333" i="2"/>
  <c r="E333" i="2"/>
  <c r="D333" i="2"/>
  <c r="X332" i="2"/>
  <c r="L332" i="2"/>
  <c r="E332" i="2"/>
  <c r="D332" i="2"/>
  <c r="X331" i="2"/>
  <c r="L331" i="2"/>
  <c r="E331" i="2"/>
  <c r="D331" i="2"/>
  <c r="X330" i="2"/>
  <c r="L330" i="2"/>
  <c r="E330" i="2"/>
  <c r="D330" i="2"/>
  <c r="X329" i="2"/>
  <c r="L329" i="2"/>
  <c r="E329" i="2"/>
  <c r="D329" i="2"/>
  <c r="X328" i="2"/>
  <c r="L328" i="2"/>
  <c r="E328" i="2"/>
  <c r="D328" i="2"/>
  <c r="X327" i="2"/>
  <c r="L327" i="2"/>
  <c r="E327" i="2"/>
  <c r="D327" i="2"/>
  <c r="X326" i="2"/>
  <c r="L326" i="2"/>
  <c r="E326" i="2"/>
  <c r="D326" i="2"/>
  <c r="X325" i="2"/>
  <c r="L325" i="2"/>
  <c r="E325" i="2"/>
  <c r="D325" i="2"/>
  <c r="X324" i="2"/>
  <c r="L324" i="2"/>
  <c r="E324" i="2"/>
  <c r="D324" i="2"/>
  <c r="X323" i="2"/>
  <c r="L323" i="2"/>
  <c r="E323" i="2"/>
  <c r="D323" i="2"/>
  <c r="X322" i="2"/>
  <c r="L322" i="2"/>
  <c r="E322" i="2"/>
  <c r="D322" i="2"/>
  <c r="X321" i="2"/>
  <c r="L321" i="2"/>
  <c r="E321" i="2"/>
  <c r="D321" i="2"/>
  <c r="X320" i="2"/>
  <c r="L320" i="2"/>
  <c r="E320" i="2"/>
  <c r="D320" i="2"/>
  <c r="X319" i="2"/>
  <c r="L319" i="2"/>
  <c r="E319" i="2"/>
  <c r="D319" i="2"/>
  <c r="X318" i="2"/>
  <c r="L318" i="2"/>
  <c r="E318" i="2"/>
  <c r="D318" i="2"/>
  <c r="X317" i="2"/>
  <c r="L317" i="2"/>
  <c r="E317" i="2"/>
  <c r="D317" i="2"/>
  <c r="X316" i="2"/>
  <c r="L316" i="2"/>
  <c r="E316" i="2"/>
  <c r="D316" i="2"/>
  <c r="X315" i="2"/>
  <c r="L315" i="2"/>
  <c r="E315" i="2"/>
  <c r="D315" i="2"/>
  <c r="X314" i="2"/>
  <c r="L314" i="2"/>
  <c r="E314" i="2"/>
  <c r="D314" i="2"/>
  <c r="X313" i="2"/>
  <c r="L313" i="2"/>
  <c r="E313" i="2"/>
  <c r="D313" i="2"/>
  <c r="X312" i="2"/>
  <c r="L312" i="2"/>
  <c r="E312" i="2"/>
  <c r="D312" i="2"/>
  <c r="X311" i="2"/>
  <c r="L311" i="2"/>
  <c r="E311" i="2"/>
  <c r="D311" i="2"/>
  <c r="X310" i="2"/>
  <c r="L310" i="2"/>
  <c r="E310" i="2"/>
  <c r="D310" i="2"/>
  <c r="X309" i="2"/>
  <c r="L309" i="2"/>
  <c r="E309" i="2"/>
  <c r="D309" i="2"/>
  <c r="X308" i="2"/>
  <c r="L308" i="2"/>
  <c r="E308" i="2"/>
  <c r="D308" i="2"/>
  <c r="X307" i="2"/>
  <c r="L307" i="2"/>
  <c r="E307" i="2"/>
  <c r="D307" i="2"/>
  <c r="X306" i="2"/>
  <c r="L306" i="2"/>
  <c r="E306" i="2"/>
  <c r="D306" i="2"/>
  <c r="X305" i="2"/>
  <c r="L305" i="2"/>
  <c r="E305" i="2"/>
  <c r="D305" i="2"/>
  <c r="X304" i="2"/>
  <c r="L304" i="2"/>
  <c r="E304" i="2"/>
  <c r="D304" i="2"/>
  <c r="X303" i="2"/>
  <c r="L303" i="2"/>
  <c r="E303" i="2"/>
  <c r="D303" i="2"/>
  <c r="X302" i="2"/>
  <c r="L302" i="2"/>
  <c r="E302" i="2"/>
  <c r="D302" i="2"/>
  <c r="X301" i="2"/>
  <c r="L301" i="2"/>
  <c r="E301" i="2"/>
  <c r="D301" i="2"/>
  <c r="X300" i="2"/>
  <c r="L300" i="2"/>
  <c r="E300" i="2"/>
  <c r="D300" i="2"/>
  <c r="X299" i="2"/>
  <c r="L299" i="2"/>
  <c r="E299" i="2"/>
  <c r="D299" i="2"/>
  <c r="X298" i="2"/>
  <c r="L298" i="2"/>
  <c r="E298" i="2"/>
  <c r="D298" i="2"/>
  <c r="X297" i="2"/>
  <c r="L297" i="2"/>
  <c r="E297" i="2"/>
  <c r="D297" i="2"/>
  <c r="X296" i="2"/>
  <c r="L296" i="2"/>
  <c r="E296" i="2"/>
  <c r="D296" i="2"/>
  <c r="X295" i="2"/>
  <c r="L295" i="2"/>
  <c r="E295" i="2"/>
  <c r="D295" i="2"/>
  <c r="X294" i="2"/>
  <c r="L294" i="2"/>
  <c r="E294" i="2"/>
  <c r="D294" i="2"/>
  <c r="X293" i="2"/>
  <c r="L293" i="2"/>
  <c r="E293" i="2"/>
  <c r="D293" i="2"/>
  <c r="X292" i="2"/>
  <c r="L292" i="2"/>
  <c r="E292" i="2"/>
  <c r="D292" i="2"/>
  <c r="X291" i="2"/>
  <c r="L291" i="2"/>
  <c r="E291" i="2"/>
  <c r="D291" i="2"/>
  <c r="X290" i="2"/>
  <c r="L290" i="2"/>
  <c r="E290" i="2"/>
  <c r="D290" i="2"/>
  <c r="X289" i="2"/>
  <c r="L289" i="2"/>
  <c r="E289" i="2"/>
  <c r="D289" i="2"/>
  <c r="X288" i="2"/>
  <c r="L288" i="2"/>
  <c r="E288" i="2"/>
  <c r="D288" i="2"/>
  <c r="X287" i="2"/>
  <c r="L287" i="2"/>
  <c r="E287" i="2"/>
  <c r="D287" i="2"/>
  <c r="X286" i="2"/>
  <c r="L286" i="2"/>
  <c r="E286" i="2"/>
  <c r="D286" i="2"/>
  <c r="X285" i="2"/>
  <c r="L285" i="2"/>
  <c r="E285" i="2"/>
  <c r="D285" i="2"/>
  <c r="X284" i="2"/>
  <c r="L284" i="2"/>
  <c r="E284" i="2"/>
  <c r="D284" i="2"/>
  <c r="X283" i="2"/>
  <c r="L283" i="2"/>
  <c r="E283" i="2"/>
  <c r="D283" i="2"/>
  <c r="X282" i="2"/>
  <c r="L282" i="2"/>
  <c r="E282" i="2"/>
  <c r="D282" i="2"/>
  <c r="X281" i="2"/>
  <c r="L281" i="2"/>
  <c r="E281" i="2"/>
  <c r="D281" i="2"/>
  <c r="X280" i="2"/>
  <c r="L280" i="2"/>
  <c r="E280" i="2"/>
  <c r="D280" i="2"/>
  <c r="X279" i="2"/>
  <c r="L279" i="2"/>
  <c r="E279" i="2"/>
  <c r="D279" i="2"/>
  <c r="X278" i="2"/>
  <c r="L278" i="2"/>
  <c r="E278" i="2"/>
  <c r="D278" i="2"/>
  <c r="X277" i="2"/>
  <c r="L277" i="2"/>
  <c r="E277" i="2"/>
  <c r="D277" i="2"/>
  <c r="X276" i="2"/>
  <c r="L276" i="2"/>
  <c r="E276" i="2"/>
  <c r="D276" i="2"/>
  <c r="X275" i="2"/>
  <c r="L275" i="2"/>
  <c r="E275" i="2"/>
  <c r="D275" i="2"/>
  <c r="X274" i="2"/>
  <c r="L274" i="2"/>
  <c r="E274" i="2"/>
  <c r="D274" i="2"/>
  <c r="X273" i="2"/>
  <c r="L273" i="2"/>
  <c r="E273" i="2"/>
  <c r="D273" i="2"/>
  <c r="X272" i="2"/>
  <c r="L272" i="2"/>
  <c r="E272" i="2"/>
  <c r="D272" i="2"/>
  <c r="X271" i="2"/>
  <c r="L271" i="2"/>
  <c r="E271" i="2"/>
  <c r="D271" i="2"/>
  <c r="X270" i="2"/>
  <c r="L270" i="2"/>
  <c r="E270" i="2"/>
  <c r="D270" i="2"/>
  <c r="X269" i="2"/>
  <c r="L269" i="2"/>
  <c r="E269" i="2"/>
  <c r="D269" i="2"/>
  <c r="X268" i="2"/>
  <c r="L268" i="2"/>
  <c r="E268" i="2"/>
  <c r="D268" i="2"/>
  <c r="X267" i="2"/>
  <c r="L267" i="2"/>
  <c r="E267" i="2"/>
  <c r="D267" i="2"/>
  <c r="X266" i="2"/>
  <c r="L266" i="2"/>
  <c r="E266" i="2"/>
  <c r="D266" i="2"/>
  <c r="X265" i="2"/>
  <c r="L265" i="2"/>
  <c r="E265" i="2"/>
  <c r="D265" i="2"/>
  <c r="X264" i="2"/>
  <c r="L264" i="2"/>
  <c r="E264" i="2"/>
  <c r="D264" i="2"/>
  <c r="X263" i="2"/>
  <c r="L263" i="2"/>
  <c r="E263" i="2"/>
  <c r="D263" i="2"/>
  <c r="X262" i="2"/>
  <c r="L262" i="2"/>
  <c r="E262" i="2"/>
  <c r="D262" i="2"/>
  <c r="X261" i="2"/>
  <c r="L261" i="2"/>
  <c r="E261" i="2"/>
  <c r="D261" i="2"/>
  <c r="X260" i="2"/>
  <c r="L260" i="2"/>
  <c r="E260" i="2"/>
  <c r="D260" i="2"/>
  <c r="X259" i="2"/>
  <c r="L259" i="2"/>
  <c r="E259" i="2"/>
  <c r="D259" i="2"/>
  <c r="X258" i="2"/>
  <c r="L258" i="2"/>
  <c r="E258" i="2"/>
  <c r="D258" i="2"/>
  <c r="X257" i="2"/>
  <c r="L257" i="2"/>
  <c r="E257" i="2"/>
  <c r="D257" i="2"/>
  <c r="X256" i="2"/>
  <c r="L256" i="2"/>
  <c r="E256" i="2"/>
  <c r="D256" i="2"/>
  <c r="X255" i="2"/>
  <c r="L255" i="2"/>
  <c r="E255" i="2"/>
  <c r="D255" i="2"/>
  <c r="X254" i="2"/>
  <c r="L254" i="2"/>
  <c r="E254" i="2"/>
  <c r="D254" i="2"/>
  <c r="X253" i="2"/>
  <c r="L253" i="2"/>
  <c r="E253" i="2"/>
  <c r="D253" i="2"/>
  <c r="X252" i="2"/>
  <c r="L252" i="2"/>
  <c r="E252" i="2"/>
  <c r="D252" i="2"/>
  <c r="X251" i="2"/>
  <c r="L251" i="2"/>
  <c r="E251" i="2"/>
  <c r="D251" i="2"/>
  <c r="X250" i="2"/>
  <c r="L250" i="2"/>
  <c r="E250" i="2"/>
  <c r="D250" i="2"/>
  <c r="X249" i="2"/>
  <c r="L249" i="2"/>
  <c r="E249" i="2"/>
  <c r="D249" i="2"/>
  <c r="X248" i="2"/>
  <c r="L248" i="2"/>
  <c r="E248" i="2"/>
  <c r="D248" i="2"/>
  <c r="X247" i="2"/>
  <c r="L247" i="2"/>
  <c r="E247" i="2"/>
  <c r="D247" i="2"/>
  <c r="X246" i="2"/>
  <c r="L246" i="2"/>
  <c r="E246" i="2"/>
  <c r="D246" i="2"/>
  <c r="X245" i="2"/>
  <c r="L245" i="2"/>
  <c r="E245" i="2"/>
  <c r="D245" i="2"/>
  <c r="X244" i="2"/>
  <c r="L244" i="2"/>
  <c r="E244" i="2"/>
  <c r="D244" i="2"/>
  <c r="X243" i="2"/>
  <c r="L243" i="2"/>
  <c r="E243" i="2"/>
  <c r="D243" i="2"/>
  <c r="X242" i="2"/>
  <c r="L242" i="2"/>
  <c r="E242" i="2"/>
  <c r="D242" i="2"/>
  <c r="X241" i="2"/>
  <c r="L241" i="2"/>
  <c r="E241" i="2"/>
  <c r="D241" i="2"/>
  <c r="X240" i="2"/>
  <c r="L240" i="2"/>
  <c r="E240" i="2"/>
  <c r="D240" i="2"/>
  <c r="X239" i="2"/>
  <c r="L239" i="2"/>
  <c r="E239" i="2"/>
  <c r="D239" i="2"/>
  <c r="X238" i="2"/>
  <c r="L238" i="2"/>
  <c r="E238" i="2"/>
  <c r="D238" i="2"/>
  <c r="X237" i="2"/>
  <c r="L237" i="2"/>
  <c r="E237" i="2"/>
  <c r="D237" i="2"/>
  <c r="X236" i="2"/>
  <c r="L236" i="2"/>
  <c r="E236" i="2"/>
  <c r="D236" i="2"/>
  <c r="X235" i="2"/>
  <c r="L235" i="2"/>
  <c r="E235" i="2"/>
  <c r="D235" i="2"/>
  <c r="X234" i="2"/>
  <c r="L234" i="2"/>
  <c r="E234" i="2"/>
  <c r="D234" i="2"/>
  <c r="X233" i="2"/>
  <c r="L233" i="2"/>
  <c r="E233" i="2"/>
  <c r="D233" i="2"/>
  <c r="X232" i="2"/>
  <c r="L232" i="2"/>
  <c r="E232" i="2"/>
  <c r="D232" i="2"/>
  <c r="X231" i="2"/>
  <c r="L231" i="2"/>
  <c r="E231" i="2"/>
  <c r="D231" i="2"/>
  <c r="X230" i="2"/>
  <c r="L230" i="2"/>
  <c r="E230" i="2"/>
  <c r="D230" i="2"/>
  <c r="X229" i="2"/>
  <c r="L229" i="2"/>
  <c r="E229" i="2"/>
  <c r="D229" i="2"/>
  <c r="X228" i="2"/>
  <c r="L228" i="2"/>
  <c r="E228" i="2"/>
  <c r="D228" i="2"/>
  <c r="X227" i="2"/>
  <c r="L227" i="2"/>
  <c r="E227" i="2"/>
  <c r="D227" i="2"/>
  <c r="X226" i="2"/>
  <c r="L226" i="2"/>
  <c r="E226" i="2"/>
  <c r="D226" i="2"/>
  <c r="X225" i="2"/>
  <c r="L225" i="2"/>
  <c r="E225" i="2"/>
  <c r="D225" i="2"/>
  <c r="X224" i="2"/>
  <c r="L224" i="2"/>
  <c r="E224" i="2"/>
  <c r="D224" i="2"/>
  <c r="X223" i="2"/>
  <c r="L223" i="2"/>
  <c r="E223" i="2"/>
  <c r="D223" i="2"/>
  <c r="X222" i="2"/>
  <c r="L222" i="2"/>
  <c r="E222" i="2"/>
  <c r="D222" i="2"/>
  <c r="X221" i="2"/>
  <c r="L221" i="2"/>
  <c r="E221" i="2"/>
  <c r="D221" i="2"/>
  <c r="X220" i="2"/>
  <c r="L220" i="2"/>
  <c r="E220" i="2"/>
  <c r="D220" i="2"/>
  <c r="X219" i="2"/>
  <c r="L219" i="2"/>
  <c r="E219" i="2"/>
  <c r="D219" i="2"/>
  <c r="X218" i="2"/>
  <c r="L218" i="2"/>
  <c r="E218" i="2"/>
  <c r="D218" i="2"/>
  <c r="X217" i="2"/>
  <c r="L217" i="2"/>
  <c r="E217" i="2"/>
  <c r="D217" i="2"/>
  <c r="X216" i="2"/>
  <c r="L216" i="2"/>
  <c r="E216" i="2"/>
  <c r="D216" i="2"/>
  <c r="X215" i="2"/>
  <c r="L215" i="2"/>
  <c r="E215" i="2"/>
  <c r="D215" i="2"/>
  <c r="X214" i="2"/>
  <c r="L214" i="2"/>
  <c r="E214" i="2"/>
  <c r="D214" i="2"/>
  <c r="X213" i="2"/>
  <c r="L213" i="2"/>
  <c r="E213" i="2"/>
  <c r="D213" i="2"/>
  <c r="X212" i="2"/>
  <c r="L212" i="2"/>
  <c r="E212" i="2"/>
  <c r="D212" i="2"/>
  <c r="X211" i="2"/>
  <c r="L211" i="2"/>
  <c r="E211" i="2"/>
  <c r="D211" i="2"/>
  <c r="X210" i="2"/>
  <c r="L210" i="2"/>
  <c r="E210" i="2"/>
  <c r="D210" i="2"/>
  <c r="X209" i="2"/>
  <c r="L209" i="2"/>
  <c r="E209" i="2"/>
  <c r="D209" i="2"/>
  <c r="X208" i="2"/>
  <c r="L208" i="2"/>
  <c r="E208" i="2"/>
  <c r="D208" i="2"/>
  <c r="X207" i="2"/>
  <c r="L207" i="2"/>
  <c r="E207" i="2"/>
  <c r="D207" i="2"/>
  <c r="X206" i="2"/>
  <c r="L206" i="2"/>
  <c r="E206" i="2"/>
  <c r="D206" i="2"/>
  <c r="X205" i="2"/>
  <c r="L205" i="2"/>
  <c r="E205" i="2"/>
  <c r="D205" i="2"/>
  <c r="X204" i="2"/>
  <c r="L204" i="2"/>
  <c r="E204" i="2"/>
  <c r="D204" i="2"/>
  <c r="X203" i="2"/>
  <c r="L203" i="2"/>
  <c r="E203" i="2"/>
  <c r="D203" i="2"/>
  <c r="X202" i="2"/>
  <c r="L202" i="2"/>
  <c r="E202" i="2"/>
  <c r="D202" i="2"/>
  <c r="X201" i="2"/>
  <c r="L201" i="2"/>
  <c r="E201" i="2"/>
  <c r="D201" i="2"/>
  <c r="X200" i="2"/>
  <c r="L200" i="2"/>
  <c r="E200" i="2"/>
  <c r="D200" i="2"/>
  <c r="X199" i="2"/>
  <c r="L199" i="2"/>
  <c r="E199" i="2"/>
  <c r="D199" i="2"/>
  <c r="X198" i="2"/>
  <c r="L198" i="2"/>
  <c r="E198" i="2"/>
  <c r="D198" i="2"/>
  <c r="X197" i="2"/>
  <c r="L197" i="2"/>
  <c r="E197" i="2"/>
  <c r="D197" i="2"/>
  <c r="X196" i="2"/>
  <c r="L196" i="2"/>
  <c r="E196" i="2"/>
  <c r="D196" i="2"/>
  <c r="X195" i="2"/>
  <c r="L195" i="2"/>
  <c r="E195" i="2"/>
  <c r="D195" i="2"/>
  <c r="X194" i="2"/>
  <c r="L194" i="2"/>
  <c r="E194" i="2"/>
  <c r="D194" i="2"/>
  <c r="X193" i="2"/>
  <c r="L193" i="2"/>
  <c r="E193" i="2"/>
  <c r="D193" i="2"/>
  <c r="X192" i="2"/>
  <c r="L192" i="2"/>
  <c r="E192" i="2"/>
  <c r="D192" i="2"/>
  <c r="X191" i="2"/>
  <c r="L191" i="2"/>
  <c r="E191" i="2"/>
  <c r="D191" i="2"/>
  <c r="X190" i="2"/>
  <c r="L190" i="2"/>
  <c r="E190" i="2"/>
  <c r="D190" i="2"/>
  <c r="X189" i="2"/>
  <c r="L189" i="2"/>
  <c r="E189" i="2"/>
  <c r="D189" i="2"/>
  <c r="X188" i="2"/>
  <c r="L188" i="2"/>
  <c r="E188" i="2"/>
  <c r="D188" i="2"/>
  <c r="X187" i="2"/>
  <c r="L187" i="2"/>
  <c r="E187" i="2"/>
  <c r="D187" i="2"/>
  <c r="X186" i="2"/>
  <c r="L186" i="2"/>
  <c r="E186" i="2"/>
  <c r="D186" i="2"/>
  <c r="X185" i="2"/>
  <c r="L185" i="2"/>
  <c r="E185" i="2"/>
  <c r="D185" i="2"/>
  <c r="X184" i="2"/>
  <c r="L184" i="2"/>
  <c r="E184" i="2"/>
  <c r="D184" i="2"/>
  <c r="X183" i="2"/>
  <c r="L183" i="2"/>
  <c r="E183" i="2"/>
  <c r="D183" i="2"/>
  <c r="X182" i="2"/>
  <c r="L182" i="2"/>
  <c r="E182" i="2"/>
  <c r="D182" i="2"/>
  <c r="X181" i="2"/>
  <c r="L181" i="2"/>
  <c r="E181" i="2"/>
  <c r="D181" i="2"/>
  <c r="X180" i="2"/>
  <c r="L180" i="2"/>
  <c r="E180" i="2"/>
  <c r="D180" i="2"/>
  <c r="X179" i="2"/>
  <c r="L179" i="2"/>
  <c r="E179" i="2"/>
  <c r="D179" i="2"/>
  <c r="X178" i="2"/>
  <c r="L178" i="2"/>
  <c r="E178" i="2"/>
  <c r="D178" i="2"/>
  <c r="X177" i="2"/>
  <c r="L177" i="2"/>
  <c r="E177" i="2"/>
  <c r="D177" i="2"/>
  <c r="X176" i="2"/>
  <c r="L176" i="2"/>
  <c r="E176" i="2"/>
  <c r="D176" i="2"/>
  <c r="X175" i="2"/>
  <c r="L175" i="2"/>
  <c r="E175" i="2"/>
  <c r="D175" i="2"/>
  <c r="X174" i="2"/>
  <c r="L174" i="2"/>
  <c r="E174" i="2"/>
  <c r="D174" i="2"/>
  <c r="X173" i="2"/>
  <c r="L173" i="2"/>
  <c r="E173" i="2"/>
  <c r="D173" i="2"/>
  <c r="X172" i="2"/>
  <c r="L172" i="2"/>
  <c r="E172" i="2"/>
  <c r="D172" i="2"/>
  <c r="X171" i="2"/>
  <c r="L171" i="2"/>
  <c r="E171" i="2"/>
  <c r="D171" i="2"/>
  <c r="X170" i="2"/>
  <c r="L170" i="2"/>
  <c r="E170" i="2"/>
  <c r="D170" i="2"/>
  <c r="X169" i="2"/>
  <c r="L169" i="2"/>
  <c r="E169" i="2"/>
  <c r="D169" i="2"/>
  <c r="X168" i="2"/>
  <c r="L168" i="2"/>
  <c r="E168" i="2"/>
  <c r="D168" i="2"/>
  <c r="X167" i="2"/>
  <c r="L167" i="2"/>
  <c r="E167" i="2"/>
  <c r="D167" i="2"/>
  <c r="X166" i="2"/>
  <c r="L166" i="2"/>
  <c r="E166" i="2"/>
  <c r="D166" i="2"/>
  <c r="X165" i="2"/>
  <c r="L165" i="2"/>
  <c r="E165" i="2"/>
  <c r="D165" i="2"/>
  <c r="X164" i="2"/>
  <c r="L164" i="2"/>
  <c r="E164" i="2"/>
  <c r="D164" i="2"/>
  <c r="X163" i="2"/>
  <c r="L163" i="2"/>
  <c r="E163" i="2"/>
  <c r="D163" i="2"/>
  <c r="X162" i="2"/>
  <c r="L162" i="2"/>
  <c r="E162" i="2"/>
  <c r="D162" i="2"/>
  <c r="X161" i="2"/>
  <c r="L161" i="2"/>
  <c r="E161" i="2"/>
  <c r="D161" i="2"/>
  <c r="X160" i="2"/>
  <c r="L160" i="2"/>
  <c r="E160" i="2"/>
  <c r="D160" i="2"/>
  <c r="X159" i="2"/>
  <c r="L159" i="2"/>
  <c r="E159" i="2"/>
  <c r="D159" i="2"/>
  <c r="X158" i="2"/>
  <c r="L158" i="2"/>
  <c r="E158" i="2"/>
  <c r="D158" i="2"/>
  <c r="X157" i="2"/>
  <c r="L157" i="2"/>
  <c r="E157" i="2"/>
  <c r="D157" i="2"/>
  <c r="X156" i="2"/>
  <c r="L156" i="2"/>
  <c r="E156" i="2"/>
  <c r="D156" i="2"/>
  <c r="X155" i="2"/>
  <c r="L155" i="2"/>
  <c r="E155" i="2"/>
  <c r="D155" i="2"/>
  <c r="X154" i="2"/>
  <c r="L154" i="2"/>
  <c r="E154" i="2"/>
  <c r="D154" i="2"/>
  <c r="X153" i="2"/>
  <c r="L153" i="2"/>
  <c r="E153" i="2"/>
  <c r="D153" i="2"/>
  <c r="X152" i="2"/>
  <c r="L152" i="2"/>
  <c r="E152" i="2"/>
  <c r="D152" i="2"/>
  <c r="X151" i="2"/>
  <c r="L151" i="2"/>
  <c r="E151" i="2"/>
  <c r="D151" i="2"/>
  <c r="X150" i="2"/>
  <c r="L150" i="2"/>
  <c r="E150" i="2"/>
  <c r="D150" i="2"/>
  <c r="X149" i="2"/>
  <c r="L149" i="2"/>
  <c r="E149" i="2"/>
  <c r="D149" i="2"/>
  <c r="X148" i="2"/>
  <c r="L148" i="2"/>
  <c r="E148" i="2"/>
  <c r="D148" i="2"/>
  <c r="X147" i="2"/>
  <c r="L147" i="2"/>
  <c r="E147" i="2"/>
  <c r="D147" i="2"/>
  <c r="X146" i="2"/>
  <c r="L146" i="2"/>
  <c r="E146" i="2"/>
  <c r="D146" i="2"/>
  <c r="X145" i="2"/>
  <c r="L145" i="2"/>
  <c r="E145" i="2"/>
  <c r="D145" i="2"/>
  <c r="X144" i="2"/>
  <c r="L144" i="2"/>
  <c r="E144" i="2"/>
  <c r="D144" i="2"/>
  <c r="X143" i="2"/>
  <c r="L143" i="2"/>
  <c r="E143" i="2"/>
  <c r="D143" i="2"/>
  <c r="X142" i="2"/>
  <c r="L142" i="2"/>
  <c r="E142" i="2"/>
  <c r="D142" i="2"/>
  <c r="X141" i="2"/>
  <c r="L141" i="2"/>
  <c r="E141" i="2"/>
  <c r="D141" i="2"/>
  <c r="X140" i="2"/>
  <c r="L140" i="2"/>
  <c r="E140" i="2"/>
  <c r="D140" i="2"/>
  <c r="X139" i="2"/>
  <c r="L139" i="2"/>
  <c r="E139" i="2"/>
  <c r="D139" i="2"/>
  <c r="X138" i="2"/>
  <c r="L138" i="2"/>
  <c r="E138" i="2"/>
  <c r="D138" i="2"/>
  <c r="X137" i="2"/>
  <c r="L137" i="2"/>
  <c r="E137" i="2"/>
  <c r="D137" i="2"/>
  <c r="X136" i="2"/>
  <c r="L136" i="2"/>
  <c r="E136" i="2"/>
  <c r="D136" i="2"/>
  <c r="X135" i="2"/>
  <c r="L135" i="2"/>
  <c r="E135" i="2"/>
  <c r="D135" i="2"/>
  <c r="X134" i="2"/>
  <c r="L134" i="2"/>
  <c r="E134" i="2"/>
  <c r="D134" i="2"/>
  <c r="X133" i="2"/>
  <c r="L133" i="2"/>
  <c r="E133" i="2"/>
  <c r="D133" i="2"/>
  <c r="X132" i="2"/>
  <c r="L132" i="2"/>
  <c r="E132" i="2"/>
  <c r="D132" i="2"/>
  <c r="X131" i="2"/>
  <c r="L131" i="2"/>
  <c r="E131" i="2"/>
  <c r="D131" i="2"/>
  <c r="X130" i="2"/>
  <c r="L130" i="2"/>
  <c r="E130" i="2"/>
  <c r="D130" i="2"/>
  <c r="X129" i="2"/>
  <c r="L129" i="2"/>
  <c r="E129" i="2"/>
  <c r="D129" i="2"/>
  <c r="X128" i="2"/>
  <c r="L128" i="2"/>
  <c r="E128" i="2"/>
  <c r="D128" i="2"/>
  <c r="X127" i="2"/>
  <c r="L127" i="2"/>
  <c r="E127" i="2"/>
  <c r="D127" i="2"/>
  <c r="X126" i="2"/>
  <c r="L126" i="2"/>
  <c r="E126" i="2"/>
  <c r="D126" i="2"/>
  <c r="X125" i="2"/>
  <c r="L125" i="2"/>
  <c r="E125" i="2"/>
  <c r="D125" i="2"/>
  <c r="X124" i="2"/>
  <c r="L124" i="2"/>
  <c r="E124" i="2"/>
  <c r="D124" i="2"/>
  <c r="X123" i="2"/>
  <c r="L123" i="2"/>
  <c r="E123" i="2"/>
  <c r="D123" i="2"/>
  <c r="X122" i="2"/>
  <c r="L122" i="2"/>
  <c r="E122" i="2"/>
  <c r="D122" i="2"/>
  <c r="X121" i="2"/>
  <c r="L121" i="2"/>
  <c r="E121" i="2"/>
  <c r="D121" i="2"/>
  <c r="X120" i="2"/>
  <c r="L120" i="2"/>
  <c r="E120" i="2"/>
  <c r="D120" i="2"/>
  <c r="X119" i="2"/>
  <c r="L119" i="2"/>
  <c r="E119" i="2"/>
  <c r="D119" i="2"/>
  <c r="X118" i="2"/>
  <c r="L118" i="2"/>
  <c r="E118" i="2"/>
  <c r="D118" i="2"/>
  <c r="X117" i="2"/>
  <c r="L117" i="2"/>
  <c r="E117" i="2"/>
  <c r="D117" i="2"/>
  <c r="X116" i="2"/>
  <c r="L116" i="2"/>
  <c r="E116" i="2"/>
  <c r="D116" i="2"/>
  <c r="X115" i="2"/>
  <c r="L115" i="2"/>
  <c r="E115" i="2"/>
  <c r="D115" i="2"/>
  <c r="X114" i="2"/>
  <c r="L114" i="2"/>
  <c r="E114" i="2"/>
  <c r="D114" i="2"/>
  <c r="X113" i="2"/>
  <c r="L113" i="2"/>
  <c r="E113" i="2"/>
  <c r="D113" i="2"/>
  <c r="X112" i="2"/>
  <c r="L112" i="2"/>
  <c r="E112" i="2"/>
  <c r="D112" i="2"/>
  <c r="X111" i="2"/>
  <c r="L111" i="2"/>
  <c r="E111" i="2"/>
  <c r="D111" i="2"/>
  <c r="X110" i="2"/>
  <c r="L110" i="2"/>
  <c r="E110" i="2"/>
  <c r="D110" i="2"/>
  <c r="X109" i="2"/>
  <c r="L109" i="2"/>
  <c r="E109" i="2"/>
  <c r="D109" i="2"/>
  <c r="X108" i="2"/>
  <c r="L108" i="2"/>
  <c r="E108" i="2"/>
  <c r="D108" i="2"/>
  <c r="X107" i="2"/>
  <c r="L107" i="2"/>
  <c r="E107" i="2"/>
  <c r="D107" i="2"/>
  <c r="X106" i="2"/>
  <c r="L106" i="2"/>
  <c r="E106" i="2"/>
  <c r="D106" i="2"/>
  <c r="X105" i="2"/>
  <c r="L105" i="2"/>
  <c r="E105" i="2"/>
  <c r="D105" i="2"/>
  <c r="X104" i="2"/>
  <c r="L104" i="2"/>
  <c r="E104" i="2"/>
  <c r="D104" i="2"/>
  <c r="X103" i="2"/>
  <c r="L103" i="2"/>
  <c r="E103" i="2"/>
  <c r="D103" i="2"/>
  <c r="X102" i="2"/>
  <c r="L102" i="2"/>
  <c r="E102" i="2"/>
  <c r="D102" i="2"/>
  <c r="X101" i="2"/>
  <c r="L101" i="2"/>
  <c r="E101" i="2"/>
  <c r="D101" i="2"/>
  <c r="X100" i="2"/>
  <c r="L100" i="2"/>
  <c r="E100" i="2"/>
  <c r="D100" i="2"/>
  <c r="X99" i="2"/>
  <c r="L99" i="2"/>
  <c r="E99" i="2"/>
  <c r="D99" i="2"/>
  <c r="X98" i="2"/>
  <c r="L98" i="2"/>
  <c r="E98" i="2"/>
  <c r="D98" i="2"/>
  <c r="X97" i="2"/>
  <c r="L97" i="2"/>
  <c r="E97" i="2"/>
  <c r="D97" i="2"/>
  <c r="X96" i="2"/>
  <c r="L96" i="2"/>
  <c r="E96" i="2"/>
  <c r="D96" i="2"/>
  <c r="X95" i="2"/>
  <c r="L95" i="2"/>
  <c r="E95" i="2"/>
  <c r="D95" i="2"/>
  <c r="X94" i="2"/>
  <c r="L94" i="2"/>
  <c r="E94" i="2"/>
  <c r="D94" i="2"/>
  <c r="X93" i="2"/>
  <c r="L93" i="2"/>
  <c r="E93" i="2"/>
  <c r="D93" i="2"/>
  <c r="X92" i="2"/>
  <c r="L92" i="2"/>
  <c r="E92" i="2"/>
  <c r="D92" i="2"/>
  <c r="X91" i="2"/>
  <c r="L91" i="2"/>
  <c r="E91" i="2"/>
  <c r="D91" i="2"/>
  <c r="X90" i="2"/>
  <c r="L90" i="2"/>
  <c r="E90" i="2"/>
  <c r="D90" i="2"/>
  <c r="X89" i="2"/>
  <c r="L89" i="2"/>
  <c r="E89" i="2"/>
  <c r="D89" i="2"/>
  <c r="X88" i="2"/>
  <c r="L88" i="2"/>
  <c r="E88" i="2"/>
  <c r="D88" i="2"/>
  <c r="X87" i="2"/>
  <c r="L87" i="2"/>
  <c r="E87" i="2"/>
  <c r="D87" i="2"/>
  <c r="X86" i="2"/>
  <c r="L86" i="2"/>
  <c r="E86" i="2"/>
  <c r="D86" i="2"/>
  <c r="X85" i="2"/>
  <c r="L85" i="2"/>
  <c r="E85" i="2"/>
  <c r="D85" i="2"/>
  <c r="X84" i="2"/>
  <c r="L84" i="2"/>
  <c r="E84" i="2"/>
  <c r="D84" i="2"/>
  <c r="X83" i="2"/>
  <c r="L83" i="2"/>
  <c r="E83" i="2"/>
  <c r="D83" i="2"/>
  <c r="X82" i="2"/>
  <c r="L82" i="2"/>
  <c r="E82" i="2"/>
  <c r="D82" i="2"/>
  <c r="X81" i="2"/>
  <c r="L81" i="2"/>
  <c r="E81" i="2"/>
  <c r="D81" i="2"/>
  <c r="X80" i="2"/>
  <c r="L80" i="2"/>
  <c r="E80" i="2"/>
  <c r="D80" i="2"/>
  <c r="X79" i="2"/>
  <c r="L79" i="2"/>
  <c r="E79" i="2"/>
  <c r="D79" i="2"/>
  <c r="X78" i="2"/>
  <c r="L78" i="2"/>
  <c r="E78" i="2"/>
  <c r="D78" i="2"/>
  <c r="X77" i="2"/>
  <c r="L77" i="2"/>
  <c r="E77" i="2"/>
  <c r="D77" i="2"/>
  <c r="X76" i="2"/>
  <c r="L76" i="2"/>
  <c r="E76" i="2"/>
  <c r="D76" i="2"/>
  <c r="X75" i="2"/>
  <c r="L75" i="2"/>
  <c r="E75" i="2"/>
  <c r="D75" i="2"/>
  <c r="X74" i="2"/>
  <c r="L74" i="2"/>
  <c r="E74" i="2"/>
  <c r="D74" i="2"/>
  <c r="X73" i="2"/>
  <c r="L73" i="2"/>
  <c r="E73" i="2"/>
  <c r="D73" i="2"/>
  <c r="X72" i="2"/>
  <c r="L72" i="2"/>
  <c r="E72" i="2"/>
  <c r="D72" i="2"/>
  <c r="X71" i="2"/>
  <c r="L71" i="2"/>
  <c r="E71" i="2"/>
  <c r="D71" i="2"/>
  <c r="X70" i="2"/>
  <c r="L70" i="2"/>
  <c r="E70" i="2"/>
  <c r="D70" i="2"/>
  <c r="X69" i="2"/>
  <c r="L69" i="2"/>
  <c r="E69" i="2"/>
  <c r="D69" i="2"/>
  <c r="X68" i="2"/>
  <c r="L68" i="2"/>
  <c r="E68" i="2"/>
  <c r="D68" i="2"/>
  <c r="X67" i="2"/>
  <c r="L67" i="2"/>
  <c r="E67" i="2"/>
  <c r="D67" i="2"/>
  <c r="X66" i="2"/>
  <c r="L66" i="2"/>
  <c r="E66" i="2"/>
  <c r="D66" i="2"/>
  <c r="X65" i="2"/>
  <c r="L65" i="2"/>
  <c r="E65" i="2"/>
  <c r="D65" i="2"/>
  <c r="X64" i="2"/>
  <c r="L64" i="2"/>
  <c r="E64" i="2"/>
  <c r="D64" i="2"/>
  <c r="X63" i="2"/>
  <c r="L63" i="2"/>
  <c r="E63" i="2"/>
  <c r="D63" i="2"/>
  <c r="X62" i="2"/>
  <c r="L62" i="2"/>
  <c r="E62" i="2"/>
  <c r="D62" i="2"/>
  <c r="X61" i="2"/>
  <c r="L61" i="2"/>
  <c r="E61" i="2"/>
  <c r="D61" i="2"/>
  <c r="X60" i="2"/>
  <c r="L60" i="2"/>
  <c r="E60" i="2"/>
  <c r="D60" i="2"/>
  <c r="X59" i="2"/>
  <c r="L59" i="2"/>
  <c r="E59" i="2"/>
  <c r="D59" i="2"/>
  <c r="X58" i="2"/>
  <c r="L58" i="2"/>
  <c r="E58" i="2"/>
  <c r="D58" i="2"/>
  <c r="X57" i="2"/>
  <c r="L57" i="2"/>
  <c r="E57" i="2"/>
  <c r="D57" i="2"/>
  <c r="X56" i="2"/>
  <c r="L56" i="2"/>
  <c r="E56" i="2"/>
  <c r="D56" i="2"/>
  <c r="X55" i="2"/>
  <c r="L55" i="2"/>
  <c r="E55" i="2"/>
  <c r="D55" i="2"/>
  <c r="X54" i="2"/>
  <c r="L54" i="2"/>
  <c r="E54" i="2"/>
  <c r="D54" i="2"/>
  <c r="X53" i="2"/>
  <c r="L53" i="2"/>
  <c r="E53" i="2"/>
  <c r="D53" i="2"/>
  <c r="X52" i="2"/>
  <c r="L52" i="2"/>
  <c r="E52" i="2"/>
  <c r="D52" i="2"/>
  <c r="X51" i="2"/>
  <c r="L51" i="2"/>
  <c r="E51" i="2"/>
  <c r="D51" i="2"/>
  <c r="X50" i="2"/>
  <c r="L50" i="2"/>
  <c r="E50" i="2"/>
  <c r="D50" i="2"/>
  <c r="X49" i="2"/>
  <c r="L49" i="2"/>
  <c r="E49" i="2"/>
  <c r="D49" i="2"/>
  <c r="X48" i="2"/>
  <c r="L48" i="2"/>
  <c r="E48" i="2"/>
  <c r="D48" i="2"/>
  <c r="X47" i="2"/>
  <c r="L47" i="2"/>
  <c r="E47" i="2"/>
  <c r="D47" i="2"/>
  <c r="X46" i="2"/>
  <c r="L46" i="2"/>
  <c r="E46" i="2"/>
  <c r="D46" i="2"/>
  <c r="X45" i="2"/>
  <c r="L45" i="2"/>
  <c r="E45" i="2"/>
  <c r="D45" i="2"/>
  <c r="X44" i="2"/>
  <c r="L44" i="2"/>
  <c r="E44" i="2"/>
  <c r="D44" i="2"/>
  <c r="X43" i="2"/>
  <c r="L43" i="2"/>
  <c r="E43" i="2"/>
  <c r="D43" i="2"/>
  <c r="X42" i="2"/>
  <c r="L42" i="2"/>
  <c r="E42" i="2"/>
  <c r="D42" i="2"/>
  <c r="X41" i="2"/>
  <c r="L41" i="2"/>
  <c r="E41" i="2"/>
  <c r="D41" i="2"/>
  <c r="X40" i="2"/>
  <c r="L40" i="2"/>
  <c r="E40" i="2"/>
  <c r="D40" i="2"/>
  <c r="X39" i="2"/>
  <c r="L39" i="2"/>
  <c r="E39" i="2"/>
  <c r="D39" i="2"/>
  <c r="X38" i="2"/>
  <c r="L38" i="2"/>
  <c r="E38" i="2"/>
  <c r="D38" i="2"/>
  <c r="X37" i="2"/>
  <c r="L37" i="2"/>
  <c r="E37" i="2"/>
  <c r="D37" i="2"/>
  <c r="X36" i="2"/>
  <c r="L36" i="2"/>
  <c r="E36" i="2"/>
  <c r="D36" i="2"/>
  <c r="X35" i="2"/>
  <c r="L35" i="2"/>
  <c r="E35" i="2"/>
  <c r="D35" i="2"/>
  <c r="X34" i="2"/>
  <c r="L34" i="2"/>
  <c r="E34" i="2"/>
  <c r="D34" i="2"/>
  <c r="X33" i="2"/>
  <c r="L33" i="2"/>
  <c r="E33" i="2"/>
  <c r="D33" i="2"/>
  <c r="X32" i="2"/>
  <c r="L32" i="2"/>
  <c r="E32" i="2"/>
  <c r="D32" i="2"/>
  <c r="X31" i="2"/>
  <c r="L31" i="2"/>
  <c r="E31" i="2"/>
  <c r="D31" i="2"/>
  <c r="X30" i="2"/>
  <c r="L30" i="2"/>
  <c r="E30" i="2"/>
  <c r="D30" i="2"/>
  <c r="X29" i="2"/>
  <c r="L29" i="2"/>
  <c r="E29" i="2"/>
  <c r="D29" i="2"/>
  <c r="X28" i="2"/>
  <c r="L28" i="2"/>
  <c r="E28" i="2"/>
  <c r="D28" i="2"/>
  <c r="X27" i="2"/>
  <c r="L27" i="2"/>
  <c r="E27" i="2"/>
  <c r="D27" i="2"/>
  <c r="X26" i="2"/>
  <c r="L26" i="2"/>
  <c r="E26" i="2"/>
  <c r="D26" i="2"/>
  <c r="X25" i="2"/>
  <c r="L25" i="2"/>
  <c r="E25" i="2"/>
  <c r="D25" i="2"/>
  <c r="X24" i="2"/>
  <c r="L24" i="2"/>
  <c r="E24" i="2"/>
  <c r="D24" i="2"/>
  <c r="X23" i="2"/>
  <c r="L23" i="2"/>
  <c r="E23" i="2"/>
  <c r="D23" i="2"/>
  <c r="X22" i="2"/>
  <c r="L22" i="2"/>
  <c r="E22" i="2"/>
  <c r="D22" i="2"/>
  <c r="X21" i="2"/>
  <c r="L21" i="2"/>
  <c r="E21" i="2"/>
  <c r="D21" i="2"/>
  <c r="X20" i="2"/>
  <c r="L20" i="2"/>
  <c r="E20" i="2"/>
  <c r="D20" i="2"/>
  <c r="X19" i="2"/>
  <c r="L19" i="2"/>
  <c r="E19" i="2"/>
  <c r="D19" i="2"/>
  <c r="X18" i="2"/>
  <c r="L18" i="2"/>
  <c r="E18" i="2"/>
  <c r="D18" i="2"/>
  <c r="X17" i="2"/>
  <c r="L17" i="2"/>
  <c r="E17" i="2"/>
  <c r="D17" i="2"/>
  <c r="X16" i="2"/>
  <c r="L16" i="2"/>
  <c r="E16" i="2"/>
  <c r="D16" i="2"/>
  <c r="X15" i="2"/>
  <c r="L15" i="2"/>
  <c r="E15" i="2"/>
  <c r="D15" i="2"/>
  <c r="X14" i="2"/>
  <c r="L14" i="2"/>
  <c r="E14" i="2"/>
  <c r="D14" i="2"/>
  <c r="X13" i="2"/>
  <c r="L13" i="2"/>
  <c r="E13" i="2"/>
  <c r="D13" i="2"/>
  <c r="X12" i="2"/>
  <c r="L12" i="2"/>
  <c r="E12" i="2"/>
  <c r="D12" i="2"/>
  <c r="X11" i="2"/>
  <c r="L11" i="2"/>
  <c r="E11" i="2"/>
  <c r="D11" i="2"/>
  <c r="X10" i="2"/>
  <c r="L10" i="2"/>
  <c r="E10" i="2"/>
  <c r="D10" i="2"/>
  <c r="X9" i="2"/>
  <c r="L9" i="2"/>
  <c r="E9" i="2"/>
  <c r="D9" i="2"/>
  <c r="X8" i="2"/>
  <c r="L8" i="2"/>
  <c r="E8" i="2"/>
  <c r="D8" i="2"/>
  <c r="X7" i="2"/>
  <c r="L7" i="2"/>
  <c r="E7" i="2"/>
  <c r="D7" i="2"/>
  <c r="X6" i="2"/>
  <c r="L6" i="2"/>
  <c r="E6" i="2"/>
  <c r="D6" i="2"/>
  <c r="X5" i="2"/>
  <c r="L5" i="2"/>
  <c r="E5" i="2"/>
  <c r="D5" i="2"/>
  <c r="X4" i="2"/>
  <c r="L4" i="2"/>
  <c r="E4" i="2"/>
  <c r="D4" i="2"/>
  <c r="X3" i="2"/>
  <c r="L3" i="2"/>
  <c r="E3" i="2"/>
  <c r="D3" i="2"/>
  <c r="X2" i="2"/>
  <c r="L2" i="2"/>
  <c r="E2" i="2"/>
  <c r="D2" i="2"/>
</calcChain>
</file>

<file path=xl/comments1.xml><?xml version="1.0" encoding="utf-8"?>
<comments xmlns="http://schemas.openxmlformats.org/spreadsheetml/2006/main">
  <authors>
    <author>tc={AE82D9CD-3204-45DA-912C-4D890224F275}</author>
    <author>tc={6F657FD5-5233-4C5F-A857-ABEC1E744307}</author>
    <author>tc={5ABAACA4-5A61-4964-AB4D-9CD5B0E1CDEA}</author>
    <author>tc={14DD3582-EB03-4D05-AB8C-284A4871A28D}</author>
    <author>tc={4E9ED42C-6C1A-4764-BC5E-498E9E119DBC}</author>
    <author>tc={69F93083-6220-407C-AE95-8F8B2466CAE8}</author>
    <author>tc={079F842B-7248-45D7-BD0B-DAD052E6F235}</author>
    <author>tc={740075D5-8156-42AD-AF52-93D1D48BF920}</author>
    <author>tc={56C75A84-C1A2-4C44-8CDA-A81E336D1B1D}</author>
    <author>tc={4AD5CC21-BAB1-406E-9C71-311967C65BF9}</author>
    <author>tc={E2042A66-8E07-469C-B3DF-7F596AE2BF56}</author>
    <author>tc={2E578787-AD41-4E91-9D24-2F40EAA4375C}</author>
    <author>tc={753D6B9B-9A87-4BA9-9DC8-047A00107FC8}</author>
    <author>tc={40D3B9EB-C0BA-484A-8E55-4F3118CF02BA}</author>
  </authors>
  <commentList>
    <comment ref="AE5456" authorId="0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Valideringen säger att värdet är otillåtet eller misstänkt</t>
        </r>
      </text>
    </comment>
    <comment ref="Q5468" authorId="1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Otillåtet eller misstänkt</t>
        </r>
      </text>
    </comment>
    <comment ref="S5468" authorId="2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Otillåtet eller misstänkt</t>
        </r>
      </text>
    </comment>
    <comment ref="AE5468" authorId="3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Mätvärde otillåtet eller misstänkt</t>
        </r>
      </text>
    </comment>
    <comment ref="Q5469" authorId="4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Otillåtet eller misstänkt</t>
        </r>
      </text>
    </comment>
    <comment ref="S5469" authorId="5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Misstänkt eller otillåtet</t>
        </r>
      </text>
    </comment>
    <comment ref="Q5470" authorId="6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Otillåtet eller misstänkt</t>
        </r>
      </text>
    </comment>
    <comment ref="S5470" authorId="7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Otillåtet eller misstänkt</t>
        </r>
      </text>
    </comment>
    <comment ref="Q5471" authorId="8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Otillåtet eller misstänkt</t>
        </r>
      </text>
    </comment>
    <comment ref="S5471" authorId="9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Otillåtet eller misstänkt</t>
        </r>
      </text>
    </comment>
    <comment ref="Z5479" authorId="10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Otillåtet eller misstänkt</t>
        </r>
      </text>
    </comment>
    <comment ref="AK5479" authorId="11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Otillåtet eller misstänkt</t>
        </r>
      </text>
    </comment>
    <comment ref="Z5491" authorId="12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Otillåtet eller misstänkt</t>
        </r>
      </text>
    </comment>
    <comment ref="AK5491" authorId="13" shapeId="0">
      <text>
        <r>
          <rPr>
            <sz val="12"/>
            <color theme="1"/>
            <rFont val="Calibri"/>
            <family val="2"/>
            <scheme val="minor"/>
          </rPr>
          <t>[Trådad kommentar]
I din version av Excel kan du läsa den här trådade kommentaren, men eventuella ändringar i den tas bort om filen öppnas i en senare version av Excel. Läs mer: https://go.microsoft.com/fwlink/?linkid=870924
Kommentar:
    Otillåtet eller misstänkt</t>
        </r>
      </text>
    </comment>
  </commentList>
</comments>
</file>

<file path=xl/sharedStrings.xml><?xml version="1.0" encoding="utf-8"?>
<sst xmlns="http://schemas.openxmlformats.org/spreadsheetml/2006/main" count="29065" uniqueCount="1303">
  <si>
    <t>Provnummer</t>
  </si>
  <si>
    <t>Projekt</t>
  </si>
  <si>
    <t>Kund</t>
  </si>
  <si>
    <t>år</t>
  </si>
  <si>
    <t>månad</t>
  </si>
  <si>
    <t>säsong</t>
  </si>
  <si>
    <t>datum</t>
  </si>
  <si>
    <t>Lokalkoordinat x</t>
  </si>
  <si>
    <t>Lokalkoordinat y</t>
  </si>
  <si>
    <t>Vattendrag</t>
  </si>
  <si>
    <t>Provpunkt</t>
  </si>
  <si>
    <t>vattendrag provpunkt</t>
  </si>
  <si>
    <t>provdjup</t>
  </si>
  <si>
    <t>provdjup nedre</t>
  </si>
  <si>
    <t>provdjup övre</t>
  </si>
  <si>
    <t>Siktdjup (m)</t>
  </si>
  <si>
    <t>Temperatur (°C)</t>
  </si>
  <si>
    <t>Syrgas (mg/l)</t>
  </si>
  <si>
    <t>Syrgasmättnad (%)</t>
  </si>
  <si>
    <t>Konduktivitet (mS/m)</t>
  </si>
  <si>
    <t>Salinitet (‰)</t>
  </si>
  <si>
    <t>Alkalinitet (mekv/l)</t>
  </si>
  <si>
    <t>Ammoniumkväve (µg/l)</t>
  </si>
  <si>
    <t>Ammoniak (µg/l)</t>
  </si>
  <si>
    <t>Filtrerad, Abs (420 nm 5cm)</t>
  </si>
  <si>
    <t>Fosfatfosfor (µg/l)</t>
  </si>
  <si>
    <t>Grumlighet (FNU)</t>
  </si>
  <si>
    <t>Klorofyll a (µg/l)</t>
  </si>
  <si>
    <t>Nitrat+Nitritkväve (µg/l)</t>
  </si>
  <si>
    <t>pH (25°)</t>
  </si>
  <si>
    <t>Sulfid (mg/L)</t>
  </si>
  <si>
    <t>Suspenderat material (mg/L)</t>
  </si>
  <si>
    <t>Syrgas mg/l winkler (mg/L)</t>
  </si>
  <si>
    <t>TOC (mg/l)</t>
  </si>
  <si>
    <t>DOC (mg/l)</t>
  </si>
  <si>
    <t>Totalfosfor (µg/l)</t>
  </si>
  <si>
    <t>Totalkväve (µg/l)</t>
  </si>
  <si>
    <t>Ca (mg/l)</t>
  </si>
  <si>
    <t>Fe (mg/l)</t>
  </si>
  <si>
    <t>K (mg/l)</t>
  </si>
  <si>
    <t>Mg (mg/l)</t>
  </si>
  <si>
    <t>Cl (mg/l)</t>
  </si>
  <si>
    <t>Na (mg/l)</t>
  </si>
  <si>
    <t>SO4 (mg/l)</t>
  </si>
  <si>
    <t>Si (mg/l)</t>
  </si>
  <si>
    <t>Al (µg/l)</t>
  </si>
  <si>
    <t>As (µg/l)</t>
  </si>
  <si>
    <t>Ba (µg/l)</t>
  </si>
  <si>
    <t>Cd (µg/l)</t>
  </si>
  <si>
    <t>Co (µg/l)</t>
  </si>
  <si>
    <t>Cr (µg/l)</t>
  </si>
  <si>
    <t>Cu (µg/l)</t>
  </si>
  <si>
    <t>Hg (µg/l)</t>
  </si>
  <si>
    <t>Mn (µg/l)</t>
  </si>
  <si>
    <t>Mo (µg/l)</t>
  </si>
  <si>
    <t>Ni (µg/l)</t>
  </si>
  <si>
    <t>P (µg/l)</t>
  </si>
  <si>
    <t>Pb (µg/l)</t>
  </si>
  <si>
    <t>Sr (µg/l)</t>
  </si>
  <si>
    <t>V (µg/l)</t>
  </si>
  <si>
    <t>Zn (µg/l)</t>
  </si>
  <si>
    <t>U (µg/l)</t>
  </si>
  <si>
    <t>Al (µg/l) filtrerat</t>
  </si>
  <si>
    <t>Cd (µg/l) filtrerat</t>
  </si>
  <si>
    <t>Co (µg/l) filtrerat</t>
  </si>
  <si>
    <t>Cr (µg/l) filtrerat</t>
  </si>
  <si>
    <t>Cu (µg/l) filtrerat</t>
  </si>
  <si>
    <t>Mn (µg/l) filtrerat</t>
  </si>
  <si>
    <t>Ni (µg/l) filtrerat</t>
  </si>
  <si>
    <t>Pb (µg/l) filtrerat</t>
  </si>
  <si>
    <t>Zn (µg/l) filtrerat</t>
  </si>
  <si>
    <t>Ca (mg/l) filtrerat</t>
  </si>
  <si>
    <t>Mg (mg/l) filtrerat</t>
  </si>
  <si>
    <t>Cl (mg/l) filtrerat</t>
  </si>
  <si>
    <t>Fe (mg/l) filtrerat</t>
  </si>
  <si>
    <t>K (mg/l) filtrerat</t>
  </si>
  <si>
    <t>Na (mg/l) filtrerat</t>
  </si>
  <si>
    <t>Si (mg/l) filtrerat</t>
  </si>
  <si>
    <t>As (µg/l) filtrerat</t>
  </si>
  <si>
    <t>Ba (µg/l) filtrerat</t>
  </si>
  <si>
    <t>Hg (µg/l) filtrerat</t>
  </si>
  <si>
    <t>Mo (µg/l) filtrerat</t>
  </si>
  <si>
    <t>P (µg/l) filtrerat</t>
  </si>
  <si>
    <t>V (µg/l) filtrerat</t>
  </si>
  <si>
    <t>Sr (µg/l) filtrerat</t>
  </si>
  <si>
    <t>U (µg/l) filtrerat</t>
  </si>
  <si>
    <t>CaCO3 (mg/l) filtrerat</t>
  </si>
  <si>
    <t>naftalen (µg/l)</t>
  </si>
  <si>
    <t>acenaftylen (µg/l)</t>
  </si>
  <si>
    <t>acenaften (µg/l)</t>
  </si>
  <si>
    <t>fluoren (µg/l)</t>
  </si>
  <si>
    <t>fenantren (µg/l)</t>
  </si>
  <si>
    <t>antracen (µg/l)</t>
  </si>
  <si>
    <t>fluoranten (µg/l)</t>
  </si>
  <si>
    <t>pyren (µg/l)</t>
  </si>
  <si>
    <t>bens(a)antracen (µg/l)</t>
  </si>
  <si>
    <t>krysen (µg/l)</t>
  </si>
  <si>
    <t>bens(b)fluoranten (µg/l)</t>
  </si>
  <si>
    <t>bens(k)fluoranten (µg/l)</t>
  </si>
  <si>
    <t>summa 2 PAHer (1) (µg/l)</t>
  </si>
  <si>
    <t>bens(a)pyren (µg/l)</t>
  </si>
  <si>
    <t>dibenso(ah)antracen (µg/l)</t>
  </si>
  <si>
    <t>benso(ghi)perylen (µg/l)</t>
  </si>
  <si>
    <t>indeno(123cd)pyren (µg/l)</t>
  </si>
  <si>
    <t>summa 2 PAHer (2) (µg/l)</t>
  </si>
  <si>
    <t>PFOS perfluoroktansulfonat (ng/l)</t>
  </si>
  <si>
    <t>PFOA perfluoroktansyra (ng/l)</t>
  </si>
  <si>
    <t>6:2 FTS (Fluortelomer sulfonat) - (ng/l)</t>
  </si>
  <si>
    <t>PFBA (Perfluorbutansyra) - (ng/l)</t>
  </si>
  <si>
    <t>PFBS (Perfluorbutansulfonsyra) - (ng/l)</t>
  </si>
  <si>
    <t>PFDA (Perfluordekansyra) - (ng/l)</t>
  </si>
  <si>
    <t>PFHpA (Perfluorheptansyra) - (ng/l)</t>
  </si>
  <si>
    <t>PFHxA (Perfluorhexansyra) - (ng/l)</t>
  </si>
  <si>
    <t>PFHxS (Perfluorhexansulfonsyra) - (ng/l)</t>
  </si>
  <si>
    <t>PFNA (Perfluornonansyra) - (ng/l)</t>
  </si>
  <si>
    <t>PFPeA (Perfluorpentansyra) - (ng/l)</t>
  </si>
  <si>
    <t>Summa PFAS SLV 11 - (ng/l)</t>
  </si>
  <si>
    <t>Summa PFAS4 - (ng/l)</t>
  </si>
  <si>
    <t>alfa-HBCD - (ng/l)</t>
  </si>
  <si>
    <t>Beta-HBCD - (ng/l)</t>
  </si>
  <si>
    <t>gamma-HBCD - (ng/l)</t>
  </si>
  <si>
    <t>HBCD (total alfa, beta, gamma) - (ng/l)</t>
  </si>
  <si>
    <t>PBDE 100 - (ng/l)</t>
  </si>
  <si>
    <t>PBDE 119 - (ng/l)</t>
  </si>
  <si>
    <t>PBDE 126 - (ng/l)</t>
  </si>
  <si>
    <t>PBDE 138 - (ng/l)</t>
  </si>
  <si>
    <t>PBDE 153 - (ng/l)</t>
  </si>
  <si>
    <t>PBDE 154 - (ng/l)</t>
  </si>
  <si>
    <t>PBDE 156 - (ng/l)</t>
  </si>
  <si>
    <t>PBDE 17 - (ng/l)</t>
  </si>
  <si>
    <t>PBDE 183 - (ng/l)</t>
  </si>
  <si>
    <t>PBDE 184 - (ng/l)</t>
  </si>
  <si>
    <t>PBDE 191 - (ng/l)</t>
  </si>
  <si>
    <t>PBDE 196 - (ng/l)</t>
  </si>
  <si>
    <t>PBDE 197 - (ng/l)</t>
  </si>
  <si>
    <t>PBDE 206 - (ng/l)</t>
  </si>
  <si>
    <t>PBDE 207 - (ng/l)</t>
  </si>
  <si>
    <t>PBDE 209 (DekaBDE) - (ng/l)</t>
  </si>
  <si>
    <t>PBDE 28 - (ng/l)</t>
  </si>
  <si>
    <t>PBDE 47 - (ng/l)</t>
  </si>
  <si>
    <t>PBDE 49 - (ng/l)</t>
  </si>
  <si>
    <t>PBDE 66 - (ng/l)</t>
  </si>
  <si>
    <t>PBDE 71 - (ng/l)</t>
  </si>
  <si>
    <t>PBDE 77 - (ng/l)</t>
  </si>
  <si>
    <t>PBDE 85 - (ng/l)</t>
  </si>
  <si>
    <t>PBDE 99 - (ng/l)</t>
  </si>
  <si>
    <t>Summa av analyserade BDEer (exkl, LOQ) - (ng/l)</t>
  </si>
  <si>
    <t>Summa av analyserade BDEer (inkl, LOQ) - (ng/l)</t>
  </si>
  <si>
    <t>Summa av analyserade HeptaBDEer (exkl, LOQ)
 - (ng/l)</t>
  </si>
  <si>
    <t>Summa av analyserade HeptaBDEer (inkl, LOQ) - (ng/l)</t>
  </si>
  <si>
    <t>Summa av analyserade HexaBDEer (exkl, LOQ) - (ng/l)</t>
  </si>
  <si>
    <t>Summa av analyserade HexaBDEer (inkl, LOQ) - (ng/l)</t>
  </si>
  <si>
    <t>Summa av analyserade NonBDEer (exkl, LOQ) - (ng/l)</t>
  </si>
  <si>
    <t>Summa av analyserade NonBDEer (inkl, LOQ) - (ng/l)</t>
  </si>
  <si>
    <t>Summa av analyserade OktaBDEer (exkl, LOQ) - (ng/l)</t>
  </si>
  <si>
    <t>Summa av analyserade OktaBDEer (inkl, LOQ) - (ng/l)</t>
  </si>
  <si>
    <t>Summa av analyserade PentaBDEer (exkl, LOQ) - (ng/l)</t>
  </si>
  <si>
    <t>Summa av analyserade PentaBDEer (inkl, LOQ) - (ng/l)</t>
  </si>
  <si>
    <t>Summa av analyserade TetraBDEer (exkl, LOQ) - (ng/l)</t>
  </si>
  <si>
    <t>Summa av analyserade TetraBDEer (inkl, LOQ) - (ng/l)</t>
  </si>
  <si>
    <t>Summa av analyserade TriBDEer (exkl, LOQ) - (ng/l)</t>
  </si>
  <si>
    <t>Summa av analyserade TriBDEer (inkl, LOQ) - (ng/l)</t>
  </si>
  <si>
    <t>PCB 101 - (pg/l)</t>
  </si>
  <si>
    <t>PCB 118 - (pg/l)</t>
  </si>
  <si>
    <t>PCB 138 - (pg/l)</t>
  </si>
  <si>
    <t>PCB 153 - (pg/l)</t>
  </si>
  <si>
    <t>PCB 180 - (pg/l)</t>
  </si>
  <si>
    <t>PCB 28 - (pg/l)</t>
  </si>
  <si>
    <t>PCB 52 - (pg/l)</t>
  </si>
  <si>
    <t>Total 6 ndl-PCB exkl, LOQ - (pg/l)</t>
  </si>
  <si>
    <t>Total 6 ndl-PCB inkl, LOQ - (pg/l)</t>
  </si>
  <si>
    <t>Total 7 Indicator PCB exkl LOQ - (pg/l)</t>
  </si>
  <si>
    <t>Total 7 Indicator PCB inkl, LOQ - (pg/l)</t>
  </si>
  <si>
    <t>Tributyltin - (µg/l)</t>
  </si>
  <si>
    <t>Kommentar</t>
  </si>
  <si>
    <t>vinter</t>
  </si>
  <si>
    <t>Oxundaån</t>
  </si>
  <si>
    <t>yta</t>
  </si>
  <si>
    <t>vår</t>
  </si>
  <si>
    <t>sommar</t>
  </si>
  <si>
    <t>höst</t>
  </si>
  <si>
    <t>Fysingen</t>
  </si>
  <si>
    <t>Edssjön</t>
  </si>
  <si>
    <t>Fjäturen</t>
  </si>
  <si>
    <t>botten</t>
  </si>
  <si>
    <t>Gullsjön</t>
  </si>
  <si>
    <t>Norrviken</t>
  </si>
  <si>
    <t>Oxundasjön</t>
  </si>
  <si>
    <t>Ravalen</t>
  </si>
  <si>
    <t>Rösjön</t>
  </si>
  <si>
    <t>Snuggan</t>
  </si>
  <si>
    <t>Vallentunasjön</t>
  </si>
  <si>
    <t>Väsjön</t>
  </si>
  <si>
    <t>Översjön</t>
  </si>
  <si>
    <t>1m</t>
  </si>
  <si>
    <t>4m</t>
  </si>
  <si>
    <t>3m</t>
  </si>
  <si>
    <t>2m</t>
  </si>
  <si>
    <t>7m</t>
  </si>
  <si>
    <t>6m</t>
  </si>
  <si>
    <t>5m</t>
  </si>
  <si>
    <t>Mörtsjön</t>
  </si>
  <si>
    <t>9m</t>
  </si>
  <si>
    <t>8m</t>
  </si>
  <si>
    <t>10m</t>
  </si>
  <si>
    <t>11m</t>
  </si>
  <si>
    <t>Blandprov</t>
  </si>
  <si>
    <t>Käringsjön</t>
  </si>
  <si>
    <t>Vallentunasjön 2013 fortsatta analyser</t>
  </si>
  <si>
    <t>Täby kommun, Tekniska kontoret</t>
  </si>
  <si>
    <t>Va2</t>
  </si>
  <si>
    <t>1</t>
  </si>
  <si>
    <t>2</t>
  </si>
  <si>
    <t>3</t>
  </si>
  <si>
    <t>4</t>
  </si>
  <si>
    <t>Miljökontrollprogram Oxunda 2013</t>
  </si>
  <si>
    <t>Kommunledningskontoret, Sollentuna kommun</t>
  </si>
  <si>
    <t>5</t>
  </si>
  <si>
    <t>6</t>
  </si>
  <si>
    <t>7</t>
  </si>
  <si>
    <t>8</t>
  </si>
  <si>
    <t>9</t>
  </si>
  <si>
    <t>10</t>
  </si>
  <si>
    <t>11</t>
  </si>
  <si>
    <t>Norra</t>
  </si>
  <si>
    <t>0-2</t>
  </si>
  <si>
    <t>Huvudbassäng</t>
  </si>
  <si>
    <t>0-8</t>
  </si>
  <si>
    <t>0-4</t>
  </si>
  <si>
    <t>4,5</t>
  </si>
  <si>
    <t>Miljöövervakningsprogram för Oxundaåns avrinningsområde 2014-2015 med möjlig förlängning 2016- 2017</t>
  </si>
  <si>
    <t>Oxunda Vattensamverkan, Sollentuna kommun Kommunledningskontoret, Plan- och exploateringsavdelningen</t>
  </si>
  <si>
    <t>Kontrollundersökningar Vallentunasjön 2014</t>
  </si>
  <si>
    <t>Kontrollundersökningar Vallentunasjön 2015</t>
  </si>
  <si>
    <t>Miljöövervakningsprogram för Oxundaåns avrinningsområde 2015</t>
  </si>
  <si>
    <t>Turbiditetsmätningar i Väsjön 2015</t>
  </si>
  <si>
    <t>Plan- och exploateringsavdelningen Kommunledningskontoret Sollentuna kommun</t>
  </si>
  <si>
    <t>Kontrollundersökningar Vallentunasjön 2016</t>
  </si>
  <si>
    <t>Miljöövervakningsprogram för Oxundaåns avrinningsområde 2016</t>
  </si>
  <si>
    <t>Väsjön och Rösjön 2016</t>
  </si>
  <si>
    <t>0-2 m</t>
  </si>
  <si>
    <t>0-2m</t>
  </si>
  <si>
    <t>0-1</t>
  </si>
  <si>
    <t>0-6</t>
  </si>
  <si>
    <t>Verkaån</t>
  </si>
  <si>
    <t>Hagbyån</t>
  </si>
  <si>
    <t>Hargsån</t>
  </si>
  <si>
    <t>Karbyån</t>
  </si>
  <si>
    <t>Närmast utfyllnad</t>
  </si>
  <si>
    <t>Halvvägs till mitt av sjön</t>
  </si>
  <si>
    <t>Ordinare</t>
  </si>
  <si>
    <t>Närmare utlopp</t>
  </si>
  <si>
    <t>Kontrollundersökningar Vallentunasjön 2017</t>
  </si>
  <si>
    <t>Va1</t>
  </si>
  <si>
    <t>Miljöövervakningsprogram för Oxundaåns avrinningsområde 2017</t>
  </si>
  <si>
    <t xml:space="preserve">0-2 </t>
  </si>
  <si>
    <t>Rosendal</t>
  </si>
  <si>
    <t>utlopp</t>
  </si>
  <si>
    <t>Miljöövervakningsprogram för Oxundaåns avrinningsområde 2018</t>
  </si>
  <si>
    <t>Kontrollundersökningar i Vallentunasjön 2018</t>
  </si>
  <si>
    <t>Miljöövervakningsprogram för Oxundaåns avrinningsområde 2019</t>
  </si>
  <si>
    <t>Väsjön och Rösjön 2019</t>
  </si>
  <si>
    <t>Väsjöprojektet Exploateringsenheten Samhällsbyggnadsavdelningen Kommunledningskontoret
Sollentuna kommun</t>
  </si>
  <si>
    <t>Kontrollundersökningar i Vallentunasjön 2019</t>
  </si>
  <si>
    <t>Datavärd SLU</t>
  </si>
  <si>
    <t>2019-09-17</t>
  </si>
  <si>
    <t/>
  </si>
  <si>
    <t>2019-10-14</t>
  </si>
  <si>
    <t>2019-11-19</t>
  </si>
  <si>
    <t>2019-12-09</t>
  </si>
  <si>
    <t>2020-01-13</t>
  </si>
  <si>
    <t>2020-02-18</t>
  </si>
  <si>
    <t>2020-03-17</t>
  </si>
  <si>
    <t>2020-04-14</t>
  </si>
  <si>
    <t>2020-05-12</t>
  </si>
  <si>
    <t>2020-06-15</t>
  </si>
  <si>
    <t>2020-07-14</t>
  </si>
  <si>
    <t>2020-08-19</t>
  </si>
  <si>
    <t>2020-09-15</t>
  </si>
  <si>
    <t>2020-10-14</t>
  </si>
  <si>
    <t>2019-10-17</t>
  </si>
  <si>
    <t>2020-02-12</t>
  </si>
  <si>
    <t>2020-04-06</t>
  </si>
  <si>
    <t>2020-08-26</t>
  </si>
  <si>
    <t>Miljöövervakningsprogram för Oxundaåns avrinningsområde 2020</t>
  </si>
  <si>
    <t>Yta</t>
  </si>
  <si>
    <t>Botten</t>
  </si>
  <si>
    <t>&lt;0,002</t>
  </si>
  <si>
    <t>Väsjön och Rösjön 2020</t>
  </si>
  <si>
    <t>Samhällsbyggnadsavdelningen Projektgenomförande Kommunledningskontoret
Sollentuna kommun</t>
  </si>
  <si>
    <t>&lt;0.002</t>
  </si>
  <si>
    <t>Kontrollundersökningar i Vallentunasjön, Ormstaån och Karbyån 2020</t>
  </si>
  <si>
    <t>Kontrollundersökningar i Vallentunasjön, Ormstaån och Karbyån 2021</t>
  </si>
  <si>
    <t>Miljöövervakningsprogram för Oxundaåns avrinningsområde 2021</t>
  </si>
  <si>
    <t>Oxunda Vattensamverkan</t>
  </si>
  <si>
    <t>Väsjön och Rösjön 2021</t>
  </si>
  <si>
    <t>Samhällsbyggnadsavdelningen Sollentuna kommun</t>
  </si>
  <si>
    <t>2021-02-16</t>
  </si>
  <si>
    <t>2021-04-14</t>
  </si>
  <si>
    <t>2021-08-02</t>
  </si>
  <si>
    <t>2021-10-14</t>
  </si>
  <si>
    <t>2021-01-19</t>
  </si>
  <si>
    <t>2021-03-16</t>
  </si>
  <si>
    <t>2021-04-13</t>
  </si>
  <si>
    <t>2021-05-11</t>
  </si>
  <si>
    <t>2021-06-15</t>
  </si>
  <si>
    <t>2021-07-13</t>
  </si>
  <si>
    <t>2021-08-16</t>
  </si>
  <si>
    <t>2021-09-14</t>
  </si>
  <si>
    <t>2021-10-20</t>
  </si>
  <si>
    <t>Miljöövervakningsprogram för Oxundaåns avrinningsområde 2022</t>
  </si>
  <si>
    <t>6598486.06</t>
  </si>
  <si>
    <t>143029.412</t>
  </si>
  <si>
    <t xml:space="preserve">Edssjön </t>
  </si>
  <si>
    <t xml:space="preserve">Edssjön  </t>
  </si>
  <si>
    <t>6594021.352</t>
  </si>
  <si>
    <t>149489.464</t>
  </si>
  <si>
    <t xml:space="preserve">Fjäturen </t>
  </si>
  <si>
    <t xml:space="preserve">Fjäturen  </t>
  </si>
  <si>
    <t>&lt; 1,0</t>
  </si>
  <si>
    <t>6595968.322</t>
  </si>
  <si>
    <t>154755.487</t>
  </si>
  <si>
    <t xml:space="preserve">Gullsjön </t>
  </si>
  <si>
    <t>6594088.462</t>
  </si>
  <si>
    <t>150187.238</t>
  </si>
  <si>
    <t xml:space="preserve">Käringsjön </t>
  </si>
  <si>
    <t>6592970.721</t>
  </si>
  <si>
    <t>150892.303</t>
  </si>
  <si>
    <t xml:space="preserve">Mörtsjön </t>
  </si>
  <si>
    <t>6597890.973</t>
  </si>
  <si>
    <t>148026.594</t>
  </si>
  <si>
    <t>Norrviken 1</t>
  </si>
  <si>
    <t>6595333.676</t>
  </si>
  <si>
    <t>145946.487</t>
  </si>
  <si>
    <t>Norrviken 2</t>
  </si>
  <si>
    <t>6593586.749</t>
  </si>
  <si>
    <t>146288.994</t>
  </si>
  <si>
    <t>Norrviken 3</t>
  </si>
  <si>
    <t>6596025.547</t>
  </si>
  <si>
    <t>145594.181</t>
  </si>
  <si>
    <t>Norrviken 4</t>
  </si>
  <si>
    <t>6604928.446</t>
  </si>
  <si>
    <t>141666.521</t>
  </si>
  <si>
    <t xml:space="preserve">Oxundasjön </t>
  </si>
  <si>
    <t>6592530.896</t>
  </si>
  <si>
    <t>144938.686</t>
  </si>
  <si>
    <t xml:space="preserve">Ravalen </t>
  </si>
  <si>
    <t>Väsjön och Rösjön 2022</t>
  </si>
  <si>
    <t>6592309.038</t>
  </si>
  <si>
    <t>149693.066</t>
  </si>
  <si>
    <t xml:space="preserve">Rösjön </t>
  </si>
  <si>
    <t>6594118.401</t>
  </si>
  <si>
    <t>147927.177</t>
  </si>
  <si>
    <t>6593641.768</t>
  </si>
  <si>
    <t>148411.566</t>
  </si>
  <si>
    <t xml:space="preserve">Väsjön </t>
  </si>
  <si>
    <t>202202-09</t>
  </si>
  <si>
    <t>6593329.082</t>
  </si>
  <si>
    <t>141363.687</t>
  </si>
  <si>
    <t xml:space="preserve">Översjön </t>
  </si>
  <si>
    <t>&gt;2</t>
  </si>
  <si>
    <t>&gt;bottendjup</t>
  </si>
  <si>
    <t>&lt;=2,8</t>
  </si>
  <si>
    <t>2022-08-10</t>
  </si>
  <si>
    <t>&lt;0,004</t>
  </si>
  <si>
    <t>&lt;0,05</t>
  </si>
  <si>
    <t>&lt;0,01</t>
  </si>
  <si>
    <t>&lt; 0,0050</t>
  </si>
  <si>
    <t>&lt;0,30</t>
  </si>
  <si>
    <t>&lt; 0,0513</t>
  </si>
  <si>
    <t>ND</t>
  </si>
  <si>
    <t>&lt; 0,12</t>
  </si>
  <si>
    <t>&lt; 0,179</t>
  </si>
  <si>
    <t>&lt; 0,0256</t>
  </si>
  <si>
    <t>&lt; 0,299</t>
  </si>
  <si>
    <t>&lt; 0,598</t>
  </si>
  <si>
    <t>&lt; 1,2</t>
  </si>
  <si>
    <t>&lt; 2,99</t>
  </si>
  <si>
    <t>&lt; 0,0598</t>
  </si>
  <si>
    <t>&lt; 838</t>
  </si>
  <si>
    <t>&lt; 239</t>
  </si>
  <si>
    <t>&lt; 615</t>
  </si>
  <si>
    <t>&lt; 991</t>
  </si>
  <si>
    <t>&lt; 256</t>
  </si>
  <si>
    <t>&lt; 701</t>
  </si>
  <si>
    <t>&lt; 521</t>
  </si>
  <si>
    <t>&lt;0,0002</t>
  </si>
  <si>
    <t>2022-08-12</t>
  </si>
  <si>
    <t>&lt; 0,149</t>
  </si>
  <si>
    <t>&lt; 0,116</t>
  </si>
  <si>
    <t>&lt; 0,174</t>
  </si>
  <si>
    <t>&lt; 0,0249</t>
  </si>
  <si>
    <t>&lt; 0,29</t>
  </si>
  <si>
    <t>&lt; 0,58</t>
  </si>
  <si>
    <t>&lt; 1,16</t>
  </si>
  <si>
    <t>&lt; 2,9</t>
  </si>
  <si>
    <t>&lt; 0,058</t>
  </si>
  <si>
    <t>&lt; 975</t>
  </si>
  <si>
    <t>&lt; 279</t>
  </si>
  <si>
    <t>&lt; 716</t>
  </si>
  <si>
    <t>&lt; 1150</t>
  </si>
  <si>
    <t>&lt; 299</t>
  </si>
  <si>
    <t>&lt; 816</t>
  </si>
  <si>
    <t>&lt; 607</t>
  </si>
  <si>
    <t>6605641.596</t>
  </si>
  <si>
    <t>145698.557</t>
  </si>
  <si>
    <t>&lt; 0,0505</t>
  </si>
  <si>
    <t>&lt; 0,118</t>
  </si>
  <si>
    <t>&lt; 0,177</t>
  </si>
  <si>
    <t>&lt; 0,0253</t>
  </si>
  <si>
    <t>&lt; 0,295</t>
  </si>
  <si>
    <t>&lt; 0,589</t>
  </si>
  <si>
    <t>&lt; 1,18</t>
  </si>
  <si>
    <t>&lt; 2,95</t>
  </si>
  <si>
    <t>&lt; 0,0589</t>
  </si>
  <si>
    <t>&lt; 825</t>
  </si>
  <si>
    <t>&lt; 236</t>
  </si>
  <si>
    <t>&lt; 606</t>
  </si>
  <si>
    <t>&lt; 976</t>
  </si>
  <si>
    <t>&lt; 253</t>
  </si>
  <si>
    <t>&lt; 690</t>
  </si>
  <si>
    <t>&lt; 513</t>
  </si>
  <si>
    <t>&lt; 0,05</t>
  </si>
  <si>
    <t>&lt; 0,117</t>
  </si>
  <si>
    <t>&lt; 0,175</t>
  </si>
  <si>
    <t>&lt; 0,025</t>
  </si>
  <si>
    <t>&lt; 0,292</t>
  </si>
  <si>
    <t>&lt; 0,583</t>
  </si>
  <si>
    <t>&lt; 1,17</t>
  </si>
  <si>
    <t>&lt; 2,92</t>
  </si>
  <si>
    <t>&lt; 0,0583</t>
  </si>
  <si>
    <t>&lt; 980</t>
  </si>
  <si>
    <t>&lt; 280</t>
  </si>
  <si>
    <t>&lt; 720</t>
  </si>
  <si>
    <t>&lt; 1160</t>
  </si>
  <si>
    <t>&lt; 300</t>
  </si>
  <si>
    <t>&lt; 820</t>
  </si>
  <si>
    <t>&lt; 610</t>
  </si>
  <si>
    <t>&lt; 0,0495</t>
  </si>
  <si>
    <t>&lt; 0,173</t>
  </si>
  <si>
    <t>&lt; 0,0248</t>
  </si>
  <si>
    <t>&lt; 0,289</t>
  </si>
  <si>
    <t>&lt; 0,578</t>
  </si>
  <si>
    <t>&lt; 2,89</t>
  </si>
  <si>
    <t>&lt; 0,0578</t>
  </si>
  <si>
    <t>&lt; 970</t>
  </si>
  <si>
    <t>&lt; 277</t>
  </si>
  <si>
    <t>&lt; 713</t>
  </si>
  <si>
    <t>&lt; 297</t>
  </si>
  <si>
    <t>&lt; 812</t>
  </si>
  <si>
    <t>&lt; 604</t>
  </si>
  <si>
    <t>&lt; 0,0498</t>
  </si>
  <si>
    <t>2022-08-11</t>
  </si>
  <si>
    <t>&lt;0,0500</t>
  </si>
  <si>
    <t>&lt;0,117</t>
  </si>
  <si>
    <t>&lt;0,175</t>
  </si>
  <si>
    <t>&lt;0,0250</t>
  </si>
  <si>
    <t>&lt;0,292</t>
  </si>
  <si>
    <t>&lt;0,583</t>
  </si>
  <si>
    <t>&lt;1,17</t>
  </si>
  <si>
    <t>&lt;2,92</t>
  </si>
  <si>
    <t>&lt;0,0583</t>
  </si>
  <si>
    <t>&lt; 817</t>
  </si>
  <si>
    <t>&lt; 233</t>
  </si>
  <si>
    <t>&lt; 600</t>
  </si>
  <si>
    <t>&lt; 967</t>
  </si>
  <si>
    <t>&lt; 250</t>
  </si>
  <si>
    <t>&lt; 683</t>
  </si>
  <si>
    <t>&lt; 508</t>
  </si>
  <si>
    <t>&lt; 0,0250</t>
  </si>
  <si>
    <t>Kontrollundersökningar Vallentunasjön 2022</t>
  </si>
  <si>
    <t>6599329.96</t>
  </si>
  <si>
    <t>152315.571</t>
  </si>
  <si>
    <t>Vallentunasjön Va2</t>
  </si>
  <si>
    <t>&lt;1,16</t>
  </si>
  <si>
    <t>&lt;2,89</t>
  </si>
  <si>
    <t>&lt; 809</t>
  </si>
  <si>
    <t>&lt; 231</t>
  </si>
  <si>
    <t>&lt; 594</t>
  </si>
  <si>
    <t>&lt; 957</t>
  </si>
  <si>
    <t>&lt; 248</t>
  </si>
  <si>
    <t>&lt; 677</t>
  </si>
  <si>
    <t>&lt; 503</t>
  </si>
  <si>
    <t>&lt; 0,0503</t>
  </si>
  <si>
    <t>&lt; 0,176</t>
  </si>
  <si>
    <t>&lt; 0,0251</t>
  </si>
  <si>
    <t>&lt; 0,293</t>
  </si>
  <si>
    <t>&lt; 0,586</t>
  </si>
  <si>
    <t>&lt; 2,93</t>
  </si>
  <si>
    <t>&lt; 0,0586</t>
  </si>
  <si>
    <t>&lt; 821</t>
  </si>
  <si>
    <t>&lt; 235</t>
  </si>
  <si>
    <t>&lt; 603</t>
  </si>
  <si>
    <t>&lt; 972</t>
  </si>
  <si>
    <t>&lt; 251</t>
  </si>
  <si>
    <t>&lt; 687</t>
  </si>
  <si>
    <t>&lt; 511</t>
  </si>
  <si>
    <t>&lt;0.0070</t>
  </si>
  <si>
    <t>&lt;0.0010</t>
  </si>
  <si>
    <t>&lt;0.00060</t>
  </si>
  <si>
    <t>&lt;0.00030</t>
  </si>
  <si>
    <t>Miljöövervakningsprogram för Oxundaåns avrinningsområde 2023</t>
  </si>
  <si>
    <t>2022-10-29</t>
  </si>
  <si>
    <t>2022-10-21</t>
  </si>
  <si>
    <t>2022-10-28</t>
  </si>
  <si>
    <t>&lt;0.0020</t>
  </si>
  <si>
    <t>&gt;2,8</t>
  </si>
  <si>
    <t>&lt; 3,0</t>
  </si>
  <si>
    <t>&gt;1,7</t>
  </si>
  <si>
    <t>&gt;2,0</t>
  </si>
  <si>
    <t>&gt;1,5</t>
  </si>
  <si>
    <t>&gt;6,0</t>
  </si>
  <si>
    <t>&gt;2,5</t>
  </si>
  <si>
    <t>RMÖ, Life IP Rich Waters</t>
  </si>
  <si>
    <t>Sollentuna kommun</t>
  </si>
  <si>
    <t xml:space="preserve">Norrviken </t>
  </si>
  <si>
    <t>&lt;0,9</t>
  </si>
  <si>
    <t>RMÖ;Life IP Rich Waters</t>
  </si>
  <si>
    <t>&lt;2,6</t>
  </si>
  <si>
    <t>&lt;1,0</t>
  </si>
  <si>
    <t>&lt;2,0</t>
  </si>
  <si>
    <t>LIFE IP Rich Waters</t>
  </si>
  <si>
    <t>2m ovan botten</t>
  </si>
  <si>
    <t>0,5-1m ovan botten</t>
  </si>
  <si>
    <t>&lt;2,8</t>
  </si>
  <si>
    <t>&lt;= 1,0</t>
  </si>
  <si>
    <t>2018-01-15</t>
  </si>
  <si>
    <t>2018-02-13</t>
  </si>
  <si>
    <t>2018-03-15</t>
  </si>
  <si>
    <t>2018-04-17</t>
  </si>
  <si>
    <t>2018-05-15</t>
  </si>
  <si>
    <t>2018-06-19</t>
  </si>
  <si>
    <t>2018-07-17</t>
  </si>
  <si>
    <t>2018-08-13</t>
  </si>
  <si>
    <t>2018-09-18</t>
  </si>
  <si>
    <t>2018-10-16</t>
  </si>
  <si>
    <t>2018-11-12</t>
  </si>
  <si>
    <t>2018-12-12</t>
  </si>
  <si>
    <t>Projekt, Life IP Rich Waters -Action C13 - Norrviken</t>
  </si>
  <si>
    <t>Oxundaån- Hagbyån</t>
  </si>
  <si>
    <t>6597876</t>
  </si>
  <si>
    <t>668395</t>
  </si>
  <si>
    <t>0,10</t>
  </si>
  <si>
    <t>0,50</t>
  </si>
  <si>
    <t>0,30</t>
  </si>
  <si>
    <t>0,20</t>
  </si>
  <si>
    <t>2,57</t>
  </si>
  <si>
    <t>2,61</t>
  </si>
  <si>
    <t>2,63</t>
  </si>
  <si>
    <t>2,41</t>
  </si>
  <si>
    <t>2,59</t>
  </si>
  <si>
    <t>2,68</t>
  </si>
  <si>
    <t>3,00</t>
  </si>
  <si>
    <t>4,21</t>
  </si>
  <si>
    <t>3,07</t>
  </si>
  <si>
    <t>2,70</t>
  </si>
  <si>
    <t>2,32</t>
  </si>
  <si>
    <t>2,5</t>
  </si>
  <si>
    <t>2,3</t>
  </si>
  <si>
    <t>3,5</t>
  </si>
  <si>
    <t>2,9</t>
  </si>
  <si>
    <t>3,2</t>
  </si>
  <si>
    <t>3,7</t>
  </si>
  <si>
    <t>1,3</t>
  </si>
  <si>
    <t>1,1</t>
  </si>
  <si>
    <t>1,6</t>
  </si>
  <si>
    <t>1,7</t>
  </si>
  <si>
    <t>0,15</t>
  </si>
  <si>
    <t>0,33</t>
  </si>
  <si>
    <t>0,19</t>
  </si>
  <si>
    <t>45,8</t>
  </si>
  <si>
    <t>46,7</t>
  </si>
  <si>
    <t>47,7</t>
  </si>
  <si>
    <t>42,9</t>
  </si>
  <si>
    <t>46,8</t>
  </si>
  <si>
    <t>51,0</t>
  </si>
  <si>
    <t>81,4</t>
  </si>
  <si>
    <t>57,5</t>
  </si>
  <si>
    <t>59,3</t>
  </si>
  <si>
    <t>66,9</t>
  </si>
  <si>
    <t>0,57</t>
  </si>
  <si>
    <t>0,61</t>
  </si>
  <si>
    <t>0,67</t>
  </si>
  <si>
    <t>0,76</t>
  </si>
  <si>
    <t>1,0</t>
  </si>
  <si>
    <t>1,5</t>
  </si>
  <si>
    <t>1,8</t>
  </si>
  <si>
    <t>1,9</t>
  </si>
  <si>
    <t>140</t>
  </si>
  <si>
    <t>272</t>
  </si>
  <si>
    <t>296</t>
  </si>
  <si>
    <t>290</t>
  </si>
  <si>
    <t>55</t>
  </si>
  <si>
    <t>113</t>
  </si>
  <si>
    <t>422</t>
  </si>
  <si>
    <t>953</t>
  </si>
  <si>
    <t>5500</t>
  </si>
  <si>
    <t>561</t>
  </si>
  <si>
    <t>490</t>
  </si>
  <si>
    <t>371</t>
  </si>
  <si>
    <t>348</t>
  </si>
  <si>
    <t>379</t>
  </si>
  <si>
    <t>388</t>
  </si>
  <si>
    <t>418</t>
  </si>
  <si>
    <t>121</t>
  </si>
  <si>
    <t>109</t>
  </si>
  <si>
    <t>215</t>
  </si>
  <si>
    <t>151</t>
  </si>
  <si>
    <t>261</t>
  </si>
  <si>
    <t>240</t>
  </si>
  <si>
    <t>433</t>
  </si>
  <si>
    <t>1890</t>
  </si>
  <si>
    <t>7,70</t>
  </si>
  <si>
    <t>7,61</t>
  </si>
  <si>
    <t>7,48</t>
  </si>
  <si>
    <t>7,44</t>
  </si>
  <si>
    <t>7,62</t>
  </si>
  <si>
    <t>7,66</t>
  </si>
  <si>
    <t>7,33</t>
  </si>
  <si>
    <t>7,45</t>
  </si>
  <si>
    <t>7,49</t>
  </si>
  <si>
    <t>7,52</t>
  </si>
  <si>
    <t>7,46</t>
  </si>
  <si>
    <t>&lt;4</t>
  </si>
  <si>
    <t>58</t>
  </si>
  <si>
    <t>3,4</t>
  </si>
  <si>
    <t>4,0</t>
  </si>
  <si>
    <t>5,3</t>
  </si>
  <si>
    <t>2,1</t>
  </si>
  <si>
    <t>2,7</t>
  </si>
  <si>
    <t>33</t>
  </si>
  <si>
    <t>31</t>
  </si>
  <si>
    <t>30</t>
  </si>
  <si>
    <t>28</t>
  </si>
  <si>
    <t>27</t>
  </si>
  <si>
    <t>24</t>
  </si>
  <si>
    <t>38</t>
  </si>
  <si>
    <t>44</t>
  </si>
  <si>
    <t>72</t>
  </si>
  <si>
    <t>120</t>
  </si>
  <si>
    <t>13,2</t>
  </si>
  <si>
    <t>11,4</t>
  </si>
  <si>
    <t>15,6</t>
  </si>
  <si>
    <t>16,7</t>
  </si>
  <si>
    <t>18,2</t>
  </si>
  <si>
    <t>18,4</t>
  </si>
  <si>
    <t>22,6</t>
  </si>
  <si>
    <t>16,0</t>
  </si>
  <si>
    <t>15,5</t>
  </si>
  <si>
    <t>15,4</t>
  </si>
  <si>
    <t>1330</t>
  </si>
  <si>
    <t>1430</t>
  </si>
  <si>
    <t>1380</t>
  </si>
  <si>
    <t>1500</t>
  </si>
  <si>
    <t>1200</t>
  </si>
  <si>
    <t>1400</t>
  </si>
  <si>
    <t>2070</t>
  </si>
  <si>
    <t>2470</t>
  </si>
  <si>
    <t>8370</t>
  </si>
  <si>
    <t>2000</t>
  </si>
  <si>
    <t>2060</t>
  </si>
  <si>
    <t>3080</t>
  </si>
  <si>
    <t>27,7</t>
  </si>
  <si>
    <t>27,8</t>
  </si>
  <si>
    <t>27,0</t>
  </si>
  <si>
    <t>43,1</t>
  </si>
  <si>
    <t>76,8</t>
  </si>
  <si>
    <t>131</t>
  </si>
  <si>
    <t>199</t>
  </si>
  <si>
    <t>172</t>
  </si>
  <si>
    <t>687</t>
  </si>
  <si>
    <t>97,9</t>
  </si>
  <si>
    <t>96,5</t>
  </si>
  <si>
    <t>59,2</t>
  </si>
  <si>
    <t>3,1</t>
  </si>
  <si>
    <t>5,2</t>
  </si>
  <si>
    <t>14</t>
  </si>
  <si>
    <t>23</t>
  </si>
  <si>
    <t>41</t>
  </si>
  <si>
    <t>32</t>
  </si>
  <si>
    <t>26</t>
  </si>
  <si>
    <t>16</t>
  </si>
  <si>
    <t>0,8</t>
  </si>
  <si>
    <t>0,7</t>
  </si>
  <si>
    <t>8,0</t>
  </si>
  <si>
    <t>18,0</t>
  </si>
  <si>
    <t>19,2</t>
  </si>
  <si>
    <t>21,9</t>
  </si>
  <si>
    <t>15,7</t>
  </si>
  <si>
    <t>12,5</t>
  </si>
  <si>
    <t>9,5</t>
  </si>
  <si>
    <t>7,8</t>
  </si>
  <si>
    <t>2019-01-15</t>
  </si>
  <si>
    <t>2019-02-19</t>
  </si>
  <si>
    <t>2019-03-13</t>
  </si>
  <si>
    <t>2019-04-15</t>
  </si>
  <si>
    <t>2019-05-22</t>
  </si>
  <si>
    <t>2019-06-18</t>
  </si>
  <si>
    <t>2019-07-16</t>
  </si>
  <si>
    <t>2019-08-14</t>
  </si>
  <si>
    <t>6597877</t>
  </si>
  <si>
    <t>110</t>
  </si>
  <si>
    <t>470</t>
  </si>
  <si>
    <t>210</t>
  </si>
  <si>
    <t>85</t>
  </si>
  <si>
    <t>100</t>
  </si>
  <si>
    <t>77</t>
  </si>
  <si>
    <t>510</t>
  </si>
  <si>
    <t>630</t>
  </si>
  <si>
    <t>410</t>
  </si>
  <si>
    <t>530</t>
  </si>
  <si>
    <t>1700</t>
  </si>
  <si>
    <t>2,96</t>
  </si>
  <si>
    <t>2,64</t>
  </si>
  <si>
    <t>2,43</t>
  </si>
  <si>
    <t>2,50</t>
  </si>
  <si>
    <t>2,84</t>
  </si>
  <si>
    <t>2,60</t>
  </si>
  <si>
    <t>2,54</t>
  </si>
  <si>
    <t>2,23</t>
  </si>
  <si>
    <t>3,3</t>
  </si>
  <si>
    <t>3,0</t>
  </si>
  <si>
    <t>2,8</t>
  </si>
  <si>
    <t>1,2</t>
  </si>
  <si>
    <t>150</t>
  </si>
  <si>
    <t>61,5</t>
  </si>
  <si>
    <t>58,9</t>
  </si>
  <si>
    <t>54,6</t>
  </si>
  <si>
    <t>50,0</t>
  </si>
  <si>
    <t>49,1</t>
  </si>
  <si>
    <t>52,6</t>
  </si>
  <si>
    <t>52,0</t>
  </si>
  <si>
    <t>53,0</t>
  </si>
  <si>
    <t>51,5</t>
  </si>
  <si>
    <t>51,8</t>
  </si>
  <si>
    <t>63,5</t>
  </si>
  <si>
    <t>53,9</t>
  </si>
  <si>
    <t>0,80</t>
  </si>
  <si>
    <t>0,68</t>
  </si>
  <si>
    <t>0,66</t>
  </si>
  <si>
    <t>370</t>
  </si>
  <si>
    <t>320</t>
  </si>
  <si>
    <t>380</t>
  </si>
  <si>
    <t>250</t>
  </si>
  <si>
    <t>170</t>
  </si>
  <si>
    <t>341</t>
  </si>
  <si>
    <t>329</t>
  </si>
  <si>
    <t>323</t>
  </si>
  <si>
    <t>184</t>
  </si>
  <si>
    <t>241</t>
  </si>
  <si>
    <t>318</t>
  </si>
  <si>
    <t>519</t>
  </si>
  <si>
    <t>345</t>
  </si>
  <si>
    <t>358</t>
  </si>
  <si>
    <t>392</t>
  </si>
  <si>
    <t>425</t>
  </si>
  <si>
    <t>2920</t>
  </si>
  <si>
    <t>1050</t>
  </si>
  <si>
    <t>472</t>
  </si>
  <si>
    <t>97</t>
  </si>
  <si>
    <t>176</t>
  </si>
  <si>
    <t>191</t>
  </si>
  <si>
    <t>289</t>
  </si>
  <si>
    <t>1690</t>
  </si>
  <si>
    <t>3210</t>
  </si>
  <si>
    <t>7,53</t>
  </si>
  <si>
    <t>7,31</t>
  </si>
  <si>
    <t>7,47</t>
  </si>
  <si>
    <t>7,73</t>
  </si>
  <si>
    <t>7,91</t>
  </si>
  <si>
    <t>7,42</t>
  </si>
  <si>
    <t>7,50</t>
  </si>
  <si>
    <t>7,30</t>
  </si>
  <si>
    <t>&lt;1</t>
  </si>
  <si>
    <t>18</t>
  </si>
  <si>
    <t>3,6</t>
  </si>
  <si>
    <t>0,85</t>
  </si>
  <si>
    <t>4,4</t>
  </si>
  <si>
    <t>3,8</t>
  </si>
  <si>
    <t>5,4</t>
  </si>
  <si>
    <t>7,6</t>
  </si>
  <si>
    <t>62</t>
  </si>
  <si>
    <t>81</t>
  </si>
  <si>
    <t>52</t>
  </si>
  <si>
    <t>35</t>
  </si>
  <si>
    <t>37</t>
  </si>
  <si>
    <t>36</t>
  </si>
  <si>
    <t>89</t>
  </si>
  <si>
    <t>76</t>
  </si>
  <si>
    <t>13,0</t>
  </si>
  <si>
    <t>11,8</t>
  </si>
  <si>
    <t>11,9</t>
  </si>
  <si>
    <t>13,3</t>
  </si>
  <si>
    <t>15,9</t>
  </si>
  <si>
    <t>18,3</t>
  </si>
  <si>
    <t>16,8</t>
  </si>
  <si>
    <t>13,6</t>
  </si>
  <si>
    <t>15,2</t>
  </si>
  <si>
    <t>1720</t>
  </si>
  <si>
    <t>3540</t>
  </si>
  <si>
    <t>2140</t>
  </si>
  <si>
    <t>1610</t>
  </si>
  <si>
    <t>909</t>
  </si>
  <si>
    <t>1280</t>
  </si>
  <si>
    <t>1770</t>
  </si>
  <si>
    <t>2270</t>
  </si>
  <si>
    <t>1790</t>
  </si>
  <si>
    <t>2840</t>
  </si>
  <si>
    <t>4440</t>
  </si>
  <si>
    <t>35,4</t>
  </si>
  <si>
    <t>55,2</t>
  </si>
  <si>
    <t>40,1</t>
  </si>
  <si>
    <t>34,8</t>
  </si>
  <si>
    <t>59,0</t>
  </si>
  <si>
    <t>71,4</t>
  </si>
  <si>
    <t>146</t>
  </si>
  <si>
    <t>190</t>
  </si>
  <si>
    <t>175</t>
  </si>
  <si>
    <t>136</t>
  </si>
  <si>
    <t>68,6</t>
  </si>
  <si>
    <t>332</t>
  </si>
  <si>
    <t>6,0</t>
  </si>
  <si>
    <t>13</t>
  </si>
  <si>
    <t>7,1</t>
  </si>
  <si>
    <t>67</t>
  </si>
  <si>
    <t>12</t>
  </si>
  <si>
    <t>73</t>
  </si>
  <si>
    <t>0,1</t>
  </si>
  <si>
    <t>18,5</t>
  </si>
  <si>
    <t>20,3</t>
  </si>
  <si>
    <t>15,8</t>
  </si>
  <si>
    <t>16,1</t>
  </si>
  <si>
    <t>10,2</t>
  </si>
  <si>
    <t>9,1</t>
  </si>
  <si>
    <t>5,9</t>
  </si>
  <si>
    <t>2020-11-11</t>
  </si>
  <si>
    <t>2020-12-10</t>
  </si>
  <si>
    <t>2,45</t>
  </si>
  <si>
    <t>2,53</t>
  </si>
  <si>
    <t>2,69</t>
  </si>
  <si>
    <t>2,67</t>
  </si>
  <si>
    <t>2,78</t>
  </si>
  <si>
    <t>2,76</t>
  </si>
  <si>
    <t>2,77</t>
  </si>
  <si>
    <t>2,86</t>
  </si>
  <si>
    <t>3,01</t>
  </si>
  <si>
    <t>49,6</t>
  </si>
  <si>
    <t>49,9</t>
  </si>
  <si>
    <t>52,4</t>
  </si>
  <si>
    <t>51,4</t>
  </si>
  <si>
    <t>50,9</t>
  </si>
  <si>
    <t>51,3</t>
  </si>
  <si>
    <t>50,4</t>
  </si>
  <si>
    <t>50,3</t>
  </si>
  <si>
    <t>56,9</t>
  </si>
  <si>
    <t>54,4</t>
  </si>
  <si>
    <t>570</t>
  </si>
  <si>
    <t>550</t>
  </si>
  <si>
    <t>138</t>
  </si>
  <si>
    <t>&lt;3</t>
  </si>
  <si>
    <t>317</t>
  </si>
  <si>
    <t>80</t>
  </si>
  <si>
    <t>118</t>
  </si>
  <si>
    <t>189</t>
  </si>
  <si>
    <t>590</t>
  </si>
  <si>
    <t>685</t>
  </si>
  <si>
    <t>899</t>
  </si>
  <si>
    <t>482</t>
  </si>
  <si>
    <t>156</t>
  </si>
  <si>
    <t>130</t>
  </si>
  <si>
    <t>141</t>
  </si>
  <si>
    <t>208</t>
  </si>
  <si>
    <t>338</t>
  </si>
  <si>
    <t>421</t>
  </si>
  <si>
    <t>7,65</t>
  </si>
  <si>
    <t>7,67</t>
  </si>
  <si>
    <t>7,71</t>
  </si>
  <si>
    <t>7,54</t>
  </si>
  <si>
    <t>7,56</t>
  </si>
  <si>
    <t>7,51</t>
  </si>
  <si>
    <t>3,9</t>
  </si>
  <si>
    <t>0,98</t>
  </si>
  <si>
    <t>2,2</t>
  </si>
  <si>
    <t>48</t>
  </si>
  <si>
    <t>50</t>
  </si>
  <si>
    <t>45</t>
  </si>
  <si>
    <t>42</t>
  </si>
  <si>
    <t>59</t>
  </si>
  <si>
    <t>11,1</t>
  </si>
  <si>
    <t>12,0</t>
  </si>
  <si>
    <t>13,4</t>
  </si>
  <si>
    <t>15,3</t>
  </si>
  <si>
    <t>18,1</t>
  </si>
  <si>
    <t>14,4</t>
  </si>
  <si>
    <t>12,7</t>
  </si>
  <si>
    <t>12,6</t>
  </si>
  <si>
    <t>12,4</t>
  </si>
  <si>
    <t>11,7</t>
  </si>
  <si>
    <t>1800</t>
  </si>
  <si>
    <t>1990</t>
  </si>
  <si>
    <t>1950</t>
  </si>
  <si>
    <t>1410</t>
  </si>
  <si>
    <t>1300</t>
  </si>
  <si>
    <t>1240</t>
  </si>
  <si>
    <t>1180</t>
  </si>
  <si>
    <t>1340</t>
  </si>
  <si>
    <t>1570</t>
  </si>
  <si>
    <t>1680</t>
  </si>
  <si>
    <t>48,3</t>
  </si>
  <si>
    <t>56,6</t>
  </si>
  <si>
    <t>72,1</t>
  </si>
  <si>
    <t>88,1</t>
  </si>
  <si>
    <t>135</t>
  </si>
  <si>
    <t>75,5</t>
  </si>
  <si>
    <t>66,5</t>
  </si>
  <si>
    <t>43,4</t>
  </si>
  <si>
    <t>7,5</t>
  </si>
  <si>
    <t>8,3</t>
  </si>
  <si>
    <t>20</t>
  </si>
  <si>
    <t>5,6</t>
  </si>
  <si>
    <t>6,3</t>
  </si>
  <si>
    <t>5,7</t>
  </si>
  <si>
    <t>10,6</t>
  </si>
  <si>
    <t>19,4</t>
  </si>
  <si>
    <t>16,9</t>
  </si>
  <si>
    <t>19,1</t>
  </si>
  <si>
    <t>14,5</t>
  </si>
  <si>
    <t>8,1</t>
  </si>
  <si>
    <t>6,7</t>
  </si>
  <si>
    <t>2021-11-16</t>
  </si>
  <si>
    <t>2021-12-14</t>
  </si>
  <si>
    <t>2,82</t>
  </si>
  <si>
    <t>2,92</t>
  </si>
  <si>
    <t>2,93</t>
  </si>
  <si>
    <t>2,98</t>
  </si>
  <si>
    <t>2,95</t>
  </si>
  <si>
    <t>50,7</t>
  </si>
  <si>
    <t>49,0</t>
  </si>
  <si>
    <t>48,0</t>
  </si>
  <si>
    <t>49,4</t>
  </si>
  <si>
    <t>51,9</t>
  </si>
  <si>
    <t>51,7</t>
  </si>
  <si>
    <t>53,5</t>
  </si>
  <si>
    <t>55,0</t>
  </si>
  <si>
    <t>486</t>
  </si>
  <si>
    <t>169</t>
  </si>
  <si>
    <t>96</t>
  </si>
  <si>
    <t>159</t>
  </si>
  <si>
    <t>142</t>
  </si>
  <si>
    <t>223</t>
  </si>
  <si>
    <t>177</t>
  </si>
  <si>
    <t>236</t>
  </si>
  <si>
    <t>762</t>
  </si>
  <si>
    <t>444</t>
  </si>
  <si>
    <t>557</t>
  </si>
  <si>
    <t>489</t>
  </si>
  <si>
    <t>704</t>
  </si>
  <si>
    <t>126</t>
  </si>
  <si>
    <t>171</t>
  </si>
  <si>
    <t>217</t>
  </si>
  <si>
    <t>396</t>
  </si>
  <si>
    <t>367</t>
  </si>
  <si>
    <t>7,55</t>
  </si>
  <si>
    <t>7,68</t>
  </si>
  <si>
    <t>7,64</t>
  </si>
  <si>
    <t>7,69</t>
  </si>
  <si>
    <t>2,0</t>
  </si>
  <si>
    <t>4,6</t>
  </si>
  <si>
    <t>49</t>
  </si>
  <si>
    <t>46</t>
  </si>
  <si>
    <t>43</t>
  </si>
  <si>
    <t>47</t>
  </si>
  <si>
    <t>34</t>
  </si>
  <si>
    <t>39</t>
  </si>
  <si>
    <t>51</t>
  </si>
  <si>
    <t>10,4</t>
  </si>
  <si>
    <t>10,3</t>
  </si>
  <si>
    <t>12,1</t>
  </si>
  <si>
    <t>13,8</t>
  </si>
  <si>
    <t>12,2</t>
  </si>
  <si>
    <t>1880</t>
  </si>
  <si>
    <t>1480</t>
  </si>
  <si>
    <t>1540</t>
  </si>
  <si>
    <t>1630</t>
  </si>
  <si>
    <t>1290</t>
  </si>
  <si>
    <t>1490</t>
  </si>
  <si>
    <t>1260</t>
  </si>
  <si>
    <t>23,2</t>
  </si>
  <si>
    <t>22,0</t>
  </si>
  <si>
    <t>30,9</t>
  </si>
  <si>
    <t>52,9</t>
  </si>
  <si>
    <t>75,8</t>
  </si>
  <si>
    <t>80,0</t>
  </si>
  <si>
    <t>83,6</t>
  </si>
  <si>
    <t>73,6</t>
  </si>
  <si>
    <t>7,3</t>
  </si>
  <si>
    <t>19</t>
  </si>
  <si>
    <t>8,6</t>
  </si>
  <si>
    <t>0,4</t>
  </si>
  <si>
    <t>18,7</t>
  </si>
  <si>
    <t>22,2</t>
  </si>
  <si>
    <t>16,4</t>
  </si>
  <si>
    <t>4,2</t>
  </si>
  <si>
    <t>0,6</t>
  </si>
  <si>
    <t>Norrviken utlopp</t>
  </si>
  <si>
    <t>6597038</t>
  </si>
  <si>
    <t>665394</t>
  </si>
  <si>
    <t>0,25</t>
  </si>
  <si>
    <t>0,058</t>
  </si>
  <si>
    <t>0,076</t>
  </si>
  <si>
    <t>0,057</t>
  </si>
  <si>
    <t>0,047</t>
  </si>
  <si>
    <t>0,044</t>
  </si>
  <si>
    <t>0,038</t>
  </si>
  <si>
    <t>0,035</t>
  </si>
  <si>
    <t>0,037</t>
  </si>
  <si>
    <t>0,042</t>
  </si>
  <si>
    <t>0,048</t>
  </si>
  <si>
    <t>0,028</t>
  </si>
  <si>
    <t>2,55</t>
  </si>
  <si>
    <t>2,62</t>
  </si>
  <si>
    <t>2,51</t>
  </si>
  <si>
    <t>2,56</t>
  </si>
  <si>
    <t>2,4</t>
  </si>
  <si>
    <t>11,5</t>
  </si>
  <si>
    <t>10,9</t>
  </si>
  <si>
    <t>11,6</t>
  </si>
  <si>
    <t>10,7</t>
  </si>
  <si>
    <t>10,8</t>
  </si>
  <si>
    <t>6,1</t>
  </si>
  <si>
    <t>46,4</t>
  </si>
  <si>
    <t>44,4</t>
  </si>
  <si>
    <t>46,2</t>
  </si>
  <si>
    <t>47,2</t>
  </si>
  <si>
    <t>45,4</t>
  </si>
  <si>
    <t>47,1</t>
  </si>
  <si>
    <t>47,6</t>
  </si>
  <si>
    <t>46,9</t>
  </si>
  <si>
    <t>0,63</t>
  </si>
  <si>
    <t>53</t>
  </si>
  <si>
    <t>63</t>
  </si>
  <si>
    <t>174</t>
  </si>
  <si>
    <t>580</t>
  </si>
  <si>
    <t>612</t>
  </si>
  <si>
    <t>278</t>
  </si>
  <si>
    <t>7,58</t>
  </si>
  <si>
    <t>7,39</t>
  </si>
  <si>
    <t>7,41</t>
  </si>
  <si>
    <t>8,29</t>
  </si>
  <si>
    <t>7,92</t>
  </si>
  <si>
    <t>8,47</t>
  </si>
  <si>
    <t>7,27</t>
  </si>
  <si>
    <t>7,80</t>
  </si>
  <si>
    <t>64</t>
  </si>
  <si>
    <t>74</t>
  </si>
  <si>
    <t>0,93</t>
  </si>
  <si>
    <t>12,9</t>
  </si>
  <si>
    <t>12,8</t>
  </si>
  <si>
    <t>10,5</t>
  </si>
  <si>
    <t>10,0</t>
  </si>
  <si>
    <t>1230</t>
  </si>
  <si>
    <t>1370</t>
  </si>
  <si>
    <t>1100</t>
  </si>
  <si>
    <t>746</t>
  </si>
  <si>
    <t>832</t>
  </si>
  <si>
    <t>872</t>
  </si>
  <si>
    <t>853</t>
  </si>
  <si>
    <t>782</t>
  </si>
  <si>
    <t>818</t>
  </si>
  <si>
    <t>986</t>
  </si>
  <si>
    <t>944</t>
  </si>
  <si>
    <t>74,4</t>
  </si>
  <si>
    <t>68,8</t>
  </si>
  <si>
    <t>54,0</t>
  </si>
  <si>
    <t>50,2</t>
  </si>
  <si>
    <t>31,4</t>
  </si>
  <si>
    <t>55,3</t>
  </si>
  <si>
    <t>41,0</t>
  </si>
  <si>
    <t>77,5</t>
  </si>
  <si>
    <t>87,7</t>
  </si>
  <si>
    <t>99,3</t>
  </si>
  <si>
    <t>4,7</t>
  </si>
  <si>
    <t>6,2</t>
  </si>
  <si>
    <t>7,0</t>
  </si>
  <si>
    <t>0,9</t>
  </si>
  <si>
    <t>5,1</t>
  </si>
  <si>
    <t>19,8</t>
  </si>
  <si>
    <t>19,0</t>
  </si>
  <si>
    <t>25,9</t>
  </si>
  <si>
    <t>14,8</t>
  </si>
  <si>
    <t>11,2</t>
  </si>
  <si>
    <t>8,4</t>
  </si>
  <si>
    <t>0,40</t>
  </si>
  <si>
    <t>0,029</t>
  </si>
  <si>
    <t>0,030</t>
  </si>
  <si>
    <t>0,041</t>
  </si>
  <si>
    <t>0,032</t>
  </si>
  <si>
    <t>0,033</t>
  </si>
  <si>
    <t>0,027</t>
  </si>
  <si>
    <t>0,031</t>
  </si>
  <si>
    <t>15</t>
  </si>
  <si>
    <t>21</t>
  </si>
  <si>
    <t>25</t>
  </si>
  <si>
    <t>22</t>
  </si>
  <si>
    <t>2,48</t>
  </si>
  <si>
    <t>2,46</t>
  </si>
  <si>
    <t>2,34</t>
  </si>
  <si>
    <t>2,30</t>
  </si>
  <si>
    <t>57</t>
  </si>
  <si>
    <t>49,7</t>
  </si>
  <si>
    <t>50,1</t>
  </si>
  <si>
    <t>71</t>
  </si>
  <si>
    <t>65</t>
  </si>
  <si>
    <t>17</t>
  </si>
  <si>
    <t>60</t>
  </si>
  <si>
    <t>111</t>
  </si>
  <si>
    <t>445</t>
  </si>
  <si>
    <t>450</t>
  </si>
  <si>
    <t>249</t>
  </si>
  <si>
    <t>116</t>
  </si>
  <si>
    <t>226</t>
  </si>
  <si>
    <t>360</t>
  </si>
  <si>
    <t>8,83</t>
  </si>
  <si>
    <t>8,10</t>
  </si>
  <si>
    <t>8,09</t>
  </si>
  <si>
    <t>7,96</t>
  </si>
  <si>
    <t>8,14</t>
  </si>
  <si>
    <t>7,99</t>
  </si>
  <si>
    <t>7,75</t>
  </si>
  <si>
    <t>7,82</t>
  </si>
  <si>
    <t>7,81</t>
  </si>
  <si>
    <t>69</t>
  </si>
  <si>
    <t>92</t>
  </si>
  <si>
    <t>83</t>
  </si>
  <si>
    <t>84</t>
  </si>
  <si>
    <t>0,36</t>
  </si>
  <si>
    <t>0,81</t>
  </si>
  <si>
    <t>0,72</t>
  </si>
  <si>
    <t>9,6</t>
  </si>
  <si>
    <t>9,9</t>
  </si>
  <si>
    <t>9,2</t>
  </si>
  <si>
    <t>8,7</t>
  </si>
  <si>
    <t>999</t>
  </si>
  <si>
    <t>933</t>
  </si>
  <si>
    <t>861</t>
  </si>
  <si>
    <t>930</t>
  </si>
  <si>
    <t>813</t>
  </si>
  <si>
    <t>752</t>
  </si>
  <si>
    <t>812</t>
  </si>
  <si>
    <t>802</t>
  </si>
  <si>
    <t>800</t>
  </si>
  <si>
    <t>946</t>
  </si>
  <si>
    <t>960</t>
  </si>
  <si>
    <t>94,3</t>
  </si>
  <si>
    <t>89,8</t>
  </si>
  <si>
    <t>30,8</t>
  </si>
  <si>
    <t>30,5</t>
  </si>
  <si>
    <t>43,3</t>
  </si>
  <si>
    <t>88,9</t>
  </si>
  <si>
    <t>103</t>
  </si>
  <si>
    <t>97,2</t>
  </si>
  <si>
    <t>4,8</t>
  </si>
  <si>
    <t>18,9</t>
  </si>
  <si>
    <t>17,8</t>
  </si>
  <si>
    <t>19,5</t>
  </si>
  <si>
    <t>14,6</t>
  </si>
  <si>
    <t>2020</t>
  </si>
  <si>
    <t>0,046</t>
  </si>
  <si>
    <t>0,026</t>
  </si>
  <si>
    <t>0,023</t>
  </si>
  <si>
    <t>0,024</t>
  </si>
  <si>
    <t>2,37</t>
  </si>
  <si>
    <t>2,40</t>
  </si>
  <si>
    <t>2,44</t>
  </si>
  <si>
    <t>2,27</t>
  </si>
  <si>
    <t>2,38</t>
  </si>
  <si>
    <t>2,39</t>
  </si>
  <si>
    <t>2,36</t>
  </si>
  <si>
    <t>9,7</t>
  </si>
  <si>
    <t>11,0</t>
  </si>
  <si>
    <t>9,3</t>
  </si>
  <si>
    <t>9,4</t>
  </si>
  <si>
    <t>7,2</t>
  </si>
  <si>
    <t>49,2</t>
  </si>
  <si>
    <t>49,8</t>
  </si>
  <si>
    <t>51,1</t>
  </si>
  <si>
    <t>50,8</t>
  </si>
  <si>
    <t>0,71</t>
  </si>
  <si>
    <t>709</t>
  </si>
  <si>
    <t>718</t>
  </si>
  <si>
    <t>642</t>
  </si>
  <si>
    <t>328</t>
  </si>
  <si>
    <t>139</t>
  </si>
  <si>
    <t>300</t>
  </si>
  <si>
    <t>449</t>
  </si>
  <si>
    <t>7,83</t>
  </si>
  <si>
    <t>7,89</t>
  </si>
  <si>
    <t>8,54</t>
  </si>
  <si>
    <t>8,04</t>
  </si>
  <si>
    <t>8,15</t>
  </si>
  <si>
    <t>7,76</t>
  </si>
  <si>
    <t>7,74</t>
  </si>
  <si>
    <t>61</t>
  </si>
  <si>
    <t>0,09</t>
  </si>
  <si>
    <t>0,27</t>
  </si>
  <si>
    <t>0,31</t>
  </si>
  <si>
    <t>0,44</t>
  </si>
  <si>
    <t>0,75</t>
  </si>
  <si>
    <t>9,8</t>
  </si>
  <si>
    <t>9,0</t>
  </si>
  <si>
    <t>1220</t>
  </si>
  <si>
    <t>1060</t>
  </si>
  <si>
    <t>841</t>
  </si>
  <si>
    <t>744</t>
  </si>
  <si>
    <t>648</t>
  </si>
  <si>
    <t>675</t>
  </si>
  <si>
    <t>646</t>
  </si>
  <si>
    <t>784</t>
  </si>
  <si>
    <t>918</t>
  </si>
  <si>
    <t>989</t>
  </si>
  <si>
    <t>80,5</t>
  </si>
  <si>
    <t>61,9</t>
  </si>
  <si>
    <t>29,3</t>
  </si>
  <si>
    <t>28,6</t>
  </si>
  <si>
    <t>24,6</t>
  </si>
  <si>
    <t>24,4</t>
  </si>
  <si>
    <t>27,5</t>
  </si>
  <si>
    <t>32,2</t>
  </si>
  <si>
    <t>0,94</t>
  </si>
  <si>
    <t>0,90</t>
  </si>
  <si>
    <t>19,7</t>
  </si>
  <si>
    <t>22,8</t>
  </si>
  <si>
    <t>16,2</t>
  </si>
  <si>
    <t>4,1</t>
  </si>
  <si>
    <t>2021</t>
  </si>
  <si>
    <t>0,051</t>
  </si>
  <si>
    <t>0,055</t>
  </si>
  <si>
    <t>2,66</t>
  </si>
  <si>
    <t>2,74</t>
  </si>
  <si>
    <t>50,6</t>
  </si>
  <si>
    <t>47,0</t>
  </si>
  <si>
    <t>50,5</t>
  </si>
  <si>
    <t>48,6</t>
  </si>
  <si>
    <t>52,3</t>
  </si>
  <si>
    <t>29</t>
  </si>
  <si>
    <t>104</t>
  </si>
  <si>
    <t>723</t>
  </si>
  <si>
    <t>726</t>
  </si>
  <si>
    <t>386</t>
  </si>
  <si>
    <t>101</t>
  </si>
  <si>
    <t>242</t>
  </si>
  <si>
    <t>337</t>
  </si>
  <si>
    <t>8,05</t>
  </si>
  <si>
    <t>7,87</t>
  </si>
  <si>
    <t>8,31</t>
  </si>
  <si>
    <t>7,84</t>
  </si>
  <si>
    <t>7,88</t>
  </si>
  <si>
    <t>7,86</t>
  </si>
  <si>
    <t>0,56</t>
  </si>
  <si>
    <t>0,87</t>
  </si>
  <si>
    <t>0,84</t>
  </si>
  <si>
    <t>10,1</t>
  </si>
  <si>
    <t>1130</t>
  </si>
  <si>
    <t>981</t>
  </si>
  <si>
    <t>836</t>
  </si>
  <si>
    <t>805</t>
  </si>
  <si>
    <t>705</t>
  </si>
  <si>
    <t>688</t>
  </si>
  <si>
    <t>578</t>
  </si>
  <si>
    <t>778</t>
  </si>
  <si>
    <t>840</t>
  </si>
  <si>
    <t>35,7</t>
  </si>
  <si>
    <t>32,0</t>
  </si>
  <si>
    <t>46,1</t>
  </si>
  <si>
    <t>19,3</t>
  </si>
  <si>
    <t>20,1</t>
  </si>
  <si>
    <t>25,2</t>
  </si>
  <si>
    <t>36,0</t>
  </si>
  <si>
    <t>24,5</t>
  </si>
  <si>
    <t>30,7</t>
  </si>
  <si>
    <t>29,9</t>
  </si>
  <si>
    <t>33,7</t>
  </si>
  <si>
    <t>6,5</t>
  </si>
  <si>
    <t>0,049</t>
  </si>
  <si>
    <t>0,071</t>
  </si>
  <si>
    <t>0,065</t>
  </si>
  <si>
    <t>0,043</t>
  </si>
  <si>
    <t>0,036</t>
  </si>
  <si>
    <t>0,039</t>
  </si>
  <si>
    <t>0,053</t>
  </si>
  <si>
    <t>0,060</t>
  </si>
  <si>
    <t>0,040</t>
  </si>
  <si>
    <t>0,109</t>
  </si>
  <si>
    <t>0,056</t>
  </si>
  <si>
    <t>0,064</t>
  </si>
  <si>
    <t>0,050</t>
  </si>
  <si>
    <t>0,107</t>
  </si>
  <si>
    <t>Organiskt aluminium (µg/l)</t>
  </si>
  <si>
    <t>&lt;10</t>
  </si>
  <si>
    <t>Totalt monomert aluminium (µg/l)</t>
  </si>
  <si>
    <t>Oorganiskt-labilt- aluminium (µg/l)</t>
  </si>
  <si>
    <t>Aluminium icke labilt (µg/l)</t>
  </si>
  <si>
    <t>F (mg/l)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</si>
</sst>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yyyy/mm/dd;@"/>
    <numFmt numFmtId="165" formatCode="0.0"/>
    <numFmt numFmtId="166" formatCode="0.000"/>
    <numFmt numFmtId="167" formatCode="#,##0.0##"/>
  </numFmts>
  <fonts count="10" x14ac:knownFonts="1"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0"/>
      <color rgb="FF000000"/>
      <name val="Calibri"/>
      <scheme val="minor"/>
    </font>
    <font>
      <sz val="10"/>
      <name val="Calibri"/>
      <scheme val="minor"/>
    </font>
    <font>
      <sz val="10"/>
      <name val="Verdana"/>
      <family val="2"/>
    </font>
    <font>
      <sz val="10"/>
      <name val="Verdana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8" fillId="0" borderId="0"/>
    <xf numFmtId="0" fontId="9" fillId="0" borderId="0"/>
  </cellStyleXfs>
  <cellXfs count="41">
    <xf numFmtId="0" fontId="0" fillId="0" borderId="0" xfId="0"/>
    <xf numFmtId="0" fontId="1" fillId="0" borderId="0" xfId="1"/>
    <xf numFmtId="1" fontId="1" fillId="0" borderId="0" xfId="1" applyNumberFormat="1" applyAlignment="1">
      <alignment vertical="top"/>
    </xf>
    <xf numFmtId="1" fontId="1" fillId="0" borderId="0" xfId="1" applyNumberFormat="1"/>
    <xf numFmtId="14" fontId="1" fillId="0" borderId="0" xfId="1" applyNumberFormat="1" applyAlignment="1">
      <alignment horizontal="left"/>
    </xf>
    <xf numFmtId="49" fontId="1" fillId="0" borderId="0" xfId="1" applyNumberFormat="1" applyAlignment="1">
      <alignment vertical="top"/>
    </xf>
    <xf numFmtId="0" fontId="1" fillId="0" borderId="0" xfId="1" applyAlignment="1">
      <alignment vertical="top"/>
    </xf>
    <xf numFmtId="14" fontId="1" fillId="0" borderId="0" xfId="1" applyNumberFormat="1" applyAlignment="1">
      <alignment horizontal="left" vertical="top"/>
    </xf>
    <xf numFmtId="0" fontId="1" fillId="2" borderId="0" xfId="1" applyFill="1"/>
    <xf numFmtId="14" fontId="1" fillId="2" borderId="0" xfId="1" applyNumberFormat="1" applyFill="1" applyAlignment="1">
      <alignment horizontal="left"/>
    </xf>
    <xf numFmtId="1" fontId="1" fillId="2" borderId="0" xfId="1" applyNumberFormat="1" applyFill="1" applyAlignment="1">
      <alignment vertical="top"/>
    </xf>
    <xf numFmtId="49" fontId="1" fillId="2" borderId="0" xfId="1" applyNumberFormat="1" applyFill="1" applyAlignment="1">
      <alignment vertical="top"/>
    </xf>
    <xf numFmtId="0" fontId="3" fillId="0" borderId="0" xfId="0" applyFont="1"/>
    <xf numFmtId="164" fontId="2" fillId="0" borderId="0" xfId="1" applyNumberFormat="1" applyFont="1" applyAlignment="1">
      <alignment horizontal="center" vertical="top" wrapText="1"/>
    </xf>
    <xf numFmtId="14" fontId="2" fillId="0" borderId="0" xfId="1" applyNumberFormat="1" applyFont="1" applyAlignment="1">
      <alignment horizontal="left" vertical="top" wrapText="1"/>
    </xf>
    <xf numFmtId="0" fontId="2" fillId="0" borderId="0" xfId="1" applyFont="1" applyAlignment="1">
      <alignment horizontal="center" vertical="top" wrapText="1"/>
    </xf>
    <xf numFmtId="165" fontId="2" fillId="0" borderId="0" xfId="1" applyNumberFormat="1" applyFont="1" applyAlignment="1">
      <alignment horizontal="center" vertical="top" wrapText="1"/>
    </xf>
    <xf numFmtId="1" fontId="2" fillId="0" borderId="0" xfId="1" applyNumberFormat="1" applyFont="1" applyAlignment="1">
      <alignment horizontal="center" vertical="top" wrapText="1"/>
    </xf>
    <xf numFmtId="2" fontId="2" fillId="0" borderId="0" xfId="1" applyNumberFormat="1" applyFont="1" applyAlignment="1">
      <alignment horizontal="center" vertical="top" wrapText="1"/>
    </xf>
    <xf numFmtId="166" fontId="2" fillId="0" borderId="0" xfId="1" applyNumberFormat="1" applyFont="1" applyAlignment="1">
      <alignment horizontal="center" vertical="top" wrapText="1"/>
    </xf>
    <xf numFmtId="0" fontId="1" fillId="0" borderId="0" xfId="1" applyAlignment="1">
      <alignment horizontal="right"/>
    </xf>
    <xf numFmtId="0" fontId="2" fillId="0" borderId="0" xfId="1" applyFont="1"/>
    <xf numFmtId="0" fontId="2" fillId="0" borderId="0" xfId="1" applyFont="1" applyAlignment="1">
      <alignment vertical="top"/>
    </xf>
    <xf numFmtId="0" fontId="2" fillId="0" borderId="0" xfId="1" applyFont="1" applyAlignment="1">
      <alignment wrapText="1"/>
    </xf>
    <xf numFmtId="0" fontId="1" fillId="0" borderId="1" xfId="1" applyBorder="1"/>
    <xf numFmtId="14" fontId="1" fillId="0" borderId="1" xfId="1" applyNumberFormat="1" applyBorder="1" applyAlignment="1">
      <alignment horizontal="left"/>
    </xf>
    <xf numFmtId="0" fontId="2" fillId="0" borderId="1" xfId="1" applyFont="1" applyBorder="1"/>
    <xf numFmtId="0" fontId="5" fillId="0" borderId="0" xfId="0" applyFont="1"/>
    <xf numFmtId="0" fontId="6" fillId="0" borderId="0" xfId="0" applyFont="1"/>
    <xf numFmtId="0" fontId="1" fillId="0" borderId="0" xfId="1" applyAlignment="1">
      <alignment horizontal="left"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7" fillId="3" borderId="0" xfId="0" applyFont="1" applyFill="1"/>
    <xf numFmtId="0" fontId="2" fillId="0" borderId="0" xfId="1" applyFont="1" applyAlignment="1">
      <alignment horizontal="left"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14" fontId="1" fillId="0" borderId="0" xfId="0" applyNumberFormat="1" applyFont="1" applyAlignment="1">
      <alignment horizontal="left"/>
    </xf>
    <xf numFmtId="0" fontId="8" fillId="0" borderId="0" xfId="2"/>
    <xf numFmtId="0" fontId="1" fillId="0" borderId="0" xfId="0" applyFont="1"/>
    <xf numFmtId="167" fontId="1" fillId="0" borderId="0" xfId="0" applyNumberFormat="1" applyFont="1"/>
  </cellXfs>
  <cellStyles count="4"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Linda Svensson" id="{49D6508A-BA5A-4556-9170-2EA36F9329E0}" userId="S::Linda.Svensson@norconsult.com::2dcb82f9-b2c0-451f-b79b-59631df3e023" providerId="AD"/>
</personList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E5456" dT="2023-12-28T10:48:27.74" personId="{49D6508A-BA5A-4556-9170-2EA36F9329E0}" id="{AE82D9CD-3204-45DA-912C-4D890224F275}">
    <text>Valideringen säger att värdet är otillåtet eller misstänkt</text>
  </threadedComment>
  <threadedComment ref="Q5468" dT="2023-12-28T11:55:46.01" personId="{49D6508A-BA5A-4556-9170-2EA36F9329E0}" id="{6F657FD5-5233-4C5F-A857-ABEC1E744307}">
    <text>Otillåtet eller misstänkt</text>
  </threadedComment>
  <threadedComment ref="S5468" dT="2023-12-28T11:55:34.87" personId="{49D6508A-BA5A-4556-9170-2EA36F9329E0}" id="{5ABAACA4-5A61-4964-AB4D-9CD5B0E1CDEA}">
    <text>Otillåtet eller misstänkt</text>
  </threadedComment>
  <threadedComment ref="AE5468" dT="2023-12-28T11:54:29.39" personId="{49D6508A-BA5A-4556-9170-2EA36F9329E0}" id="{14DD3582-EB03-4D05-AB8C-284A4871A28D}">
    <text>Mätvärde otillåtet eller misstänkt</text>
  </threadedComment>
  <threadedComment ref="Q5469" dT="2023-12-28T11:56:56.17" personId="{49D6508A-BA5A-4556-9170-2EA36F9329E0}" id="{4E9ED42C-6C1A-4764-BC5E-498E9E119DBC}">
    <text>Otillåtet eller misstänkt</text>
  </threadedComment>
  <threadedComment ref="S5469" dT="2023-12-28T11:56:45.28" personId="{49D6508A-BA5A-4556-9170-2EA36F9329E0}" id="{69F93083-6220-407C-AE95-8F8B2466CAE8}">
    <text>Misstänkt eller otillåtet</text>
  </threadedComment>
  <threadedComment ref="Q5470" dT="2023-12-28T11:57:47.77" personId="{49D6508A-BA5A-4556-9170-2EA36F9329E0}" id="{079F842B-7248-45D7-BD0B-DAD052E6F235}">
    <text>Otillåtet eller misstänkt</text>
  </threadedComment>
  <threadedComment ref="S5470" dT="2023-12-28T11:58:04.22" personId="{49D6508A-BA5A-4556-9170-2EA36F9329E0}" id="{740075D5-8156-42AD-AF52-93D1D48BF920}">
    <text>Otillåtet eller misstänkt</text>
  </threadedComment>
  <threadedComment ref="Q5471" dT="2023-12-28T11:58:43.20" personId="{49D6508A-BA5A-4556-9170-2EA36F9329E0}" id="{56C75A84-C1A2-4C44-8CDA-A81E336D1B1D}">
    <text>Otillåtet eller misstänkt</text>
  </threadedComment>
  <threadedComment ref="S5471" dT="2023-12-28T11:58:56.97" personId="{49D6508A-BA5A-4556-9170-2EA36F9329E0}" id="{4AD5CC21-BAB1-406E-9C71-311967C65BF9}">
    <text>Otillåtet eller misstänkt</text>
  </threadedComment>
  <threadedComment ref="Z5479" dT="2023-12-28T12:05:06.27" personId="{49D6508A-BA5A-4556-9170-2EA36F9329E0}" id="{E2042A66-8E07-469C-B3DF-7F596AE2BF56}">
    <text>Otillåtet eller misstänkt</text>
  </threadedComment>
  <threadedComment ref="AK5479" dT="2023-12-28T12:05:33.24" personId="{49D6508A-BA5A-4556-9170-2EA36F9329E0}" id="{2E578787-AD41-4E91-9D24-2F40EAA4375C}">
    <text>Otillåtet eller misstänkt</text>
  </threadedComment>
  <threadedComment ref="Z5491" dT="2023-12-28T12:17:15.84" personId="{49D6508A-BA5A-4556-9170-2EA36F9329E0}" id="{753D6B9B-9A87-4BA9-9DC8-047A00107FC8}">
    <text>Otillåtet eller misstänkt</text>
  </threadedComment>
  <threadedComment ref="AK5491" dT="2023-12-28T12:17:47.60" personId="{49D6508A-BA5A-4556-9170-2EA36F9329E0}" id="{40D3B9EB-C0BA-484A-8E55-4F3118CF02BA}">
    <text>Otillåtet eller misstänkt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Y5669"/>
  <sheetViews>
    <sheetView tabSelected="1" zoomScale="90" zoomScaleNormal="90" workbookViewId="0">
      <pane ySplit="1" topLeftCell="A5642" activePane="bottomLeft" state="frozen"/>
      <selection pane="bottomLeft" activeCell="CP5673" sqref="CP5673"/>
    </sheetView>
  </sheetViews>
  <sheetFormatPr defaultColWidth="10.8984375" defaultRowHeight="13.8" x14ac:dyDescent="0.3"/>
  <cols>
    <col min="1" max="2" width="10.8984375" style="1"/>
    <col min="3" max="3" width="22.09765625" style="1" customWidth="1"/>
    <col min="4" max="6" width="10.8984375" style="1"/>
    <col min="7" max="7" width="10.8984375" style="4"/>
    <col min="8" max="9" width="10.8984375" style="1"/>
    <col min="10" max="10" width="18.8984375" style="1" customWidth="1"/>
    <col min="11" max="11" width="11.8984375" style="29" customWidth="1"/>
    <col min="12" max="12" width="16.09765625" style="1" customWidth="1"/>
    <col min="13" max="13" width="10.8984375" style="29"/>
    <col min="14" max="16" width="10.8984375" style="1"/>
    <col min="17" max="69" width="8.3984375" style="1" customWidth="1"/>
    <col min="70" max="91" width="20.59765625" style="1" customWidth="1"/>
    <col min="92" max="93" width="10.8984375" style="1"/>
    <col min="94" max="94" width="10.8984375" style="21"/>
    <col min="95" max="16384" width="10.8984375" style="1"/>
  </cols>
  <sheetData>
    <row r="1" spans="1:181" s="23" customFormat="1" ht="57" customHeight="1" x14ac:dyDescent="0.3">
      <c r="A1" s="15" t="s">
        <v>0</v>
      </c>
      <c r="B1" s="15" t="s">
        <v>1</v>
      </c>
      <c r="C1" s="15" t="s">
        <v>2</v>
      </c>
      <c r="D1" s="13" t="s">
        <v>3</v>
      </c>
      <c r="E1" s="13" t="s">
        <v>4</v>
      </c>
      <c r="F1" s="13" t="s">
        <v>5</v>
      </c>
      <c r="G1" s="14" t="s">
        <v>6</v>
      </c>
      <c r="H1" s="15" t="s">
        <v>7</v>
      </c>
      <c r="I1" s="15" t="s">
        <v>8</v>
      </c>
      <c r="J1" s="15" t="s">
        <v>9</v>
      </c>
      <c r="K1" s="33" t="s">
        <v>10</v>
      </c>
      <c r="L1" s="15" t="s">
        <v>11</v>
      </c>
      <c r="M1" s="33" t="s">
        <v>12</v>
      </c>
      <c r="N1" s="15" t="s">
        <v>13</v>
      </c>
      <c r="O1" s="15" t="s">
        <v>14</v>
      </c>
      <c r="P1" s="15" t="s">
        <v>15</v>
      </c>
      <c r="Q1" s="16" t="s">
        <v>16</v>
      </c>
      <c r="R1" s="16" t="s">
        <v>17</v>
      </c>
      <c r="S1" s="17" t="s">
        <v>18</v>
      </c>
      <c r="T1" s="15" t="s">
        <v>19</v>
      </c>
      <c r="U1" s="15" t="s">
        <v>20</v>
      </c>
      <c r="V1" s="18" t="s">
        <v>21</v>
      </c>
      <c r="W1" s="17" t="s">
        <v>22</v>
      </c>
      <c r="X1" s="17" t="s">
        <v>23</v>
      </c>
      <c r="Y1" s="19" t="s">
        <v>24</v>
      </c>
      <c r="Z1" s="17" t="s">
        <v>25</v>
      </c>
      <c r="AA1" s="16" t="s">
        <v>26</v>
      </c>
      <c r="AB1" s="18" t="s">
        <v>27</v>
      </c>
      <c r="AC1" s="15" t="s">
        <v>19</v>
      </c>
      <c r="AD1" s="17" t="s">
        <v>28</v>
      </c>
      <c r="AE1" s="16" t="s">
        <v>29</v>
      </c>
      <c r="AF1" s="15" t="s">
        <v>30</v>
      </c>
      <c r="AG1" s="15" t="s">
        <v>31</v>
      </c>
      <c r="AH1" s="15" t="s">
        <v>32</v>
      </c>
      <c r="AI1" s="16" t="s">
        <v>33</v>
      </c>
      <c r="AJ1" s="16" t="s">
        <v>34</v>
      </c>
      <c r="AK1" s="17" t="s">
        <v>35</v>
      </c>
      <c r="AL1" s="17" t="s">
        <v>36</v>
      </c>
      <c r="AM1" s="17" t="s">
        <v>1297</v>
      </c>
      <c r="AN1" s="17" t="s">
        <v>1299</v>
      </c>
      <c r="AO1" s="17" t="s">
        <v>1300</v>
      </c>
      <c r="AP1" s="17" t="s">
        <v>1301</v>
      </c>
      <c r="AQ1" s="17" t="s">
        <v>1302</v>
      </c>
      <c r="AR1" s="15" t="s">
        <v>37</v>
      </c>
      <c r="AS1" s="15" t="s">
        <v>38</v>
      </c>
      <c r="AT1" s="15" t="s">
        <v>39</v>
      </c>
      <c r="AU1" s="15" t="s">
        <v>40</v>
      </c>
      <c r="AV1" s="15" t="s">
        <v>41</v>
      </c>
      <c r="AW1" s="15" t="s">
        <v>42</v>
      </c>
      <c r="AX1" s="15" t="s">
        <v>43</v>
      </c>
      <c r="AY1" s="15" t="s">
        <v>44</v>
      </c>
      <c r="AZ1" s="15" t="s">
        <v>45</v>
      </c>
      <c r="BA1" s="15" t="s">
        <v>46</v>
      </c>
      <c r="BB1" s="15" t="s">
        <v>47</v>
      </c>
      <c r="BC1" s="15" t="s">
        <v>48</v>
      </c>
      <c r="BD1" s="15" t="s">
        <v>49</v>
      </c>
      <c r="BE1" s="15" t="s">
        <v>50</v>
      </c>
      <c r="BF1" s="15" t="s">
        <v>51</v>
      </c>
      <c r="BG1" s="15" t="s">
        <v>52</v>
      </c>
      <c r="BH1" s="15" t="s">
        <v>53</v>
      </c>
      <c r="BI1" s="15" t="s">
        <v>54</v>
      </c>
      <c r="BJ1" s="15" t="s">
        <v>55</v>
      </c>
      <c r="BK1" s="15" t="s">
        <v>56</v>
      </c>
      <c r="BL1" s="15" t="s">
        <v>57</v>
      </c>
      <c r="BM1" s="15" t="s">
        <v>58</v>
      </c>
      <c r="BN1" s="15" t="s">
        <v>59</v>
      </c>
      <c r="BO1" s="15" t="s">
        <v>60</v>
      </c>
      <c r="BP1" s="15" t="s">
        <v>61</v>
      </c>
      <c r="BQ1" s="15" t="s">
        <v>62</v>
      </c>
      <c r="BR1" s="15" t="s">
        <v>63</v>
      </c>
      <c r="BS1" s="15" t="s">
        <v>64</v>
      </c>
      <c r="BT1" s="15" t="s">
        <v>65</v>
      </c>
      <c r="BU1" s="15" t="s">
        <v>66</v>
      </c>
      <c r="BV1" s="15" t="s">
        <v>67</v>
      </c>
      <c r="BW1" s="15" t="s">
        <v>68</v>
      </c>
      <c r="BX1" s="15" t="s">
        <v>69</v>
      </c>
      <c r="BY1" s="15" t="s">
        <v>70</v>
      </c>
      <c r="BZ1" s="15" t="s">
        <v>71</v>
      </c>
      <c r="CA1" s="15" t="s">
        <v>72</v>
      </c>
      <c r="CB1" s="15" t="s">
        <v>73</v>
      </c>
      <c r="CC1" s="15" t="s">
        <v>74</v>
      </c>
      <c r="CD1" s="15" t="s">
        <v>75</v>
      </c>
      <c r="CE1" s="15" t="s">
        <v>76</v>
      </c>
      <c r="CF1" s="15" t="s">
        <v>77</v>
      </c>
      <c r="CG1" s="15" t="s">
        <v>78</v>
      </c>
      <c r="CH1" s="15" t="s">
        <v>79</v>
      </c>
      <c r="CI1" s="15" t="s">
        <v>80</v>
      </c>
      <c r="CJ1" s="15" t="s">
        <v>81</v>
      </c>
      <c r="CK1" s="15" t="s">
        <v>82</v>
      </c>
      <c r="CL1" s="15" t="s">
        <v>83</v>
      </c>
      <c r="CM1" s="15" t="s">
        <v>84</v>
      </c>
      <c r="CN1" s="15" t="s">
        <v>85</v>
      </c>
      <c r="CO1" s="15" t="s">
        <v>86</v>
      </c>
      <c r="CP1" s="15" t="s">
        <v>87</v>
      </c>
      <c r="CQ1" s="15" t="s">
        <v>88</v>
      </c>
      <c r="CR1" s="15" t="s">
        <v>89</v>
      </c>
      <c r="CS1" s="15" t="s">
        <v>90</v>
      </c>
      <c r="CT1" s="15" t="s">
        <v>91</v>
      </c>
      <c r="CU1" s="15" t="s">
        <v>92</v>
      </c>
      <c r="CV1" s="15" t="s">
        <v>93</v>
      </c>
      <c r="CW1" s="15" t="s">
        <v>94</v>
      </c>
      <c r="CX1" s="15" t="s">
        <v>95</v>
      </c>
      <c r="CY1" s="15" t="s">
        <v>96</v>
      </c>
      <c r="CZ1" s="15" t="s">
        <v>97</v>
      </c>
      <c r="DA1" s="15" t="s">
        <v>98</v>
      </c>
      <c r="DB1" s="15" t="s">
        <v>99</v>
      </c>
      <c r="DC1" s="15" t="s">
        <v>100</v>
      </c>
      <c r="DD1" s="15" t="s">
        <v>101</v>
      </c>
      <c r="DE1" s="15" t="s">
        <v>102</v>
      </c>
      <c r="DF1" s="15" t="s">
        <v>103</v>
      </c>
      <c r="DG1" s="15" t="s">
        <v>104</v>
      </c>
      <c r="DH1" s="15" t="s">
        <v>105</v>
      </c>
      <c r="DI1" s="15" t="s">
        <v>106</v>
      </c>
      <c r="DJ1" s="15" t="s">
        <v>107</v>
      </c>
      <c r="DK1" s="23" t="s">
        <v>108</v>
      </c>
      <c r="DL1" s="23" t="s">
        <v>109</v>
      </c>
      <c r="DM1" s="23" t="s">
        <v>110</v>
      </c>
      <c r="DN1" s="23" t="s">
        <v>111</v>
      </c>
      <c r="DO1" s="23" t="s">
        <v>112</v>
      </c>
      <c r="DP1" s="23" t="s">
        <v>113</v>
      </c>
      <c r="DQ1" s="23" t="s">
        <v>114</v>
      </c>
      <c r="DR1" s="23" t="s">
        <v>115</v>
      </c>
      <c r="DS1" s="23" t="s">
        <v>116</v>
      </c>
      <c r="DT1" s="23" t="s">
        <v>117</v>
      </c>
      <c r="DU1" s="23" t="s">
        <v>118</v>
      </c>
      <c r="DV1" s="23" t="s">
        <v>119</v>
      </c>
      <c r="DW1" s="23" t="s">
        <v>120</v>
      </c>
      <c r="DX1" s="23" t="s">
        <v>121</v>
      </c>
      <c r="DY1" s="23" t="s">
        <v>122</v>
      </c>
      <c r="DZ1" s="23" t="s">
        <v>123</v>
      </c>
      <c r="EA1" s="23" t="s">
        <v>124</v>
      </c>
      <c r="EB1" s="23" t="s">
        <v>125</v>
      </c>
      <c r="EC1" s="23" t="s">
        <v>126</v>
      </c>
      <c r="ED1" s="23" t="s">
        <v>127</v>
      </c>
      <c r="EE1" s="23" t="s">
        <v>128</v>
      </c>
      <c r="EF1" s="23" t="s">
        <v>129</v>
      </c>
      <c r="EG1" s="23" t="s">
        <v>130</v>
      </c>
      <c r="EH1" s="23" t="s">
        <v>131</v>
      </c>
      <c r="EI1" s="23" t="s">
        <v>132</v>
      </c>
      <c r="EJ1" s="23" t="s">
        <v>133</v>
      </c>
      <c r="EK1" s="23" t="s">
        <v>134</v>
      </c>
      <c r="EL1" s="23" t="s">
        <v>135</v>
      </c>
      <c r="EM1" s="23" t="s">
        <v>136</v>
      </c>
      <c r="EN1" s="23" t="s">
        <v>137</v>
      </c>
      <c r="EO1" s="23" t="s">
        <v>138</v>
      </c>
      <c r="EP1" s="23" t="s">
        <v>139</v>
      </c>
      <c r="EQ1" s="23" t="s">
        <v>140</v>
      </c>
      <c r="ER1" s="23" t="s">
        <v>141</v>
      </c>
      <c r="ES1" s="23" t="s">
        <v>142</v>
      </c>
      <c r="ET1" s="23" t="s">
        <v>143</v>
      </c>
      <c r="EU1" s="23" t="s">
        <v>144</v>
      </c>
      <c r="EV1" s="23" t="s">
        <v>145</v>
      </c>
      <c r="EW1" s="23" t="s">
        <v>146</v>
      </c>
      <c r="EX1" s="23" t="s">
        <v>147</v>
      </c>
      <c r="EY1" s="23" t="s">
        <v>148</v>
      </c>
      <c r="EZ1" s="23" t="s">
        <v>149</v>
      </c>
      <c r="FA1" s="23" t="s">
        <v>150</v>
      </c>
      <c r="FB1" s="23" t="s">
        <v>151</v>
      </c>
      <c r="FC1" s="23" t="s">
        <v>152</v>
      </c>
      <c r="FD1" s="23" t="s">
        <v>153</v>
      </c>
      <c r="FE1" s="23" t="s">
        <v>154</v>
      </c>
      <c r="FF1" s="23" t="s">
        <v>155</v>
      </c>
      <c r="FG1" s="23" t="s">
        <v>156</v>
      </c>
      <c r="FH1" s="23" t="s">
        <v>157</v>
      </c>
      <c r="FI1" s="23" t="s">
        <v>158</v>
      </c>
      <c r="FJ1" s="23" t="s">
        <v>159</v>
      </c>
      <c r="FK1" s="23" t="s">
        <v>160</v>
      </c>
      <c r="FL1" s="23" t="s">
        <v>161</v>
      </c>
      <c r="FM1" s="23" t="s">
        <v>162</v>
      </c>
      <c r="FN1" s="23" t="s">
        <v>163</v>
      </c>
      <c r="FO1" s="23" t="s">
        <v>164</v>
      </c>
      <c r="FP1" s="23" t="s">
        <v>165</v>
      </c>
      <c r="FQ1" s="23" t="s">
        <v>166</v>
      </c>
      <c r="FR1" s="23" t="s">
        <v>167</v>
      </c>
      <c r="FS1" s="23" t="s">
        <v>168</v>
      </c>
      <c r="FT1" s="23" t="s">
        <v>169</v>
      </c>
      <c r="FU1" s="23" t="s">
        <v>170</v>
      </c>
      <c r="FV1" s="23" t="s">
        <v>171</v>
      </c>
      <c r="FW1" s="23" t="s">
        <v>172</v>
      </c>
      <c r="FX1" s="23" t="s">
        <v>173</v>
      </c>
      <c r="FY1" s="23" t="s">
        <v>174</v>
      </c>
    </row>
    <row r="2" spans="1:181" x14ac:dyDescent="0.3">
      <c r="D2" s="2">
        <f t="shared" ref="D2:D65" si="0">YEAR(G2)</f>
        <v>1968</v>
      </c>
      <c r="E2" s="2">
        <f t="shared" ref="E2:E65" si="1">MONTH(G2)</f>
        <v>1</v>
      </c>
      <c r="F2" s="3" t="s">
        <v>175</v>
      </c>
      <c r="G2" s="4">
        <v>24855</v>
      </c>
      <c r="H2" s="1">
        <v>6606238</v>
      </c>
      <c r="I2" s="1">
        <v>661152</v>
      </c>
      <c r="J2" s="5" t="s">
        <v>176</v>
      </c>
      <c r="K2" s="1"/>
      <c r="L2" s="1" t="str">
        <f t="shared" ref="L2:L65" si="2">CONCATENATE(J2," ",K2)</f>
        <v xml:space="preserve">Oxundaån </v>
      </c>
      <c r="M2" s="1" t="s">
        <v>177</v>
      </c>
      <c r="N2" s="1">
        <v>0.5</v>
      </c>
      <c r="O2" s="1">
        <v>0.5</v>
      </c>
      <c r="Q2" s="1">
        <v>1</v>
      </c>
      <c r="R2" s="1">
        <v>3.4</v>
      </c>
      <c r="V2" s="1">
        <v>2.3010000000000002</v>
      </c>
      <c r="W2" s="1">
        <v>1457</v>
      </c>
      <c r="X2" s="1">
        <f t="shared" ref="X2:X65" si="3">W2 * (1/((10^((0.0901821 + (2729.92 /(273.15 + Q2)))-AE2)+1)))</f>
        <v>2.0649101928462406</v>
      </c>
      <c r="Y2" s="1">
        <v>8.1000000000000003E-2</v>
      </c>
      <c r="Z2" s="1">
        <v>470</v>
      </c>
      <c r="AD2" s="1">
        <v>744</v>
      </c>
      <c r="AE2" s="1">
        <v>7.2</v>
      </c>
      <c r="AG2" s="1">
        <v>40.799999999999997</v>
      </c>
      <c r="AK2" s="1">
        <v>545</v>
      </c>
      <c r="AR2" s="1">
        <v>53.3</v>
      </c>
      <c r="AT2" s="1">
        <v>10.596100000000002</v>
      </c>
      <c r="AU2" s="1">
        <v>8.0586000000000002</v>
      </c>
      <c r="AV2" s="1">
        <v>27.615550000000002</v>
      </c>
      <c r="AW2" s="1">
        <v>22.96294</v>
      </c>
      <c r="AX2" s="1">
        <v>79.474699999999984</v>
      </c>
      <c r="AY2" s="1">
        <v>4.04</v>
      </c>
    </row>
    <row r="3" spans="1:181" x14ac:dyDescent="0.3">
      <c r="D3" s="2">
        <f t="shared" si="0"/>
        <v>1968</v>
      </c>
      <c r="E3" s="2">
        <f t="shared" si="1"/>
        <v>2</v>
      </c>
      <c r="F3" s="3" t="s">
        <v>175</v>
      </c>
      <c r="G3" s="4">
        <v>24883</v>
      </c>
      <c r="H3" s="1">
        <v>6606238</v>
      </c>
      <c r="I3" s="1">
        <v>661152</v>
      </c>
      <c r="J3" s="5" t="s">
        <v>176</v>
      </c>
      <c r="K3" s="1"/>
      <c r="L3" s="1" t="str">
        <f t="shared" si="2"/>
        <v xml:space="preserve">Oxundaån </v>
      </c>
      <c r="M3" s="1" t="s">
        <v>177</v>
      </c>
      <c r="N3" s="1">
        <v>0.5</v>
      </c>
      <c r="O3" s="1">
        <v>0.5</v>
      </c>
      <c r="Q3" s="1">
        <v>1.2</v>
      </c>
      <c r="R3" s="1">
        <v>3.4</v>
      </c>
      <c r="V3" s="1">
        <v>2.431</v>
      </c>
      <c r="W3" s="1">
        <v>2194</v>
      </c>
      <c r="X3" s="1">
        <f t="shared" si="3"/>
        <v>2.8839126556234747</v>
      </c>
      <c r="Y3" s="1">
        <v>7.3999999999999996E-2</v>
      </c>
      <c r="Z3" s="1">
        <v>445</v>
      </c>
      <c r="AD3" s="1">
        <v>684</v>
      </c>
      <c r="AE3" s="1">
        <v>7.16</v>
      </c>
      <c r="AG3" s="1">
        <v>11.7</v>
      </c>
      <c r="AK3" s="1">
        <v>488</v>
      </c>
      <c r="AR3" s="1">
        <v>54.6</v>
      </c>
      <c r="AT3" s="1">
        <v>11.182599999999999</v>
      </c>
      <c r="AU3" s="1">
        <v>8.5546999999999986</v>
      </c>
      <c r="AV3" s="1">
        <v>30.2743</v>
      </c>
      <c r="AW3" s="1">
        <v>26.954500000000003</v>
      </c>
      <c r="AX3" s="1">
        <v>91.006699999999995</v>
      </c>
      <c r="AY3" s="1">
        <v>4.3600000000000003</v>
      </c>
    </row>
    <row r="4" spans="1:181" x14ac:dyDescent="0.3">
      <c r="D4" s="2">
        <f t="shared" si="0"/>
        <v>1968</v>
      </c>
      <c r="E4" s="2">
        <f t="shared" si="1"/>
        <v>3</v>
      </c>
      <c r="F4" s="3" t="s">
        <v>175</v>
      </c>
      <c r="G4" s="4">
        <v>24911</v>
      </c>
      <c r="H4" s="1">
        <v>6606238</v>
      </c>
      <c r="I4" s="1">
        <v>661152</v>
      </c>
      <c r="J4" s="5" t="s">
        <v>176</v>
      </c>
      <c r="K4" s="1"/>
      <c r="L4" s="1" t="str">
        <f t="shared" si="2"/>
        <v xml:space="preserve">Oxundaån </v>
      </c>
      <c r="M4" s="1" t="s">
        <v>177</v>
      </c>
      <c r="N4" s="1">
        <v>0.5</v>
      </c>
      <c r="O4" s="1">
        <v>0.5</v>
      </c>
      <c r="Q4" s="1">
        <v>1.1000000000000001</v>
      </c>
      <c r="R4" s="1">
        <v>1</v>
      </c>
      <c r="V4" s="1">
        <v>2.323</v>
      </c>
      <c r="W4" s="1">
        <v>2272</v>
      </c>
      <c r="X4" s="1">
        <f t="shared" si="3"/>
        <v>5.9015654351543283</v>
      </c>
      <c r="Y4" s="1">
        <v>6.8000000000000005E-2</v>
      </c>
      <c r="Z4" s="1">
        <v>490</v>
      </c>
      <c r="AD4" s="1">
        <v>780</v>
      </c>
      <c r="AE4" s="1">
        <v>7.46</v>
      </c>
      <c r="AG4" s="1">
        <v>12.7</v>
      </c>
      <c r="AK4" s="1">
        <v>794</v>
      </c>
      <c r="AR4" s="1">
        <v>63.9</v>
      </c>
      <c r="AT4" s="1">
        <v>11.026199999999999</v>
      </c>
      <c r="AU4" s="1">
        <v>9.4501000000000008</v>
      </c>
      <c r="AV4" s="1">
        <v>32.649450000000002</v>
      </c>
      <c r="AW4" s="1">
        <v>27.046260000000004</v>
      </c>
      <c r="AX4" s="1">
        <v>101.38549999999999</v>
      </c>
      <c r="AY4" s="1">
        <v>4.78</v>
      </c>
    </row>
    <row r="5" spans="1:181" x14ac:dyDescent="0.3">
      <c r="D5" s="2">
        <f t="shared" si="0"/>
        <v>1968</v>
      </c>
      <c r="E5" s="2">
        <f t="shared" si="1"/>
        <v>4</v>
      </c>
      <c r="F5" s="3" t="s">
        <v>178</v>
      </c>
      <c r="G5" s="4">
        <v>24944</v>
      </c>
      <c r="H5" s="1">
        <v>6606238</v>
      </c>
      <c r="I5" s="1">
        <v>661152</v>
      </c>
      <c r="J5" s="5" t="s">
        <v>176</v>
      </c>
      <c r="K5" s="1"/>
      <c r="L5" s="1" t="str">
        <f t="shared" si="2"/>
        <v xml:space="preserve">Oxundaån </v>
      </c>
      <c r="M5" s="1" t="s">
        <v>177</v>
      </c>
      <c r="N5" s="1">
        <v>0.5</v>
      </c>
      <c r="O5" s="1">
        <v>0.5</v>
      </c>
      <c r="Q5" s="1">
        <v>5.2</v>
      </c>
      <c r="R5" s="1">
        <v>6.9</v>
      </c>
      <c r="V5" s="1">
        <v>1.4630000000000001</v>
      </c>
      <c r="W5" s="1">
        <v>409</v>
      </c>
      <c r="X5" s="1">
        <f t="shared" si="3"/>
        <v>1.0786630199165044</v>
      </c>
      <c r="Y5" s="1">
        <v>6.8000000000000005E-2</v>
      </c>
      <c r="Z5" s="1">
        <v>135</v>
      </c>
      <c r="AD5" s="1">
        <v>1020</v>
      </c>
      <c r="AE5" s="1">
        <v>7.32</v>
      </c>
      <c r="AG5" s="1">
        <v>11.5</v>
      </c>
      <c r="AK5" s="1">
        <v>220</v>
      </c>
      <c r="AR5" s="1">
        <v>41.54</v>
      </c>
      <c r="AT5" s="1">
        <v>6.6470000000000011</v>
      </c>
      <c r="AU5" s="1">
        <v>7.5019999999999998</v>
      </c>
      <c r="AV5" s="1">
        <v>19.603850000000005</v>
      </c>
      <c r="AW5" s="1">
        <v>17.205000000000002</v>
      </c>
      <c r="AX5" s="1">
        <v>75.534599999999998</v>
      </c>
      <c r="AY5" s="1">
        <v>4.1500000000000004</v>
      </c>
    </row>
    <row r="6" spans="1:181" x14ac:dyDescent="0.3">
      <c r="D6" s="2">
        <f t="shared" si="0"/>
        <v>1968</v>
      </c>
      <c r="E6" s="2">
        <f t="shared" si="1"/>
        <v>5</v>
      </c>
      <c r="F6" s="3" t="s">
        <v>178</v>
      </c>
      <c r="G6" s="4">
        <v>24973</v>
      </c>
      <c r="H6" s="1">
        <v>6606238</v>
      </c>
      <c r="I6" s="1">
        <v>661152</v>
      </c>
      <c r="J6" s="5" t="s">
        <v>176</v>
      </c>
      <c r="K6" s="1"/>
      <c r="L6" s="1" t="str">
        <f t="shared" si="2"/>
        <v xml:space="preserve">Oxundaån </v>
      </c>
      <c r="M6" s="1" t="s">
        <v>177</v>
      </c>
      <c r="N6" s="1">
        <v>0.5</v>
      </c>
      <c r="O6" s="1">
        <v>0.5</v>
      </c>
      <c r="Q6" s="1">
        <v>10.1</v>
      </c>
      <c r="R6" s="1">
        <v>11.1</v>
      </c>
      <c r="V6" s="1">
        <v>1.754</v>
      </c>
      <c r="W6" s="1">
        <v>51</v>
      </c>
      <c r="X6" s="1">
        <f t="shared" si="3"/>
        <v>0.37698104654326275</v>
      </c>
      <c r="Y6" s="1">
        <v>3.9E-2</v>
      </c>
      <c r="Z6" s="1">
        <v>58</v>
      </c>
      <c r="AD6" s="1">
        <v>570</v>
      </c>
      <c r="AE6" s="1">
        <v>7.6</v>
      </c>
      <c r="AG6" s="1">
        <v>24.9</v>
      </c>
      <c r="AK6" s="1">
        <v>248</v>
      </c>
      <c r="AR6" s="1">
        <v>43.16</v>
      </c>
      <c r="AT6" s="1">
        <v>8.5237999999999996</v>
      </c>
      <c r="AU6" s="1">
        <v>7.5382999999999996</v>
      </c>
      <c r="AV6" s="1">
        <v>22.191700000000001</v>
      </c>
      <c r="AW6" s="1">
        <v>18.604340000000001</v>
      </c>
      <c r="AX6" s="1">
        <v>73.756749999999997</v>
      </c>
      <c r="AY6" s="1">
        <v>0.82</v>
      </c>
    </row>
    <row r="7" spans="1:181" x14ac:dyDescent="0.3">
      <c r="D7" s="2">
        <f t="shared" si="0"/>
        <v>1968</v>
      </c>
      <c r="E7" s="2">
        <f t="shared" si="1"/>
        <v>6</v>
      </c>
      <c r="F7" s="3"/>
      <c r="G7" s="4">
        <v>25006</v>
      </c>
      <c r="H7" s="1">
        <v>6606238</v>
      </c>
      <c r="I7" s="1">
        <v>661152</v>
      </c>
      <c r="J7" s="5" t="s">
        <v>176</v>
      </c>
      <c r="K7" s="1"/>
      <c r="L7" s="1" t="str">
        <f t="shared" si="2"/>
        <v xml:space="preserve">Oxundaån </v>
      </c>
      <c r="M7" s="1" t="s">
        <v>177</v>
      </c>
      <c r="N7" s="1">
        <v>0.5</v>
      </c>
      <c r="O7" s="1">
        <v>0.5</v>
      </c>
      <c r="Q7" s="1">
        <v>22.4</v>
      </c>
      <c r="R7" s="1">
        <v>11.5</v>
      </c>
      <c r="V7" s="1">
        <v>1.903</v>
      </c>
      <c r="W7" s="1">
        <v>45</v>
      </c>
      <c r="X7" s="1">
        <f t="shared" si="3"/>
        <v>7.6749161648333235</v>
      </c>
      <c r="Y7" s="1">
        <v>6.9000000000000006E-2</v>
      </c>
      <c r="Z7" s="1">
        <v>138</v>
      </c>
      <c r="AD7" s="1">
        <v>112</v>
      </c>
      <c r="AE7" s="1">
        <v>8.64</v>
      </c>
      <c r="AG7" s="1">
        <v>30.3</v>
      </c>
      <c r="AK7" s="1">
        <v>208</v>
      </c>
      <c r="AR7" s="1">
        <v>48.48</v>
      </c>
      <c r="AT7" s="1">
        <v>8.9930000000000003</v>
      </c>
      <c r="AU7" s="1">
        <v>8.4094999999999995</v>
      </c>
      <c r="AV7" s="1">
        <v>25.843050000000002</v>
      </c>
      <c r="AW7" s="1">
        <v>20.990100000000002</v>
      </c>
      <c r="AX7" s="1">
        <v>75.102149999999995</v>
      </c>
      <c r="AY7" s="1">
        <v>0.2</v>
      </c>
    </row>
    <row r="8" spans="1:181" x14ac:dyDescent="0.3">
      <c r="D8" s="2">
        <f t="shared" si="0"/>
        <v>1968</v>
      </c>
      <c r="E8" s="2">
        <f t="shared" si="1"/>
        <v>7</v>
      </c>
      <c r="F8" s="3" t="s">
        <v>179</v>
      </c>
      <c r="G8" s="4">
        <v>25035</v>
      </c>
      <c r="H8" s="1">
        <v>6606238</v>
      </c>
      <c r="I8" s="1">
        <v>661152</v>
      </c>
      <c r="J8" s="5" t="s">
        <v>176</v>
      </c>
      <c r="K8" s="1"/>
      <c r="L8" s="1" t="str">
        <f t="shared" si="2"/>
        <v xml:space="preserve">Oxundaån </v>
      </c>
      <c r="M8" s="1" t="s">
        <v>177</v>
      </c>
      <c r="N8" s="1">
        <v>0.5</v>
      </c>
      <c r="O8" s="1">
        <v>0.5</v>
      </c>
      <c r="Q8" s="1">
        <v>18.600000000000001</v>
      </c>
      <c r="R8" s="1">
        <v>6.3</v>
      </c>
      <c r="V8" s="1">
        <v>2.0449999999999999</v>
      </c>
      <c r="W8" s="1">
        <v>334</v>
      </c>
      <c r="X8" s="1">
        <f t="shared" si="3"/>
        <v>7.6981291525527533</v>
      </c>
      <c r="Y8" s="1">
        <v>6.4000000000000001E-2</v>
      </c>
      <c r="Z8" s="1">
        <v>450</v>
      </c>
      <c r="AD8" s="1">
        <v>125</v>
      </c>
      <c r="AE8" s="1">
        <v>7.82</v>
      </c>
      <c r="AG8" s="1">
        <v>10.9</v>
      </c>
      <c r="AK8" s="1">
        <v>478</v>
      </c>
      <c r="AR8" s="1">
        <v>49.54</v>
      </c>
      <c r="AT8" s="1">
        <v>9.3448999999999991</v>
      </c>
      <c r="AU8" s="1">
        <v>8.5183999999999997</v>
      </c>
      <c r="AV8" s="1">
        <v>27.261050000000004</v>
      </c>
      <c r="AW8" s="1">
        <v>21.196560000000002</v>
      </c>
      <c r="AX8" s="1">
        <v>71.64255</v>
      </c>
      <c r="AY8" s="1">
        <v>1.03</v>
      </c>
    </row>
    <row r="9" spans="1:181" x14ac:dyDescent="0.3">
      <c r="D9" s="2">
        <f t="shared" si="0"/>
        <v>1968</v>
      </c>
      <c r="E9" s="2">
        <f t="shared" si="1"/>
        <v>8</v>
      </c>
      <c r="F9" s="3" t="s">
        <v>179</v>
      </c>
      <c r="G9" s="4">
        <v>25065</v>
      </c>
      <c r="H9" s="1">
        <v>6606238</v>
      </c>
      <c r="I9" s="1">
        <v>661152</v>
      </c>
      <c r="J9" s="5" t="s">
        <v>176</v>
      </c>
      <c r="K9" s="1"/>
      <c r="L9" s="1" t="str">
        <f t="shared" si="2"/>
        <v xml:space="preserve">Oxundaån </v>
      </c>
      <c r="M9" s="1" t="s">
        <v>177</v>
      </c>
      <c r="N9" s="1">
        <v>0.5</v>
      </c>
      <c r="O9" s="1">
        <v>0.5</v>
      </c>
      <c r="Q9" s="1">
        <v>19.2</v>
      </c>
      <c r="R9" s="1">
        <v>2.7</v>
      </c>
      <c r="V9" s="1">
        <v>2.2909999999999999</v>
      </c>
      <c r="W9" s="1">
        <v>170</v>
      </c>
      <c r="X9" s="1">
        <f t="shared" si="3"/>
        <v>1.8947447876731776</v>
      </c>
      <c r="Y9" s="1">
        <v>5.7000000000000002E-2</v>
      </c>
      <c r="Z9" s="1">
        <v>560</v>
      </c>
      <c r="AD9" s="1">
        <v>126</v>
      </c>
      <c r="AE9" s="1">
        <v>7.48</v>
      </c>
      <c r="AG9" s="1">
        <v>13.4</v>
      </c>
      <c r="AK9" s="1">
        <v>683</v>
      </c>
      <c r="AR9" s="1">
        <v>52.539999999999992</v>
      </c>
      <c r="AT9" s="1">
        <v>11.299899999999999</v>
      </c>
      <c r="AU9" s="1">
        <v>8.0465</v>
      </c>
      <c r="AV9" s="1">
        <v>30.203400000000002</v>
      </c>
      <c r="AW9" s="1">
        <v>26.358060000000002</v>
      </c>
      <c r="AX9" s="1">
        <v>76.063149999999993</v>
      </c>
      <c r="AY9" s="1">
        <v>1.24</v>
      </c>
    </row>
    <row r="10" spans="1:181" x14ac:dyDescent="0.3">
      <c r="D10" s="2">
        <f t="shared" si="0"/>
        <v>1968</v>
      </c>
      <c r="E10" s="2">
        <f t="shared" si="1"/>
        <v>9</v>
      </c>
      <c r="F10" s="3"/>
      <c r="G10" s="4">
        <v>25097</v>
      </c>
      <c r="H10" s="1">
        <v>6606238</v>
      </c>
      <c r="I10" s="1">
        <v>661152</v>
      </c>
      <c r="J10" s="5" t="s">
        <v>176</v>
      </c>
      <c r="K10" s="1"/>
      <c r="L10" s="1" t="str">
        <f t="shared" si="2"/>
        <v xml:space="preserve">Oxundaån </v>
      </c>
      <c r="M10" s="1" t="s">
        <v>177</v>
      </c>
      <c r="N10" s="1">
        <v>0.5</v>
      </c>
      <c r="O10" s="1">
        <v>0.5</v>
      </c>
      <c r="Q10" s="1">
        <v>14.2</v>
      </c>
      <c r="R10" s="1">
        <v>2.2000000000000002</v>
      </c>
      <c r="V10" s="1">
        <v>2.298</v>
      </c>
      <c r="W10" s="1">
        <v>299</v>
      </c>
      <c r="X10" s="1">
        <f t="shared" si="3"/>
        <v>1.8301724141419686</v>
      </c>
      <c r="Y10" s="1">
        <v>4.4999999999999998E-2</v>
      </c>
      <c r="Z10" s="1">
        <v>760</v>
      </c>
      <c r="AD10" s="1">
        <v>95</v>
      </c>
      <c r="AE10" s="1">
        <v>7.38</v>
      </c>
      <c r="AG10" s="1">
        <v>27</v>
      </c>
      <c r="AK10" s="1">
        <v>877</v>
      </c>
      <c r="AR10" s="1">
        <v>53.26</v>
      </c>
      <c r="AT10" s="1">
        <v>11.9255</v>
      </c>
      <c r="AU10" s="1">
        <v>8.0343999999999998</v>
      </c>
      <c r="AV10" s="1">
        <v>34.670100000000005</v>
      </c>
      <c r="AW10" s="1">
        <v>27.069199999999999</v>
      </c>
      <c r="AX10" s="1">
        <v>77.024149999999992</v>
      </c>
      <c r="AY10" s="1">
        <v>1.49</v>
      </c>
    </row>
    <row r="11" spans="1:181" x14ac:dyDescent="0.3">
      <c r="D11" s="2">
        <f t="shared" si="0"/>
        <v>1968</v>
      </c>
      <c r="E11" s="2">
        <f t="shared" si="1"/>
        <v>10</v>
      </c>
      <c r="F11" s="3" t="s">
        <v>180</v>
      </c>
      <c r="G11" s="4">
        <v>25126</v>
      </c>
      <c r="H11" s="1">
        <v>6606238</v>
      </c>
      <c r="I11" s="1">
        <v>661152</v>
      </c>
      <c r="J11" s="5" t="s">
        <v>176</v>
      </c>
      <c r="K11" s="1"/>
      <c r="L11" s="1" t="str">
        <f t="shared" si="2"/>
        <v xml:space="preserve">Oxundaån </v>
      </c>
      <c r="M11" s="1" t="s">
        <v>177</v>
      </c>
      <c r="N11" s="1">
        <v>0.5</v>
      </c>
      <c r="O11" s="1">
        <v>0.5</v>
      </c>
      <c r="Q11" s="1">
        <v>7.3</v>
      </c>
      <c r="R11" s="1">
        <v>7.9</v>
      </c>
      <c r="V11" s="1">
        <v>2.512</v>
      </c>
      <c r="W11" s="1">
        <v>324</v>
      </c>
      <c r="X11" s="1">
        <f t="shared" si="3"/>
        <v>1.7942417307885112</v>
      </c>
      <c r="Y11" s="1">
        <v>0.06</v>
      </c>
      <c r="Z11" s="1">
        <v>820</v>
      </c>
      <c r="AD11" s="1">
        <v>444</v>
      </c>
      <c r="AE11" s="1">
        <v>7.57</v>
      </c>
      <c r="AG11" s="1">
        <v>16.2</v>
      </c>
      <c r="AK11" s="1">
        <v>1003</v>
      </c>
      <c r="AR11" s="1">
        <v>53.72</v>
      </c>
      <c r="AT11" s="1">
        <v>13.059400000000002</v>
      </c>
      <c r="AU11" s="1">
        <v>8.8209</v>
      </c>
      <c r="AV11" s="1">
        <v>37.293400000000005</v>
      </c>
      <c r="AW11" s="1">
        <v>30.211980000000001</v>
      </c>
      <c r="AX11" s="1">
        <v>76.831949999999992</v>
      </c>
      <c r="AY11" s="1">
        <v>0.11</v>
      </c>
    </row>
    <row r="12" spans="1:181" x14ac:dyDescent="0.3">
      <c r="D12" s="2">
        <f t="shared" si="0"/>
        <v>1968</v>
      </c>
      <c r="E12" s="2">
        <f t="shared" si="1"/>
        <v>11</v>
      </c>
      <c r="F12" s="3" t="s">
        <v>180</v>
      </c>
      <c r="G12" s="4">
        <v>25156</v>
      </c>
      <c r="H12" s="1">
        <v>6606238</v>
      </c>
      <c r="I12" s="1">
        <v>661152</v>
      </c>
      <c r="J12" s="5" t="s">
        <v>176</v>
      </c>
      <c r="K12" s="1"/>
      <c r="L12" s="1" t="str">
        <f t="shared" si="2"/>
        <v xml:space="preserve">Oxundaån </v>
      </c>
      <c r="M12" s="1" t="s">
        <v>177</v>
      </c>
      <c r="N12" s="1">
        <v>0.5</v>
      </c>
      <c r="O12" s="1">
        <v>0.5</v>
      </c>
      <c r="Q12" s="1">
        <v>0.7</v>
      </c>
      <c r="R12" s="1">
        <v>9.3000000000000007</v>
      </c>
      <c r="V12" s="1">
        <v>2.0489999999999999</v>
      </c>
      <c r="W12" s="1">
        <v>1047</v>
      </c>
      <c r="X12" s="1">
        <f t="shared" si="3"/>
        <v>1.3506256789924471</v>
      </c>
      <c r="Y12" s="1">
        <v>0.09</v>
      </c>
      <c r="Z12" s="1">
        <v>505</v>
      </c>
      <c r="AD12" s="1">
        <v>724</v>
      </c>
      <c r="AE12" s="1">
        <v>7.17</v>
      </c>
      <c r="AG12" s="1">
        <v>27.1</v>
      </c>
      <c r="AK12" s="1">
        <v>583</v>
      </c>
      <c r="AR12" s="1">
        <v>48.4</v>
      </c>
      <c r="AT12" s="1">
        <v>9.5794999999999995</v>
      </c>
      <c r="AU12" s="1">
        <v>8.9177</v>
      </c>
      <c r="AV12" s="1">
        <v>30.593350000000001</v>
      </c>
      <c r="AW12" s="1">
        <v>25.991020000000002</v>
      </c>
      <c r="AX12" s="1">
        <v>82.069399999999987</v>
      </c>
      <c r="AY12" s="1">
        <v>1.7</v>
      </c>
    </row>
    <row r="13" spans="1:181" x14ac:dyDescent="0.3">
      <c r="D13" s="2">
        <f t="shared" si="0"/>
        <v>1968</v>
      </c>
      <c r="E13" s="2">
        <f t="shared" si="1"/>
        <v>12</v>
      </c>
      <c r="F13" s="3" t="s">
        <v>175</v>
      </c>
      <c r="G13" s="4">
        <v>25188</v>
      </c>
      <c r="H13" s="1">
        <v>6606238</v>
      </c>
      <c r="I13" s="1">
        <v>661152</v>
      </c>
      <c r="J13" s="5" t="s">
        <v>176</v>
      </c>
      <c r="K13" s="1"/>
      <c r="L13" s="1" t="str">
        <f t="shared" si="2"/>
        <v xml:space="preserve">Oxundaån </v>
      </c>
      <c r="M13" s="1" t="s">
        <v>177</v>
      </c>
      <c r="N13" s="1">
        <v>0.5</v>
      </c>
      <c r="O13" s="1">
        <v>0.5</v>
      </c>
      <c r="Q13" s="1">
        <v>1.4</v>
      </c>
      <c r="R13" s="1">
        <v>9.1999999999999993</v>
      </c>
      <c r="V13" s="1">
        <v>1.8380000000000001</v>
      </c>
      <c r="W13" s="1">
        <v>834</v>
      </c>
      <c r="X13" s="1">
        <f t="shared" si="3"/>
        <v>2.0261657633355385</v>
      </c>
      <c r="Y13" s="1">
        <v>6.4000000000000001E-2</v>
      </c>
      <c r="Z13" s="1">
        <v>230</v>
      </c>
      <c r="AD13" s="1">
        <v>1040</v>
      </c>
      <c r="AE13" s="1">
        <v>7.42</v>
      </c>
      <c r="AG13" s="1">
        <v>9.3000000000000007</v>
      </c>
      <c r="AK13" s="1">
        <v>345</v>
      </c>
      <c r="AR13" s="1">
        <v>52.839999999999996</v>
      </c>
      <c r="AT13" s="1">
        <v>9.1884999999999994</v>
      </c>
      <c r="AU13" s="1">
        <v>9.8131000000000004</v>
      </c>
      <c r="AV13" s="1">
        <v>27.154700000000002</v>
      </c>
      <c r="AW13" s="1">
        <v>23.536440000000002</v>
      </c>
      <c r="AX13" s="1">
        <v>98.502499999999984</v>
      </c>
      <c r="AY13" s="1">
        <v>3.42</v>
      </c>
    </row>
    <row r="14" spans="1:181" x14ac:dyDescent="0.3">
      <c r="D14" s="2">
        <f t="shared" si="0"/>
        <v>1969</v>
      </c>
      <c r="E14" s="2">
        <f t="shared" si="1"/>
        <v>1</v>
      </c>
      <c r="F14" s="3" t="s">
        <v>175</v>
      </c>
      <c r="G14" s="4">
        <v>25218</v>
      </c>
      <c r="H14" s="1">
        <v>6606238</v>
      </c>
      <c r="I14" s="1">
        <v>661152</v>
      </c>
      <c r="J14" s="5" t="s">
        <v>176</v>
      </c>
      <c r="K14" s="1"/>
      <c r="L14" s="1" t="str">
        <f t="shared" si="2"/>
        <v xml:space="preserve">Oxundaån </v>
      </c>
      <c r="M14" s="1" t="s">
        <v>177</v>
      </c>
      <c r="N14" s="1">
        <v>0.5</v>
      </c>
      <c r="O14" s="1">
        <v>0.5</v>
      </c>
      <c r="Q14" s="1">
        <v>1.3</v>
      </c>
      <c r="R14" s="1">
        <v>2.9</v>
      </c>
      <c r="V14" s="1">
        <v>2.0550000000000002</v>
      </c>
      <c r="W14" s="1">
        <v>1854</v>
      </c>
      <c r="X14" s="1">
        <f t="shared" si="3"/>
        <v>1.6621206249072249</v>
      </c>
      <c r="Y14" s="1">
        <v>8.2000000000000003E-2</v>
      </c>
      <c r="Z14" s="1">
        <v>420</v>
      </c>
      <c r="AD14" s="1">
        <v>752</v>
      </c>
      <c r="AE14" s="1">
        <v>6.99</v>
      </c>
      <c r="AG14" s="1">
        <v>24</v>
      </c>
      <c r="AK14" s="1">
        <v>513</v>
      </c>
      <c r="AR14" s="1">
        <v>53.9</v>
      </c>
      <c r="AT14" s="1">
        <v>10.948000000000002</v>
      </c>
      <c r="AU14" s="1">
        <v>8.8571999999999989</v>
      </c>
      <c r="AV14" s="1">
        <v>30.345200000000002</v>
      </c>
      <c r="AW14" s="1">
        <v>25.807500000000001</v>
      </c>
      <c r="AX14" s="1">
        <v>88.171749999999989</v>
      </c>
      <c r="AY14" s="1">
        <v>3.53</v>
      </c>
    </row>
    <row r="15" spans="1:181" x14ac:dyDescent="0.3">
      <c r="D15" s="2">
        <f t="shared" si="0"/>
        <v>1969</v>
      </c>
      <c r="E15" s="2">
        <f t="shared" si="1"/>
        <v>2</v>
      </c>
      <c r="F15" s="3" t="s">
        <v>175</v>
      </c>
      <c r="G15" s="4">
        <v>25251</v>
      </c>
      <c r="H15" s="1">
        <v>6606238</v>
      </c>
      <c r="I15" s="1">
        <v>661152</v>
      </c>
      <c r="J15" s="5" t="s">
        <v>176</v>
      </c>
      <c r="K15" s="1"/>
      <c r="L15" s="1" t="str">
        <f t="shared" si="2"/>
        <v xml:space="preserve">Oxundaån </v>
      </c>
      <c r="M15" s="1" t="s">
        <v>177</v>
      </c>
      <c r="N15" s="1">
        <v>0.5</v>
      </c>
      <c r="O15" s="1">
        <v>0.5</v>
      </c>
      <c r="Q15" s="1">
        <v>1</v>
      </c>
      <c r="R15" s="1">
        <v>9.6999999999999993</v>
      </c>
      <c r="V15" s="1">
        <v>1.9950000000000001</v>
      </c>
      <c r="W15" s="1">
        <v>2083</v>
      </c>
      <c r="X15" s="1">
        <f t="shared" si="3"/>
        <v>2.5716408451877393</v>
      </c>
      <c r="Y15" s="1">
        <v>7.0000000000000007E-2</v>
      </c>
      <c r="Z15" s="1">
        <v>513</v>
      </c>
      <c r="AD15" s="1">
        <v>472</v>
      </c>
      <c r="AE15" s="1">
        <v>7.14</v>
      </c>
      <c r="AG15" s="1">
        <v>5.9</v>
      </c>
      <c r="AK15" s="1">
        <v>553</v>
      </c>
      <c r="AR15" s="1">
        <v>56.239999999999995</v>
      </c>
      <c r="AT15" s="1">
        <v>10.0487</v>
      </c>
      <c r="AU15" s="1">
        <v>9.5589999999999993</v>
      </c>
      <c r="AV15" s="1">
        <v>33.819299999999998</v>
      </c>
      <c r="AW15" s="1">
        <v>26.495700000000003</v>
      </c>
      <c r="AX15" s="1">
        <v>96.820750000000004</v>
      </c>
      <c r="AY15" s="1">
        <v>3.42</v>
      </c>
    </row>
    <row r="16" spans="1:181" x14ac:dyDescent="0.3">
      <c r="D16" s="2">
        <f t="shared" si="0"/>
        <v>1969</v>
      </c>
      <c r="E16" s="2">
        <f t="shared" si="1"/>
        <v>3</v>
      </c>
      <c r="F16" s="3" t="s">
        <v>175</v>
      </c>
      <c r="G16" s="4">
        <v>25279</v>
      </c>
      <c r="H16" s="1">
        <v>6606238</v>
      </c>
      <c r="I16" s="1">
        <v>661152</v>
      </c>
      <c r="J16" s="5" t="s">
        <v>176</v>
      </c>
      <c r="K16" s="1"/>
      <c r="L16" s="1" t="str">
        <f t="shared" si="2"/>
        <v xml:space="preserve">Oxundaån </v>
      </c>
      <c r="M16" s="1" t="s">
        <v>177</v>
      </c>
      <c r="N16" s="1">
        <v>0.5</v>
      </c>
      <c r="O16" s="1">
        <v>0.5</v>
      </c>
      <c r="Q16" s="1">
        <v>0.5</v>
      </c>
      <c r="R16" s="1">
        <v>1.1000000000000001</v>
      </c>
      <c r="V16" s="1">
        <v>2.4550000000000001</v>
      </c>
      <c r="W16" s="1">
        <v>2335</v>
      </c>
      <c r="X16" s="1">
        <f t="shared" si="3"/>
        <v>2.7646209357329186</v>
      </c>
      <c r="Y16" s="1">
        <v>7.8E-2</v>
      </c>
      <c r="Z16" s="1">
        <v>505</v>
      </c>
      <c r="AD16" s="1">
        <v>176</v>
      </c>
      <c r="AE16" s="1">
        <v>7.14</v>
      </c>
      <c r="AG16" s="1">
        <v>5.0999999999999996</v>
      </c>
      <c r="AK16" s="1">
        <v>538</v>
      </c>
      <c r="AR16" s="1">
        <v>58.36</v>
      </c>
      <c r="AT16" s="1">
        <v>10.009600000000001</v>
      </c>
      <c r="AU16" s="1">
        <v>9.5952999999999999</v>
      </c>
      <c r="AV16" s="1">
        <v>34.421950000000002</v>
      </c>
      <c r="AW16" s="1">
        <v>30.510200000000005</v>
      </c>
      <c r="AX16" s="1">
        <v>90.045699999999997</v>
      </c>
      <c r="AY16" s="1">
        <v>3.98</v>
      </c>
    </row>
    <row r="17" spans="4:51" x14ac:dyDescent="0.3">
      <c r="D17" s="2">
        <f t="shared" si="0"/>
        <v>1969</v>
      </c>
      <c r="E17" s="2">
        <f t="shared" si="1"/>
        <v>4</v>
      </c>
      <c r="F17" s="3" t="s">
        <v>178</v>
      </c>
      <c r="G17" s="4">
        <v>25308</v>
      </c>
      <c r="H17" s="1">
        <v>6606238</v>
      </c>
      <c r="I17" s="1">
        <v>661152</v>
      </c>
      <c r="J17" s="5" t="s">
        <v>176</v>
      </c>
      <c r="K17" s="1"/>
      <c r="L17" s="1" t="str">
        <f t="shared" si="2"/>
        <v xml:space="preserve">Oxundaån </v>
      </c>
      <c r="M17" s="1" t="s">
        <v>177</v>
      </c>
      <c r="N17" s="1">
        <v>0.5</v>
      </c>
      <c r="O17" s="1">
        <v>0.5</v>
      </c>
      <c r="Q17" s="1">
        <v>3.4</v>
      </c>
      <c r="R17" s="1">
        <v>3.8</v>
      </c>
      <c r="V17" s="1">
        <v>1.4279999999999999</v>
      </c>
      <c r="W17" s="1">
        <v>1336</v>
      </c>
      <c r="X17" s="1">
        <f t="shared" si="3"/>
        <v>1.6358705015110138</v>
      </c>
      <c r="Y17" s="1">
        <v>7.6999999999999999E-2</v>
      </c>
      <c r="Z17" s="1">
        <v>192</v>
      </c>
      <c r="AD17" s="1">
        <v>764</v>
      </c>
      <c r="AE17" s="1">
        <v>7.05</v>
      </c>
      <c r="AG17" s="1">
        <v>26.8</v>
      </c>
      <c r="AK17" s="1">
        <v>437</v>
      </c>
      <c r="AR17" s="1">
        <v>41.16</v>
      </c>
      <c r="AT17" s="1">
        <v>6.6861000000000006</v>
      </c>
      <c r="AU17" s="1">
        <v>6.9453999999999994</v>
      </c>
      <c r="AV17" s="1">
        <v>22.439850000000003</v>
      </c>
      <c r="AW17" s="1">
        <v>15.576260000000001</v>
      </c>
      <c r="AX17" s="1">
        <v>66.212899999999991</v>
      </c>
      <c r="AY17" s="1">
        <v>2.98</v>
      </c>
    </row>
    <row r="18" spans="4:51" x14ac:dyDescent="0.3">
      <c r="D18" s="2">
        <f t="shared" si="0"/>
        <v>1969</v>
      </c>
      <c r="E18" s="2">
        <f t="shared" si="1"/>
        <v>5</v>
      </c>
      <c r="F18" s="3" t="s">
        <v>178</v>
      </c>
      <c r="G18" s="4">
        <v>25336</v>
      </c>
      <c r="H18" s="1">
        <v>6606238</v>
      </c>
      <c r="I18" s="1">
        <v>661152</v>
      </c>
      <c r="J18" s="5" t="s">
        <v>176</v>
      </c>
      <c r="K18" s="1"/>
      <c r="L18" s="1" t="str">
        <f t="shared" si="2"/>
        <v xml:space="preserve">Oxundaån </v>
      </c>
      <c r="M18" s="1" t="s">
        <v>177</v>
      </c>
      <c r="N18" s="1">
        <v>0.5</v>
      </c>
      <c r="O18" s="1">
        <v>0.5</v>
      </c>
      <c r="Q18" s="1">
        <v>11.2</v>
      </c>
      <c r="R18" s="1">
        <v>16.399999999999999</v>
      </c>
      <c r="V18" s="1">
        <v>1.6419999999999999</v>
      </c>
      <c r="W18" s="1">
        <v>234</v>
      </c>
      <c r="X18" s="1">
        <f t="shared" si="3"/>
        <v>1.642149015659808</v>
      </c>
      <c r="Y18" s="1">
        <v>4.3999999999999997E-2</v>
      </c>
      <c r="Z18" s="1">
        <v>111</v>
      </c>
      <c r="AD18" s="1">
        <v>836</v>
      </c>
      <c r="AE18" s="1">
        <v>7.54</v>
      </c>
      <c r="AG18" s="1">
        <v>19.7</v>
      </c>
      <c r="AK18" s="1">
        <v>131</v>
      </c>
      <c r="AR18" s="1">
        <v>46.2</v>
      </c>
      <c r="AT18" s="1">
        <v>6.4515000000000002</v>
      </c>
      <c r="AU18" s="1">
        <v>7.5866999999999996</v>
      </c>
      <c r="AV18" s="1">
        <v>22.298050000000003</v>
      </c>
      <c r="AW18" s="1">
        <v>18.191420000000001</v>
      </c>
      <c r="AX18" s="1">
        <v>74.285299999999992</v>
      </c>
      <c r="AY18" s="1">
        <v>0.81</v>
      </c>
    </row>
    <row r="19" spans="4:51" x14ac:dyDescent="0.3">
      <c r="D19" s="2">
        <f t="shared" si="0"/>
        <v>1969</v>
      </c>
      <c r="E19" s="2">
        <f t="shared" si="1"/>
        <v>6</v>
      </c>
      <c r="F19" s="3"/>
      <c r="G19" s="4">
        <v>25370</v>
      </c>
      <c r="H19" s="1">
        <v>6606238</v>
      </c>
      <c r="I19" s="1">
        <v>661152</v>
      </c>
      <c r="J19" s="5" t="s">
        <v>176</v>
      </c>
      <c r="K19" s="1"/>
      <c r="L19" s="1" t="str">
        <f t="shared" si="2"/>
        <v xml:space="preserve">Oxundaån </v>
      </c>
      <c r="M19" s="1" t="s">
        <v>177</v>
      </c>
      <c r="N19" s="1">
        <v>0.5</v>
      </c>
      <c r="O19" s="1">
        <v>0.5</v>
      </c>
      <c r="Q19" s="1">
        <v>21.6</v>
      </c>
      <c r="R19" s="1">
        <v>18.100000000000001</v>
      </c>
      <c r="V19" s="1">
        <v>1.96</v>
      </c>
      <c r="W19" s="1">
        <v>287</v>
      </c>
      <c r="X19" s="1">
        <f t="shared" si="3"/>
        <v>91.174307513286152</v>
      </c>
      <c r="Y19" s="1">
        <v>6.3E-2</v>
      </c>
      <c r="Z19" s="1">
        <v>100</v>
      </c>
      <c r="AD19" s="1">
        <v>192</v>
      </c>
      <c r="AE19" s="1">
        <v>9.02</v>
      </c>
      <c r="AG19" s="1">
        <v>28.4</v>
      </c>
      <c r="AK19" s="1">
        <v>240</v>
      </c>
      <c r="AR19" s="1">
        <v>45.8</v>
      </c>
      <c r="AT19" s="1">
        <v>9.3057999999999996</v>
      </c>
      <c r="AU19" s="1">
        <v>7.7439999999999998</v>
      </c>
      <c r="AV19" s="1">
        <v>27.757350000000002</v>
      </c>
      <c r="AW19" s="1">
        <v>19.705460000000002</v>
      </c>
      <c r="AX19" s="1">
        <v>64.194800000000001</v>
      </c>
      <c r="AY19" s="1">
        <v>0.12</v>
      </c>
    </row>
    <row r="20" spans="4:51" x14ac:dyDescent="0.3">
      <c r="D20" s="2">
        <f t="shared" si="0"/>
        <v>1969</v>
      </c>
      <c r="E20" s="2">
        <f t="shared" si="1"/>
        <v>7</v>
      </c>
      <c r="F20" s="3" t="s">
        <v>179</v>
      </c>
      <c r="G20" s="4">
        <v>25399</v>
      </c>
      <c r="H20" s="1">
        <v>6606238</v>
      </c>
      <c r="I20" s="1">
        <v>661152</v>
      </c>
      <c r="J20" s="5" t="s">
        <v>176</v>
      </c>
      <c r="K20" s="1"/>
      <c r="L20" s="1" t="str">
        <f t="shared" si="2"/>
        <v xml:space="preserve">Oxundaån </v>
      </c>
      <c r="M20" s="1" t="s">
        <v>177</v>
      </c>
      <c r="N20" s="1">
        <v>0.5</v>
      </c>
      <c r="O20" s="1">
        <v>0.5</v>
      </c>
      <c r="Q20" s="1">
        <v>19.3</v>
      </c>
      <c r="R20" s="1">
        <v>8.9</v>
      </c>
      <c r="V20" s="1">
        <v>1.968</v>
      </c>
      <c r="W20" s="1">
        <v>125</v>
      </c>
      <c r="X20" s="1">
        <f t="shared" si="3"/>
        <v>1.502520811891074</v>
      </c>
      <c r="Y20" s="1">
        <v>0.108</v>
      </c>
      <c r="Z20" s="1">
        <v>360</v>
      </c>
      <c r="AD20" s="1">
        <v>208</v>
      </c>
      <c r="AE20" s="1">
        <v>7.51</v>
      </c>
      <c r="AG20" s="1">
        <v>31.4</v>
      </c>
      <c r="AK20" s="1">
        <v>570</v>
      </c>
      <c r="AR20" s="1">
        <v>46.46</v>
      </c>
      <c r="AT20" s="1">
        <v>8.0154999999999994</v>
      </c>
      <c r="AU20" s="1">
        <v>8.2279999999999998</v>
      </c>
      <c r="AV20" s="1">
        <v>27.438300000000002</v>
      </c>
      <c r="AW20" s="1">
        <v>22.022400000000001</v>
      </c>
      <c r="AX20" s="1">
        <v>63.185749999999992</v>
      </c>
      <c r="AY20" s="1">
        <v>0.77</v>
      </c>
    </row>
    <row r="21" spans="4:51" x14ac:dyDescent="0.3">
      <c r="D21" s="2">
        <f t="shared" si="0"/>
        <v>1969</v>
      </c>
      <c r="E21" s="2">
        <f t="shared" si="1"/>
        <v>8</v>
      </c>
      <c r="F21" s="3" t="s">
        <v>179</v>
      </c>
      <c r="G21" s="4">
        <v>25429</v>
      </c>
      <c r="H21" s="1">
        <v>6606238</v>
      </c>
      <c r="I21" s="1">
        <v>661152</v>
      </c>
      <c r="J21" s="5" t="s">
        <v>176</v>
      </c>
      <c r="K21" s="1"/>
      <c r="L21" s="1" t="str">
        <f t="shared" si="2"/>
        <v xml:space="preserve">Oxundaån </v>
      </c>
      <c r="M21" s="1" t="s">
        <v>177</v>
      </c>
      <c r="N21" s="1">
        <v>0.5</v>
      </c>
      <c r="O21" s="1">
        <v>0.5</v>
      </c>
      <c r="Q21" s="1">
        <v>19.3</v>
      </c>
      <c r="R21" s="1">
        <v>3.1</v>
      </c>
      <c r="V21" s="1">
        <v>2.161</v>
      </c>
      <c r="W21" s="1">
        <v>511</v>
      </c>
      <c r="X21" s="1">
        <f t="shared" si="3"/>
        <v>5.4815004818019366</v>
      </c>
      <c r="Y21" s="1">
        <v>4.5999999999999999E-2</v>
      </c>
      <c r="Z21" s="1">
        <v>344</v>
      </c>
      <c r="AD21" s="1">
        <v>144</v>
      </c>
      <c r="AE21" s="1">
        <v>7.46</v>
      </c>
      <c r="AG21" s="1">
        <v>34.9</v>
      </c>
      <c r="AK21" s="1">
        <v>566</v>
      </c>
      <c r="AR21" s="1">
        <v>51.120000000000005</v>
      </c>
      <c r="AT21" s="1">
        <v>10.283300000000001</v>
      </c>
      <c r="AU21" s="1">
        <v>7.8891999999999998</v>
      </c>
      <c r="AV21" s="1">
        <v>35.130950000000006</v>
      </c>
      <c r="AW21" s="1">
        <v>27.528000000000002</v>
      </c>
      <c r="AX21" s="1">
        <v>79.186399999999992</v>
      </c>
      <c r="AY21" s="1">
        <v>1.36</v>
      </c>
    </row>
    <row r="22" spans="4:51" x14ac:dyDescent="0.3">
      <c r="D22" s="2">
        <f t="shared" si="0"/>
        <v>1969</v>
      </c>
      <c r="E22" s="2">
        <f t="shared" si="1"/>
        <v>9</v>
      </c>
      <c r="F22" s="3"/>
      <c r="G22" s="4">
        <v>25461</v>
      </c>
      <c r="H22" s="1">
        <v>6606238</v>
      </c>
      <c r="I22" s="1">
        <v>661152</v>
      </c>
      <c r="J22" s="5" t="s">
        <v>176</v>
      </c>
      <c r="K22" s="1"/>
      <c r="L22" s="1" t="str">
        <f t="shared" si="2"/>
        <v xml:space="preserve">Oxundaån </v>
      </c>
      <c r="M22" s="1" t="s">
        <v>177</v>
      </c>
      <c r="N22" s="1">
        <v>0.5</v>
      </c>
      <c r="O22" s="1">
        <v>0.5</v>
      </c>
      <c r="Q22" s="1">
        <v>14.6</v>
      </c>
      <c r="R22" s="1">
        <v>5.4</v>
      </c>
      <c r="V22" s="1">
        <v>2.17</v>
      </c>
      <c r="W22" s="1">
        <v>445</v>
      </c>
      <c r="X22" s="1">
        <f t="shared" si="3"/>
        <v>4.1399434817465242</v>
      </c>
      <c r="Y22" s="1">
        <v>5.1999999999999998E-2</v>
      </c>
      <c r="Z22" s="1">
        <v>570</v>
      </c>
      <c r="AD22" s="1">
        <v>400</v>
      </c>
      <c r="AE22" s="1">
        <v>7.55</v>
      </c>
      <c r="AG22" s="1">
        <v>25</v>
      </c>
      <c r="AK22" s="1">
        <v>800</v>
      </c>
      <c r="AR22" s="1">
        <v>51.559999999999995</v>
      </c>
      <c r="AT22" s="1">
        <v>12.433800000000002</v>
      </c>
      <c r="AU22" s="1">
        <v>8.2279999999999998</v>
      </c>
      <c r="AV22" s="1">
        <v>39.81035</v>
      </c>
      <c r="AW22" s="1">
        <v>30.854300000000002</v>
      </c>
      <c r="AX22" s="1">
        <v>76.399500000000003</v>
      </c>
      <c r="AY22" s="1">
        <v>0.91</v>
      </c>
    </row>
    <row r="23" spans="4:51" x14ac:dyDescent="0.3">
      <c r="D23" s="2">
        <f t="shared" si="0"/>
        <v>1969</v>
      </c>
      <c r="E23" s="2">
        <f t="shared" si="1"/>
        <v>10</v>
      </c>
      <c r="F23" s="3" t="s">
        <v>180</v>
      </c>
      <c r="G23" s="4">
        <v>25491</v>
      </c>
      <c r="H23" s="1">
        <v>6606238</v>
      </c>
      <c r="I23" s="1">
        <v>661152</v>
      </c>
      <c r="J23" s="5" t="s">
        <v>176</v>
      </c>
      <c r="K23" s="1"/>
      <c r="L23" s="1" t="str">
        <f t="shared" si="2"/>
        <v xml:space="preserve">Oxundaån </v>
      </c>
      <c r="M23" s="1" t="s">
        <v>177</v>
      </c>
      <c r="N23" s="1">
        <v>0.5</v>
      </c>
      <c r="O23" s="1">
        <v>0.5</v>
      </c>
      <c r="Q23" s="1">
        <v>11.4</v>
      </c>
      <c r="R23" s="1">
        <v>5.4</v>
      </c>
      <c r="V23" s="1">
        <v>2.181</v>
      </c>
      <c r="W23" s="1">
        <v>1218</v>
      </c>
      <c r="X23" s="1">
        <f t="shared" si="3"/>
        <v>7.5673484993225797</v>
      </c>
      <c r="Y23" s="1">
        <v>3.7999999999999999E-2</v>
      </c>
      <c r="Z23" s="1">
        <v>680</v>
      </c>
      <c r="AD23" s="1">
        <v>640</v>
      </c>
      <c r="AE23" s="1">
        <v>7.48</v>
      </c>
      <c r="AG23" s="1">
        <v>26.1</v>
      </c>
      <c r="AK23" s="1">
        <v>762</v>
      </c>
      <c r="AR23" s="1">
        <v>53.06</v>
      </c>
      <c r="AT23" s="1">
        <v>13.137600000000001</v>
      </c>
      <c r="AU23" s="1">
        <v>7.5746000000000002</v>
      </c>
      <c r="AV23" s="1">
        <v>40.377550000000006</v>
      </c>
      <c r="AW23" s="1">
        <v>33.0336</v>
      </c>
      <c r="AX23" s="1">
        <v>81.588899999999995</v>
      </c>
      <c r="AY23" s="1">
        <v>0.43</v>
      </c>
    </row>
    <row r="24" spans="4:51" x14ac:dyDescent="0.3">
      <c r="D24" s="2">
        <f t="shared" si="0"/>
        <v>1969</v>
      </c>
      <c r="E24" s="2">
        <f t="shared" si="1"/>
        <v>11</v>
      </c>
      <c r="F24" s="3" t="s">
        <v>180</v>
      </c>
      <c r="G24" s="4">
        <v>25524</v>
      </c>
      <c r="H24" s="1">
        <v>6606238</v>
      </c>
      <c r="I24" s="1">
        <v>661152</v>
      </c>
      <c r="J24" s="5" t="s">
        <v>176</v>
      </c>
      <c r="K24" s="1"/>
      <c r="L24" s="1" t="str">
        <f t="shared" si="2"/>
        <v xml:space="preserve">Oxundaån </v>
      </c>
      <c r="M24" s="1" t="s">
        <v>177</v>
      </c>
      <c r="N24" s="1">
        <v>0.5</v>
      </c>
      <c r="O24" s="1">
        <v>0.5</v>
      </c>
      <c r="Q24" s="1">
        <v>4.2</v>
      </c>
      <c r="R24" s="1">
        <v>8.1999999999999993</v>
      </c>
      <c r="V24" s="1">
        <v>2.4079999999999999</v>
      </c>
      <c r="W24" s="1">
        <v>1729</v>
      </c>
      <c r="X24" s="1">
        <f t="shared" si="3"/>
        <v>9.6011776417439894</v>
      </c>
      <c r="Y24" s="1">
        <v>5.8000000000000003E-2</v>
      </c>
      <c r="Z24" s="1">
        <v>770</v>
      </c>
      <c r="AD24" s="1">
        <v>712</v>
      </c>
      <c r="AE24" s="1">
        <v>7.68</v>
      </c>
      <c r="AG24" s="1">
        <v>7.5</v>
      </c>
      <c r="AK24" s="1">
        <v>775</v>
      </c>
      <c r="AR24" s="1">
        <v>52.58</v>
      </c>
      <c r="AT24" s="1">
        <v>12.316500000000001</v>
      </c>
      <c r="AU24" s="1">
        <v>8.3006000000000011</v>
      </c>
      <c r="AV24" s="1">
        <v>41.441050000000004</v>
      </c>
      <c r="AW24" s="1">
        <v>35.648760000000003</v>
      </c>
      <c r="AX24" s="1">
        <v>85.04849999999999</v>
      </c>
      <c r="AY24" s="1">
        <v>0.8</v>
      </c>
    </row>
    <row r="25" spans="4:51" x14ac:dyDescent="0.3">
      <c r="D25" s="2">
        <f t="shared" si="0"/>
        <v>1969</v>
      </c>
      <c r="E25" s="2">
        <f t="shared" si="1"/>
        <v>12</v>
      </c>
      <c r="F25" s="3" t="s">
        <v>175</v>
      </c>
      <c r="G25" s="4">
        <v>25552</v>
      </c>
      <c r="H25" s="1">
        <v>6606238</v>
      </c>
      <c r="I25" s="1">
        <v>661152</v>
      </c>
      <c r="J25" s="5" t="s">
        <v>176</v>
      </c>
      <c r="K25" s="1"/>
      <c r="L25" s="1" t="str">
        <f t="shared" si="2"/>
        <v xml:space="preserve">Oxundaån </v>
      </c>
      <c r="M25" s="1" t="s">
        <v>177</v>
      </c>
      <c r="N25" s="1">
        <v>0.5</v>
      </c>
      <c r="O25" s="1">
        <v>0.5</v>
      </c>
      <c r="Q25" s="1">
        <v>2</v>
      </c>
      <c r="R25" s="1">
        <v>5.5</v>
      </c>
      <c r="V25" s="1">
        <v>2.532</v>
      </c>
      <c r="W25" s="1">
        <v>2104</v>
      </c>
      <c r="X25" s="1">
        <f t="shared" si="3"/>
        <v>6.0262604156011408</v>
      </c>
      <c r="Y25" s="1">
        <v>0.05</v>
      </c>
      <c r="Z25" s="1">
        <v>780</v>
      </c>
      <c r="AD25" s="1">
        <v>736</v>
      </c>
      <c r="AE25" s="1">
        <v>7.47</v>
      </c>
      <c r="AG25" s="1">
        <v>51.5</v>
      </c>
      <c r="AK25" s="1">
        <v>850</v>
      </c>
      <c r="AR25" s="1">
        <v>56.72</v>
      </c>
      <c r="AT25" s="1">
        <v>12.3947</v>
      </c>
      <c r="AU25" s="1">
        <v>8.4094999999999995</v>
      </c>
      <c r="AV25" s="1">
        <v>42.504550000000009</v>
      </c>
      <c r="AW25" s="1">
        <v>34.731160000000003</v>
      </c>
      <c r="AX25" s="1">
        <v>89.997649999999993</v>
      </c>
      <c r="AY25" s="1">
        <v>1.05</v>
      </c>
    </row>
    <row r="26" spans="4:51" x14ac:dyDescent="0.3">
      <c r="D26" s="2">
        <f t="shared" si="0"/>
        <v>1970</v>
      </c>
      <c r="E26" s="2">
        <f t="shared" si="1"/>
        <v>1</v>
      </c>
      <c r="F26" s="3" t="s">
        <v>175</v>
      </c>
      <c r="G26" s="4">
        <v>25583</v>
      </c>
      <c r="H26" s="1">
        <v>6606238</v>
      </c>
      <c r="I26" s="1">
        <v>661152</v>
      </c>
      <c r="J26" s="5" t="s">
        <v>176</v>
      </c>
      <c r="K26" s="1"/>
      <c r="L26" s="1" t="str">
        <f t="shared" si="2"/>
        <v xml:space="preserve">Oxundaån </v>
      </c>
      <c r="M26" s="1" t="s">
        <v>177</v>
      </c>
      <c r="N26" s="1">
        <v>0.5</v>
      </c>
      <c r="O26" s="1">
        <v>0.5</v>
      </c>
      <c r="Q26" s="1">
        <v>1.1000000000000001</v>
      </c>
      <c r="R26" s="1">
        <v>2.4</v>
      </c>
      <c r="V26" s="1">
        <v>2.1659999999999999</v>
      </c>
      <c r="W26" s="1">
        <v>673</v>
      </c>
      <c r="X26" s="1">
        <f t="shared" si="3"/>
        <v>0.8378427463482655</v>
      </c>
      <c r="Y26" s="1">
        <v>8.1000000000000003E-2</v>
      </c>
      <c r="Z26" s="1">
        <v>680</v>
      </c>
      <c r="AD26" s="1">
        <v>800</v>
      </c>
      <c r="AE26" s="1">
        <v>7.14</v>
      </c>
      <c r="AG26" s="1">
        <v>9.4</v>
      </c>
      <c r="AK26" s="1">
        <v>763</v>
      </c>
      <c r="AR26" s="1">
        <v>55.78</v>
      </c>
      <c r="AT26" s="1">
        <v>11.026199999999999</v>
      </c>
      <c r="AU26" s="1">
        <v>9.0628999999999991</v>
      </c>
      <c r="AV26" s="1">
        <v>39.81035</v>
      </c>
      <c r="AW26" s="1">
        <v>33.53828</v>
      </c>
      <c r="AX26" s="1">
        <v>97.685649999999995</v>
      </c>
      <c r="AY26" s="1">
        <v>2.13</v>
      </c>
    </row>
    <row r="27" spans="4:51" x14ac:dyDescent="0.3">
      <c r="D27" s="2">
        <f t="shared" si="0"/>
        <v>1970</v>
      </c>
      <c r="E27" s="2">
        <f t="shared" si="1"/>
        <v>2</v>
      </c>
      <c r="F27" s="3" t="s">
        <v>175</v>
      </c>
      <c r="G27" s="4">
        <v>25615</v>
      </c>
      <c r="H27" s="1">
        <v>6606238</v>
      </c>
      <c r="I27" s="1">
        <v>661152</v>
      </c>
      <c r="J27" s="5" t="s">
        <v>176</v>
      </c>
      <c r="K27" s="1"/>
      <c r="L27" s="1" t="str">
        <f t="shared" si="2"/>
        <v xml:space="preserve">Oxundaån </v>
      </c>
      <c r="M27" s="1" t="s">
        <v>177</v>
      </c>
      <c r="N27" s="1">
        <v>0.5</v>
      </c>
      <c r="O27" s="1">
        <v>0.5</v>
      </c>
      <c r="Q27" s="1">
        <v>0.7</v>
      </c>
      <c r="R27" s="1">
        <v>1.3</v>
      </c>
      <c r="V27" s="1">
        <v>2.0990000000000002</v>
      </c>
      <c r="W27" s="1">
        <v>2041</v>
      </c>
      <c r="X27" s="1">
        <f t="shared" si="3"/>
        <v>3.0926683679882667</v>
      </c>
      <c r="Y27" s="1">
        <v>6.6000000000000003E-2</v>
      </c>
      <c r="Z27" s="1">
        <v>610</v>
      </c>
      <c r="AD27" s="1">
        <v>712</v>
      </c>
      <c r="AE27" s="1">
        <v>7.24</v>
      </c>
      <c r="AG27" s="1">
        <v>12.6</v>
      </c>
      <c r="AK27" s="1">
        <v>630</v>
      </c>
      <c r="AR27" s="1">
        <v>55.76</v>
      </c>
      <c r="AT27" s="1">
        <v>11.417199999999999</v>
      </c>
      <c r="AU27" s="1">
        <v>9.4380000000000006</v>
      </c>
      <c r="AV27" s="1">
        <v>37.718800000000002</v>
      </c>
      <c r="AW27" s="1">
        <v>30.739600000000003</v>
      </c>
      <c r="AX27" s="1">
        <v>98.454449999999994</v>
      </c>
      <c r="AY27" s="1">
        <v>2.13</v>
      </c>
    </row>
    <row r="28" spans="4:51" x14ac:dyDescent="0.3">
      <c r="D28" s="2">
        <f t="shared" si="0"/>
        <v>1970</v>
      </c>
      <c r="E28" s="2">
        <f t="shared" si="1"/>
        <v>3</v>
      </c>
      <c r="F28" s="3" t="s">
        <v>175</v>
      </c>
      <c r="G28" s="4">
        <v>25643</v>
      </c>
      <c r="H28" s="1">
        <v>6606238</v>
      </c>
      <c r="I28" s="1">
        <v>661152</v>
      </c>
      <c r="J28" s="5" t="s">
        <v>176</v>
      </c>
      <c r="K28" s="1"/>
      <c r="L28" s="1" t="str">
        <f t="shared" si="2"/>
        <v xml:space="preserve">Oxundaån </v>
      </c>
      <c r="M28" s="1" t="s">
        <v>177</v>
      </c>
      <c r="N28" s="1">
        <v>0.5</v>
      </c>
      <c r="O28" s="1">
        <v>0.5</v>
      </c>
      <c r="Q28" s="1">
        <v>1.6</v>
      </c>
      <c r="R28" s="1">
        <v>0.9</v>
      </c>
      <c r="V28" s="1">
        <v>2.4140000000000001</v>
      </c>
      <c r="W28" s="1">
        <v>2040</v>
      </c>
      <c r="X28" s="1">
        <f t="shared" si="3"/>
        <v>2.9703026440870612</v>
      </c>
      <c r="Y28" s="1">
        <v>4.9000000000000002E-2</v>
      </c>
      <c r="Z28" s="1">
        <v>630</v>
      </c>
      <c r="AD28" s="1">
        <v>784</v>
      </c>
      <c r="AE28" s="1">
        <v>7.19</v>
      </c>
      <c r="AG28" s="1">
        <v>10.7</v>
      </c>
      <c r="AK28" s="1">
        <v>690</v>
      </c>
      <c r="AR28" s="1">
        <v>56.900000000000006</v>
      </c>
      <c r="AT28" s="1">
        <v>9.7750000000000004</v>
      </c>
      <c r="AU28" s="1">
        <v>8.8934999999999995</v>
      </c>
      <c r="AV28" s="1">
        <v>46.155900000000003</v>
      </c>
      <c r="AW28" s="1">
        <v>30.831360000000004</v>
      </c>
      <c r="AX28" s="1">
        <v>80.051299999999998</v>
      </c>
      <c r="AY28" s="1">
        <v>2.2999999999999998</v>
      </c>
    </row>
    <row r="29" spans="4:51" x14ac:dyDescent="0.3">
      <c r="D29" s="2">
        <f t="shared" si="0"/>
        <v>1970</v>
      </c>
      <c r="E29" s="2">
        <f t="shared" si="1"/>
        <v>4</v>
      </c>
      <c r="F29" s="3" t="s">
        <v>178</v>
      </c>
      <c r="G29" s="4">
        <v>25678</v>
      </c>
      <c r="H29" s="1">
        <v>6606238</v>
      </c>
      <c r="I29" s="1">
        <v>661152</v>
      </c>
      <c r="J29" s="5" t="s">
        <v>176</v>
      </c>
      <c r="K29" s="1"/>
      <c r="L29" s="1" t="str">
        <f t="shared" si="2"/>
        <v xml:space="preserve">Oxundaån </v>
      </c>
      <c r="M29" s="1" t="s">
        <v>177</v>
      </c>
      <c r="N29" s="1">
        <v>0.5</v>
      </c>
      <c r="O29" s="1">
        <v>0.5</v>
      </c>
      <c r="Q29" s="1">
        <v>1.8</v>
      </c>
      <c r="R29" s="1">
        <v>7.4</v>
      </c>
      <c r="V29" s="1">
        <v>1.5109999999999999</v>
      </c>
      <c r="W29" s="1">
        <v>497</v>
      </c>
      <c r="X29" s="1">
        <f t="shared" si="3"/>
        <v>0.46449512045945146</v>
      </c>
      <c r="Y29" s="1">
        <v>0.06</v>
      </c>
      <c r="Z29" s="1">
        <v>124</v>
      </c>
      <c r="AD29" s="1">
        <v>4090</v>
      </c>
      <c r="AE29" s="1">
        <v>6.99</v>
      </c>
      <c r="AG29" s="1">
        <v>13.8</v>
      </c>
      <c r="AK29" s="1">
        <v>260</v>
      </c>
      <c r="AR29" s="1">
        <v>58.339999999999996</v>
      </c>
      <c r="AT29" s="1">
        <v>8.9930000000000003</v>
      </c>
      <c r="AU29" s="1">
        <v>10.89</v>
      </c>
      <c r="AV29" s="1">
        <v>27.225600000000004</v>
      </c>
      <c r="AW29" s="1">
        <v>21.334200000000003</v>
      </c>
      <c r="AX29" s="1">
        <v>115.27194999999999</v>
      </c>
      <c r="AY29" s="1">
        <v>5.01</v>
      </c>
    </row>
    <row r="30" spans="4:51" x14ac:dyDescent="0.3">
      <c r="D30" s="2">
        <f t="shared" si="0"/>
        <v>1970</v>
      </c>
      <c r="E30" s="2">
        <f t="shared" si="1"/>
        <v>5</v>
      </c>
      <c r="F30" s="3" t="s">
        <v>178</v>
      </c>
      <c r="G30" s="4">
        <v>25702</v>
      </c>
      <c r="H30" s="1">
        <v>6606238</v>
      </c>
      <c r="I30" s="1">
        <v>661152</v>
      </c>
      <c r="J30" s="5" t="s">
        <v>176</v>
      </c>
      <c r="K30" s="1"/>
      <c r="L30" s="1" t="str">
        <f t="shared" si="2"/>
        <v xml:space="preserve">Oxundaån </v>
      </c>
      <c r="M30" s="1" t="s">
        <v>177</v>
      </c>
      <c r="N30" s="1">
        <v>0.5</v>
      </c>
      <c r="O30" s="1">
        <v>0.5</v>
      </c>
      <c r="Q30" s="1">
        <v>11.3</v>
      </c>
      <c r="R30" s="1">
        <v>13.6</v>
      </c>
      <c r="V30" s="1">
        <v>1.35</v>
      </c>
      <c r="W30" s="1">
        <v>72</v>
      </c>
      <c r="X30" s="1">
        <f t="shared" si="3"/>
        <v>8.2610499865786853</v>
      </c>
      <c r="Y30" s="1">
        <v>0.04</v>
      </c>
      <c r="Z30" s="1">
        <v>16</v>
      </c>
      <c r="AD30" s="1">
        <v>2420</v>
      </c>
      <c r="AE30" s="1">
        <v>8.8000000000000007</v>
      </c>
      <c r="AG30" s="1">
        <v>34.5</v>
      </c>
      <c r="AK30" s="1">
        <v>170</v>
      </c>
      <c r="AR30" s="1">
        <v>43.5</v>
      </c>
      <c r="AT30" s="1">
        <v>7.702700000000001</v>
      </c>
      <c r="AU30" s="1">
        <v>8.4578999999999986</v>
      </c>
      <c r="AV30" s="1">
        <v>20.880050000000001</v>
      </c>
      <c r="AW30" s="1">
        <v>17.090299999999999</v>
      </c>
      <c r="AX30" s="1">
        <v>88.075649999999996</v>
      </c>
      <c r="AY30" s="1">
        <v>2.39</v>
      </c>
    </row>
    <row r="31" spans="4:51" x14ac:dyDescent="0.3">
      <c r="D31" s="2">
        <f t="shared" si="0"/>
        <v>1970</v>
      </c>
      <c r="E31" s="2">
        <f t="shared" si="1"/>
        <v>6</v>
      </c>
      <c r="F31" s="3"/>
      <c r="G31" s="4">
        <v>25734</v>
      </c>
      <c r="H31" s="1">
        <v>6606238</v>
      </c>
      <c r="I31" s="1">
        <v>661152</v>
      </c>
      <c r="J31" s="5" t="s">
        <v>176</v>
      </c>
      <c r="K31" s="1"/>
      <c r="L31" s="1" t="str">
        <f t="shared" si="2"/>
        <v xml:space="preserve">Oxundaån </v>
      </c>
      <c r="M31" s="1" t="s">
        <v>177</v>
      </c>
      <c r="N31" s="1">
        <v>0.5</v>
      </c>
      <c r="O31" s="1">
        <v>0.5</v>
      </c>
      <c r="Q31" s="1">
        <v>18.600000000000001</v>
      </c>
      <c r="R31" s="1">
        <v>12.7</v>
      </c>
      <c r="V31" s="1">
        <v>1.5369999999999999</v>
      </c>
      <c r="W31" s="1">
        <v>13</v>
      </c>
      <c r="X31" s="1">
        <f t="shared" si="3"/>
        <v>5.3360384219089765</v>
      </c>
      <c r="Y31" s="1">
        <v>5.1999999999999998E-2</v>
      </c>
      <c r="Z31" s="1">
        <v>14</v>
      </c>
      <c r="AD31" s="1">
        <v>720</v>
      </c>
      <c r="AE31" s="1">
        <v>9.2899999999999991</v>
      </c>
      <c r="AG31" s="1">
        <v>23.4</v>
      </c>
      <c r="AK31" s="1">
        <v>85</v>
      </c>
      <c r="AR31" s="1">
        <v>45.76</v>
      </c>
      <c r="AT31" s="1">
        <v>6.2951000000000006</v>
      </c>
      <c r="AU31" s="1">
        <v>7.4414999999999996</v>
      </c>
      <c r="AV31" s="1">
        <v>19.568400000000004</v>
      </c>
      <c r="AW31" s="1">
        <v>15.8286</v>
      </c>
      <c r="AX31" s="1">
        <v>75.534599999999998</v>
      </c>
      <c r="AY31" s="1">
        <v>0.21</v>
      </c>
    </row>
    <row r="32" spans="4:51" x14ac:dyDescent="0.3">
      <c r="D32" s="2">
        <f t="shared" si="0"/>
        <v>1970</v>
      </c>
      <c r="E32" s="2">
        <f t="shared" si="1"/>
        <v>7</v>
      </c>
      <c r="F32" s="3" t="s">
        <v>179</v>
      </c>
      <c r="G32" s="4">
        <v>25764</v>
      </c>
      <c r="H32" s="1">
        <v>6606238</v>
      </c>
      <c r="I32" s="1">
        <v>661152</v>
      </c>
      <c r="J32" s="5" t="s">
        <v>176</v>
      </c>
      <c r="K32" s="1"/>
      <c r="L32" s="1" t="str">
        <f t="shared" si="2"/>
        <v xml:space="preserve">Oxundaån </v>
      </c>
      <c r="M32" s="1" t="s">
        <v>177</v>
      </c>
      <c r="N32" s="1">
        <v>0.5</v>
      </c>
      <c r="O32" s="1">
        <v>0.5</v>
      </c>
      <c r="Q32" s="1">
        <v>18.5</v>
      </c>
      <c r="R32" s="1">
        <v>9.3000000000000007</v>
      </c>
      <c r="V32" s="1">
        <v>1.528</v>
      </c>
      <c r="W32" s="1">
        <v>32</v>
      </c>
      <c r="X32" s="1">
        <f t="shared" si="3"/>
        <v>1.1971490575019508</v>
      </c>
      <c r="Y32" s="1">
        <v>4.8000000000000001E-2</v>
      </c>
      <c r="Z32" s="1">
        <v>69</v>
      </c>
      <c r="AD32" s="1">
        <v>70</v>
      </c>
      <c r="AE32" s="1">
        <v>8.0399999999999991</v>
      </c>
      <c r="AG32" s="1">
        <v>23.6</v>
      </c>
      <c r="AK32" s="1">
        <v>151</v>
      </c>
      <c r="AR32" s="1">
        <v>44.82</v>
      </c>
      <c r="AT32" s="1">
        <v>9.2276000000000007</v>
      </c>
      <c r="AU32" s="1">
        <v>8.4337</v>
      </c>
      <c r="AV32" s="1">
        <v>24.212350000000004</v>
      </c>
      <c r="AW32" s="1">
        <v>20.187200000000001</v>
      </c>
      <c r="AX32" s="1">
        <v>78.417599999999993</v>
      </c>
      <c r="AY32" s="1">
        <v>0.05</v>
      </c>
    </row>
    <row r="33" spans="4:51" x14ac:dyDescent="0.3">
      <c r="D33" s="2">
        <f t="shared" si="0"/>
        <v>1970</v>
      </c>
      <c r="E33" s="2">
        <f t="shared" si="1"/>
        <v>8</v>
      </c>
      <c r="F33" s="3" t="s">
        <v>179</v>
      </c>
      <c r="G33" s="4">
        <v>25797</v>
      </c>
      <c r="H33" s="1">
        <v>6606238</v>
      </c>
      <c r="I33" s="1">
        <v>661152</v>
      </c>
      <c r="J33" s="5" t="s">
        <v>176</v>
      </c>
      <c r="K33" s="1"/>
      <c r="L33" s="1" t="str">
        <f t="shared" si="2"/>
        <v xml:space="preserve">Oxundaån </v>
      </c>
      <c r="M33" s="1" t="s">
        <v>177</v>
      </c>
      <c r="N33" s="1">
        <v>0.5</v>
      </c>
      <c r="O33" s="1">
        <v>0.5</v>
      </c>
      <c r="Q33" s="1">
        <v>19.100000000000001</v>
      </c>
      <c r="R33" s="1">
        <v>9.6</v>
      </c>
      <c r="V33" s="1">
        <v>1.663</v>
      </c>
      <c r="W33" s="1">
        <v>8</v>
      </c>
      <c r="X33" s="1">
        <f t="shared" si="3"/>
        <v>2.6658655035181482</v>
      </c>
      <c r="Y33" s="1">
        <v>0.05</v>
      </c>
      <c r="Z33" s="1">
        <v>106</v>
      </c>
      <c r="AD33" s="1">
        <v>83</v>
      </c>
      <c r="AE33" s="1">
        <v>9.1300000000000008</v>
      </c>
      <c r="AG33" s="1">
        <v>20</v>
      </c>
      <c r="AK33" s="1">
        <v>178</v>
      </c>
      <c r="AR33" s="1">
        <v>47.12</v>
      </c>
      <c r="AT33" s="1">
        <v>10.087800000000001</v>
      </c>
      <c r="AU33" s="1">
        <v>8.6877999999999993</v>
      </c>
      <c r="AV33" s="1">
        <v>24.92135</v>
      </c>
      <c r="AW33" s="1">
        <v>19.866040000000002</v>
      </c>
      <c r="AX33" s="1">
        <v>79.042249999999996</v>
      </c>
      <c r="AY33" s="1">
        <v>0.37</v>
      </c>
    </row>
    <row r="34" spans="4:51" x14ac:dyDescent="0.3">
      <c r="D34" s="2">
        <f t="shared" si="0"/>
        <v>1970</v>
      </c>
      <c r="E34" s="2">
        <f t="shared" si="1"/>
        <v>9</v>
      </c>
      <c r="F34" s="3"/>
      <c r="G34" s="4">
        <v>25826</v>
      </c>
      <c r="H34" s="1">
        <v>6606238</v>
      </c>
      <c r="I34" s="1">
        <v>661152</v>
      </c>
      <c r="J34" s="5" t="s">
        <v>176</v>
      </c>
      <c r="K34" s="1"/>
      <c r="L34" s="1" t="str">
        <f t="shared" si="2"/>
        <v xml:space="preserve">Oxundaån </v>
      </c>
      <c r="M34" s="1" t="s">
        <v>177</v>
      </c>
      <c r="N34" s="1">
        <v>0.5</v>
      </c>
      <c r="O34" s="1">
        <v>0.5</v>
      </c>
      <c r="Q34" s="1">
        <v>14.6</v>
      </c>
      <c r="R34" s="1">
        <v>8</v>
      </c>
      <c r="V34" s="1">
        <v>1.716</v>
      </c>
      <c r="W34" s="1">
        <v>205</v>
      </c>
      <c r="X34" s="1">
        <f t="shared" si="3"/>
        <v>1.6630676945887639</v>
      </c>
      <c r="Y34" s="1">
        <v>5.8000000000000003E-2</v>
      </c>
      <c r="Z34" s="1">
        <v>168</v>
      </c>
      <c r="AD34" s="1">
        <v>92</v>
      </c>
      <c r="AE34" s="1">
        <v>7.49</v>
      </c>
      <c r="AG34" s="1">
        <v>21.6</v>
      </c>
      <c r="AK34" s="1">
        <v>218</v>
      </c>
      <c r="AR34" s="1">
        <v>49.68</v>
      </c>
      <c r="AT34" s="1">
        <v>8.3673999999999999</v>
      </c>
      <c r="AU34" s="1">
        <v>8.4578999999999986</v>
      </c>
      <c r="AV34" s="1">
        <v>25.63035</v>
      </c>
      <c r="AW34" s="1">
        <v>20.531300000000002</v>
      </c>
      <c r="AX34" s="1">
        <v>85.625100000000003</v>
      </c>
      <c r="AY34" s="1">
        <v>0.15</v>
      </c>
    </row>
    <row r="35" spans="4:51" x14ac:dyDescent="0.3">
      <c r="D35" s="2">
        <f t="shared" si="0"/>
        <v>1970</v>
      </c>
      <c r="E35" s="2">
        <f t="shared" si="1"/>
        <v>10</v>
      </c>
      <c r="F35" s="3" t="s">
        <v>180</v>
      </c>
      <c r="G35" s="4">
        <v>25856</v>
      </c>
      <c r="H35" s="1">
        <v>6606238</v>
      </c>
      <c r="I35" s="1">
        <v>661152</v>
      </c>
      <c r="J35" s="5" t="s">
        <v>176</v>
      </c>
      <c r="K35" s="1"/>
      <c r="L35" s="1" t="str">
        <f t="shared" si="2"/>
        <v xml:space="preserve">Oxundaån </v>
      </c>
      <c r="M35" s="1" t="s">
        <v>177</v>
      </c>
      <c r="N35" s="1">
        <v>0.5</v>
      </c>
      <c r="O35" s="1">
        <v>0.5</v>
      </c>
      <c r="Q35" s="1">
        <v>8.9</v>
      </c>
      <c r="R35" s="1">
        <v>6.1</v>
      </c>
      <c r="V35" s="1">
        <v>1.79</v>
      </c>
      <c r="W35" s="1">
        <v>424</v>
      </c>
      <c r="X35" s="1">
        <f t="shared" si="3"/>
        <v>2.3762476563786694</v>
      </c>
      <c r="Y35" s="1">
        <v>5.6000000000000001E-2</v>
      </c>
      <c r="Z35" s="1">
        <v>129</v>
      </c>
      <c r="AD35" s="1">
        <v>202</v>
      </c>
      <c r="AE35" s="1">
        <v>7.52</v>
      </c>
      <c r="AG35" s="1">
        <v>15.7</v>
      </c>
      <c r="AK35" s="1">
        <v>170</v>
      </c>
      <c r="AR35" s="1">
        <v>51.62</v>
      </c>
      <c r="AT35" s="1">
        <v>8.680200000000001</v>
      </c>
      <c r="AU35" s="1">
        <v>8.4578999999999986</v>
      </c>
      <c r="AV35" s="1">
        <v>27.261050000000004</v>
      </c>
      <c r="AW35" s="1">
        <v>21.357140000000001</v>
      </c>
      <c r="AX35" s="1">
        <v>95.331199999999995</v>
      </c>
      <c r="AY35" s="1">
        <v>0.32</v>
      </c>
    </row>
    <row r="36" spans="4:51" x14ac:dyDescent="0.3">
      <c r="D36" s="2">
        <f t="shared" si="0"/>
        <v>1970</v>
      </c>
      <c r="E36" s="2">
        <f t="shared" si="1"/>
        <v>11</v>
      </c>
      <c r="F36" s="3" t="s">
        <v>180</v>
      </c>
      <c r="G36" s="4">
        <v>25888</v>
      </c>
      <c r="H36" s="1">
        <v>6606238</v>
      </c>
      <c r="I36" s="1">
        <v>661152</v>
      </c>
      <c r="J36" s="5" t="s">
        <v>176</v>
      </c>
      <c r="K36" s="1"/>
      <c r="L36" s="1" t="str">
        <f t="shared" si="2"/>
        <v xml:space="preserve">Oxundaån </v>
      </c>
      <c r="M36" s="1" t="s">
        <v>177</v>
      </c>
      <c r="N36" s="1">
        <v>0.5</v>
      </c>
      <c r="O36" s="1">
        <v>0.5</v>
      </c>
      <c r="Q36" s="1">
        <v>1.7</v>
      </c>
      <c r="R36" s="1">
        <v>9.6</v>
      </c>
      <c r="V36" s="1">
        <v>1.887</v>
      </c>
      <c r="W36" s="1">
        <v>672</v>
      </c>
      <c r="X36" s="1">
        <f t="shared" si="3"/>
        <v>3.4876096475075018</v>
      </c>
      <c r="Y36" s="1">
        <v>6.4000000000000001E-2</v>
      </c>
      <c r="Z36" s="1">
        <v>132</v>
      </c>
      <c r="AD36" s="1">
        <v>259</v>
      </c>
      <c r="AE36" s="1">
        <v>7.74</v>
      </c>
      <c r="AG36" s="1">
        <v>5.6</v>
      </c>
      <c r="AK36" s="1">
        <v>175</v>
      </c>
      <c r="AR36" s="1">
        <v>54.900000000000006</v>
      </c>
      <c r="AT36" s="1">
        <v>8.1719000000000008</v>
      </c>
      <c r="AU36" s="1">
        <v>9.6678999999999995</v>
      </c>
      <c r="AV36" s="1">
        <v>28.856300000000001</v>
      </c>
      <c r="AW36" s="1">
        <v>22.38944</v>
      </c>
      <c r="AX36" s="1">
        <v>99.847899999999981</v>
      </c>
      <c r="AY36" s="1">
        <v>0.79</v>
      </c>
    </row>
    <row r="37" spans="4:51" x14ac:dyDescent="0.3">
      <c r="D37" s="2">
        <f t="shared" si="0"/>
        <v>1970</v>
      </c>
      <c r="E37" s="2">
        <f t="shared" si="1"/>
        <v>12</v>
      </c>
      <c r="F37" s="3" t="s">
        <v>175</v>
      </c>
      <c r="G37" s="4">
        <v>25917</v>
      </c>
      <c r="H37" s="1">
        <v>6606238</v>
      </c>
      <c r="I37" s="1">
        <v>661152</v>
      </c>
      <c r="J37" s="5" t="s">
        <v>176</v>
      </c>
      <c r="K37" s="1"/>
      <c r="L37" s="1" t="str">
        <f t="shared" si="2"/>
        <v xml:space="preserve">Oxundaån </v>
      </c>
      <c r="M37" s="1" t="s">
        <v>177</v>
      </c>
      <c r="N37" s="1">
        <v>0.5</v>
      </c>
      <c r="O37" s="1">
        <v>0.5</v>
      </c>
      <c r="Q37" s="1">
        <v>1</v>
      </c>
      <c r="R37" s="1">
        <v>9.1</v>
      </c>
      <c r="V37" s="1">
        <v>1.8240000000000001</v>
      </c>
      <c r="W37" s="1">
        <v>570</v>
      </c>
      <c r="X37" s="1">
        <f t="shared" si="3"/>
        <v>1.4023699432376553</v>
      </c>
      <c r="Y37" s="1">
        <v>0.06</v>
      </c>
      <c r="Z37" s="1">
        <v>104</v>
      </c>
      <c r="AD37" s="1">
        <v>700</v>
      </c>
      <c r="AE37" s="1">
        <v>7.44</v>
      </c>
      <c r="AG37" s="1">
        <v>13.4</v>
      </c>
      <c r="AK37" s="1">
        <v>158</v>
      </c>
      <c r="AR37" s="1">
        <v>57.800000000000004</v>
      </c>
      <c r="AT37" s="1">
        <v>7.9763999999999999</v>
      </c>
      <c r="AU37" s="1">
        <v>11.253</v>
      </c>
      <c r="AV37" s="1">
        <v>30.203400000000002</v>
      </c>
      <c r="AW37" s="1">
        <v>22.251799999999999</v>
      </c>
      <c r="AX37" s="1">
        <v>118.1069</v>
      </c>
      <c r="AY37" s="1">
        <v>1.74</v>
      </c>
    </row>
    <row r="38" spans="4:51" x14ac:dyDescent="0.3">
      <c r="D38" s="2">
        <f t="shared" si="0"/>
        <v>1971</v>
      </c>
      <c r="E38" s="2">
        <f t="shared" si="1"/>
        <v>1</v>
      </c>
      <c r="F38" s="3" t="s">
        <v>175</v>
      </c>
      <c r="G38" s="4">
        <v>25947</v>
      </c>
      <c r="H38" s="1">
        <v>6606238</v>
      </c>
      <c r="I38" s="1">
        <v>661152</v>
      </c>
      <c r="J38" s="5" t="s">
        <v>176</v>
      </c>
      <c r="K38" s="1"/>
      <c r="L38" s="1" t="str">
        <f t="shared" si="2"/>
        <v xml:space="preserve">Oxundaån </v>
      </c>
      <c r="M38" s="1" t="s">
        <v>177</v>
      </c>
      <c r="N38" s="1">
        <v>0.5</v>
      </c>
      <c r="O38" s="1">
        <v>0.5</v>
      </c>
      <c r="Q38" s="1">
        <v>1</v>
      </c>
      <c r="R38" s="1">
        <v>8.92</v>
      </c>
      <c r="V38" s="1">
        <v>1.875</v>
      </c>
      <c r="W38" s="1">
        <v>619</v>
      </c>
      <c r="X38" s="1">
        <f t="shared" si="3"/>
        <v>1.2672379929057005</v>
      </c>
      <c r="Y38" s="1">
        <v>0.06</v>
      </c>
      <c r="Z38" s="1">
        <v>122</v>
      </c>
      <c r="AD38" s="1">
        <v>460</v>
      </c>
      <c r="AE38" s="1">
        <v>7.36</v>
      </c>
      <c r="AG38" s="1">
        <v>11.4</v>
      </c>
      <c r="AK38" s="1">
        <v>158</v>
      </c>
      <c r="AR38" s="1">
        <v>62</v>
      </c>
      <c r="AT38" s="1">
        <v>9.8140999999999998</v>
      </c>
      <c r="AU38" s="1">
        <v>11.954799999999999</v>
      </c>
      <c r="AV38" s="1">
        <v>31.515050000000002</v>
      </c>
      <c r="AW38" s="1">
        <v>23.329979999999999</v>
      </c>
      <c r="AX38" s="1">
        <v>122.28724999999999</v>
      </c>
      <c r="AY38" s="1">
        <v>2.7</v>
      </c>
    </row>
    <row r="39" spans="4:51" x14ac:dyDescent="0.3">
      <c r="D39" s="2">
        <f t="shared" si="0"/>
        <v>1971</v>
      </c>
      <c r="E39" s="2">
        <f t="shared" si="1"/>
        <v>2</v>
      </c>
      <c r="F39" s="3" t="s">
        <v>175</v>
      </c>
      <c r="G39" s="4">
        <v>25979</v>
      </c>
      <c r="H39" s="1">
        <v>6606238</v>
      </c>
      <c r="I39" s="1">
        <v>661152</v>
      </c>
      <c r="J39" s="5" t="s">
        <v>176</v>
      </c>
      <c r="K39" s="1"/>
      <c r="L39" s="1" t="str">
        <f t="shared" si="2"/>
        <v xml:space="preserve">Oxundaån </v>
      </c>
      <c r="M39" s="1" t="s">
        <v>177</v>
      </c>
      <c r="N39" s="1">
        <v>0.5</v>
      </c>
      <c r="O39" s="1">
        <v>0.5</v>
      </c>
      <c r="Q39" s="1">
        <v>1.5</v>
      </c>
      <c r="R39" s="1">
        <v>8.15</v>
      </c>
      <c r="V39" s="1">
        <v>1.873</v>
      </c>
      <c r="W39" s="1">
        <v>557</v>
      </c>
      <c r="X39" s="1">
        <f t="shared" si="3"/>
        <v>0.90227050920978735</v>
      </c>
      <c r="Y39" s="1">
        <v>4.9000000000000002E-2</v>
      </c>
      <c r="Z39" s="1">
        <v>103</v>
      </c>
      <c r="AD39" s="1">
        <v>1256</v>
      </c>
      <c r="AE39" s="1">
        <v>7.24</v>
      </c>
      <c r="AG39" s="1">
        <v>12.6</v>
      </c>
      <c r="AK39" s="1">
        <v>110</v>
      </c>
      <c r="AR39" s="1">
        <v>67.42</v>
      </c>
      <c r="AT39" s="1">
        <v>8.3283000000000005</v>
      </c>
      <c r="AU39" s="1">
        <v>11.700699999999999</v>
      </c>
      <c r="AV39" s="1">
        <v>30.628800000000002</v>
      </c>
      <c r="AW39" s="1">
        <v>23.284099999999999</v>
      </c>
      <c r="AX39" s="1">
        <v>125.26635</v>
      </c>
      <c r="AY39" s="1">
        <v>2.98</v>
      </c>
    </row>
    <row r="40" spans="4:51" x14ac:dyDescent="0.3">
      <c r="D40" s="2">
        <f t="shared" si="0"/>
        <v>1971</v>
      </c>
      <c r="E40" s="2">
        <f t="shared" si="1"/>
        <v>3</v>
      </c>
      <c r="F40" s="3" t="s">
        <v>175</v>
      </c>
      <c r="G40" s="4">
        <v>26007</v>
      </c>
      <c r="H40" s="1">
        <v>6606238</v>
      </c>
      <c r="I40" s="1">
        <v>661152</v>
      </c>
      <c r="J40" s="5" t="s">
        <v>176</v>
      </c>
      <c r="K40" s="1"/>
      <c r="L40" s="1" t="str">
        <f t="shared" si="2"/>
        <v xml:space="preserve">Oxundaån </v>
      </c>
      <c r="M40" s="1" t="s">
        <v>177</v>
      </c>
      <c r="N40" s="1">
        <v>0.5</v>
      </c>
      <c r="O40" s="1">
        <v>0.5</v>
      </c>
      <c r="Q40" s="1">
        <v>1.3</v>
      </c>
      <c r="R40" s="1">
        <v>6.78</v>
      </c>
      <c r="V40" s="1">
        <v>1.8360000000000001</v>
      </c>
      <c r="W40" s="1">
        <v>298</v>
      </c>
      <c r="X40" s="1">
        <f t="shared" si="3"/>
        <v>0.33625462974700604</v>
      </c>
      <c r="Y40" s="1">
        <v>0.06</v>
      </c>
      <c r="Z40" s="1">
        <v>112</v>
      </c>
      <c r="AD40" s="1">
        <v>1468</v>
      </c>
      <c r="AE40" s="1">
        <v>7.09</v>
      </c>
      <c r="AG40" s="1">
        <v>6.5</v>
      </c>
      <c r="AK40" s="1">
        <v>142</v>
      </c>
      <c r="AR40" s="1">
        <v>64.400000000000006</v>
      </c>
      <c r="AT40" s="1">
        <v>7.8591000000000006</v>
      </c>
      <c r="AU40" s="1">
        <v>12.850200000000001</v>
      </c>
      <c r="AV40" s="1">
        <v>31.408700000000003</v>
      </c>
      <c r="AW40" s="1">
        <v>23.0547</v>
      </c>
      <c r="AX40" s="1">
        <v>127.18834999999999</v>
      </c>
      <c r="AY40" s="1">
        <v>3.44</v>
      </c>
    </row>
    <row r="41" spans="4:51" x14ac:dyDescent="0.3">
      <c r="D41" s="2">
        <f t="shared" si="0"/>
        <v>1971</v>
      </c>
      <c r="E41" s="2">
        <f t="shared" si="1"/>
        <v>4</v>
      </c>
      <c r="F41" s="3" t="s">
        <v>178</v>
      </c>
      <c r="G41" s="4">
        <v>26037</v>
      </c>
      <c r="H41" s="1">
        <v>6606238</v>
      </c>
      <c r="I41" s="1">
        <v>661152</v>
      </c>
      <c r="J41" s="5" t="s">
        <v>176</v>
      </c>
      <c r="K41" s="1"/>
      <c r="L41" s="1" t="str">
        <f t="shared" si="2"/>
        <v xml:space="preserve">Oxundaån </v>
      </c>
      <c r="M41" s="1" t="s">
        <v>177</v>
      </c>
      <c r="N41" s="1">
        <v>0.5</v>
      </c>
      <c r="O41" s="1">
        <v>0.5</v>
      </c>
      <c r="Q41" s="1">
        <v>4.3</v>
      </c>
      <c r="R41" s="1">
        <v>12.37</v>
      </c>
      <c r="V41" s="1">
        <v>1.6359999999999999</v>
      </c>
      <c r="W41" s="1">
        <v>59</v>
      </c>
      <c r="X41" s="1">
        <f t="shared" si="3"/>
        <v>0.10485158986690624</v>
      </c>
      <c r="Y41" s="1">
        <v>5.6000000000000001E-2</v>
      </c>
      <c r="Z41" s="1">
        <v>20</v>
      </c>
      <c r="AD41" s="1">
        <v>1664</v>
      </c>
      <c r="AE41" s="1">
        <v>7.18</v>
      </c>
      <c r="AG41" s="1">
        <v>18.5</v>
      </c>
      <c r="AK41" s="1">
        <v>124</v>
      </c>
      <c r="AR41" s="1">
        <v>59.6</v>
      </c>
      <c r="AT41" s="1">
        <v>6.9988999999999999</v>
      </c>
      <c r="AU41" s="1">
        <v>12.559799999999999</v>
      </c>
      <c r="AV41" s="1">
        <v>26.3748</v>
      </c>
      <c r="AW41" s="1">
        <v>19.93486</v>
      </c>
      <c r="AX41" s="1">
        <v>125.50659999999999</v>
      </c>
      <c r="AY41" s="1">
        <v>3.68</v>
      </c>
    </row>
    <row r="42" spans="4:51" x14ac:dyDescent="0.3">
      <c r="D42" s="2">
        <f t="shared" si="0"/>
        <v>1971</v>
      </c>
      <c r="E42" s="2">
        <f t="shared" si="1"/>
        <v>5</v>
      </c>
      <c r="F42" s="3" t="s">
        <v>178</v>
      </c>
      <c r="G42" s="4">
        <v>26066</v>
      </c>
      <c r="H42" s="1">
        <v>6606238</v>
      </c>
      <c r="I42" s="1">
        <v>661152</v>
      </c>
      <c r="J42" s="5" t="s">
        <v>176</v>
      </c>
      <c r="K42" s="1"/>
      <c r="L42" s="1" t="str">
        <f t="shared" si="2"/>
        <v xml:space="preserve">Oxundaån </v>
      </c>
      <c r="M42" s="1" t="s">
        <v>177</v>
      </c>
      <c r="N42" s="1">
        <v>0.5</v>
      </c>
      <c r="O42" s="1">
        <v>0.5</v>
      </c>
      <c r="Q42" s="1">
        <v>14</v>
      </c>
      <c r="R42" s="1">
        <v>12.92</v>
      </c>
      <c r="V42" s="1">
        <v>1.502</v>
      </c>
      <c r="W42" s="1">
        <v>15</v>
      </c>
      <c r="X42" s="1">
        <f t="shared" si="3"/>
        <v>4.3623179569459163</v>
      </c>
      <c r="Y42" s="1">
        <v>4.8000000000000001E-2</v>
      </c>
      <c r="Z42" s="1">
        <v>7</v>
      </c>
      <c r="AD42" s="1">
        <v>353</v>
      </c>
      <c r="AE42" s="1">
        <v>9.2100000000000009</v>
      </c>
      <c r="AG42" s="1">
        <v>16.7</v>
      </c>
      <c r="AK42" s="1">
        <v>61</v>
      </c>
      <c r="AR42" s="1">
        <v>51.7</v>
      </c>
      <c r="AT42" s="1">
        <v>7.898200000000001</v>
      </c>
      <c r="AU42" s="1">
        <v>11.555499999999999</v>
      </c>
      <c r="AV42" s="1">
        <v>26.197550000000003</v>
      </c>
      <c r="AW42" s="1">
        <v>20.14132</v>
      </c>
      <c r="AX42" s="1">
        <v>111.42795</v>
      </c>
      <c r="AY42" s="1">
        <v>0.12</v>
      </c>
    </row>
    <row r="43" spans="4:51" x14ac:dyDescent="0.3">
      <c r="D43" s="2">
        <f t="shared" si="0"/>
        <v>1971</v>
      </c>
      <c r="E43" s="2">
        <f t="shared" si="1"/>
        <v>6</v>
      </c>
      <c r="F43" s="3"/>
      <c r="G43" s="4">
        <v>26099</v>
      </c>
      <c r="H43" s="1">
        <v>6606238</v>
      </c>
      <c r="I43" s="1">
        <v>661152</v>
      </c>
      <c r="J43" s="5" t="s">
        <v>176</v>
      </c>
      <c r="K43" s="1"/>
      <c r="L43" s="1" t="str">
        <f t="shared" si="2"/>
        <v xml:space="preserve">Oxundaån </v>
      </c>
      <c r="M43" s="1" t="s">
        <v>177</v>
      </c>
      <c r="N43" s="1">
        <v>0.5</v>
      </c>
      <c r="O43" s="1">
        <v>0.5</v>
      </c>
      <c r="Q43" s="1">
        <v>16.600000000000001</v>
      </c>
      <c r="R43" s="1">
        <v>8.39</v>
      </c>
      <c r="V43" s="1">
        <v>1.6919999999999999</v>
      </c>
      <c r="W43" s="1">
        <v>53</v>
      </c>
      <c r="X43" s="1">
        <f t="shared" si="3"/>
        <v>4.4126713016928178</v>
      </c>
      <c r="Y43" s="1">
        <v>4.2000000000000003E-2</v>
      </c>
      <c r="Z43" s="1">
        <v>22</v>
      </c>
      <c r="AD43" s="1">
        <v>293</v>
      </c>
      <c r="AE43" s="1">
        <v>8.4700000000000006</v>
      </c>
      <c r="AG43" s="1">
        <v>30.7</v>
      </c>
      <c r="AK43" s="1">
        <v>93</v>
      </c>
      <c r="AR43" s="1">
        <v>49.800000000000004</v>
      </c>
      <c r="AT43" s="1">
        <v>5.3567000000000009</v>
      </c>
      <c r="AU43" s="1">
        <v>9.3895999999999997</v>
      </c>
      <c r="AV43" s="1">
        <v>20.2774</v>
      </c>
      <c r="AW43" s="1">
        <v>15.966239999999999</v>
      </c>
      <c r="AX43" s="1">
        <v>82.357699999999994</v>
      </c>
      <c r="AY43" s="1">
        <v>0.7</v>
      </c>
    </row>
    <row r="44" spans="4:51" x14ac:dyDescent="0.3">
      <c r="D44" s="2">
        <f t="shared" si="0"/>
        <v>1971</v>
      </c>
      <c r="E44" s="2">
        <f t="shared" si="1"/>
        <v>7</v>
      </c>
      <c r="F44" s="3" t="s">
        <v>179</v>
      </c>
      <c r="G44" s="4">
        <v>26128</v>
      </c>
      <c r="H44" s="1">
        <v>6606238</v>
      </c>
      <c r="I44" s="1">
        <v>661152</v>
      </c>
      <c r="J44" s="5" t="s">
        <v>176</v>
      </c>
      <c r="K44" s="1"/>
      <c r="L44" s="1" t="str">
        <f t="shared" si="2"/>
        <v xml:space="preserve">Oxundaån </v>
      </c>
      <c r="M44" s="1" t="s">
        <v>177</v>
      </c>
      <c r="N44" s="1">
        <v>0.5</v>
      </c>
      <c r="O44" s="1">
        <v>0.5</v>
      </c>
      <c r="Q44" s="1">
        <v>20.3</v>
      </c>
      <c r="R44" s="1">
        <v>7.6</v>
      </c>
      <c r="V44" s="1">
        <v>1.7170000000000001</v>
      </c>
      <c r="W44" s="1">
        <v>82</v>
      </c>
      <c r="X44" s="1">
        <f t="shared" si="3"/>
        <v>1.9956574669318712</v>
      </c>
      <c r="Y44" s="1">
        <v>4.2999999999999997E-2</v>
      </c>
      <c r="Z44" s="1">
        <v>172</v>
      </c>
      <c r="AD44" s="1">
        <v>40</v>
      </c>
      <c r="AE44" s="1">
        <v>7.79</v>
      </c>
      <c r="AG44" s="1">
        <v>20</v>
      </c>
      <c r="AK44" s="1">
        <v>252</v>
      </c>
      <c r="AR44" s="1">
        <v>57.599999999999994</v>
      </c>
      <c r="AT44" s="1">
        <v>7.5463000000000005</v>
      </c>
      <c r="AU44" s="1">
        <v>12.922800000000001</v>
      </c>
      <c r="AV44" s="1">
        <v>29.068999999999999</v>
      </c>
      <c r="AW44" s="1">
        <v>22.022400000000001</v>
      </c>
      <c r="AX44" s="1">
        <v>114.88754999999999</v>
      </c>
      <c r="AY44" s="1">
        <v>0.6</v>
      </c>
    </row>
    <row r="45" spans="4:51" x14ac:dyDescent="0.3">
      <c r="D45" s="2">
        <f t="shared" si="0"/>
        <v>1971</v>
      </c>
      <c r="E45" s="2">
        <f t="shared" si="1"/>
        <v>8</v>
      </c>
      <c r="F45" s="3" t="s">
        <v>179</v>
      </c>
      <c r="G45" s="4">
        <v>26161</v>
      </c>
      <c r="H45" s="1">
        <v>6606238</v>
      </c>
      <c r="I45" s="1">
        <v>661152</v>
      </c>
      <c r="J45" s="5" t="s">
        <v>176</v>
      </c>
      <c r="K45" s="1"/>
      <c r="L45" s="1" t="str">
        <f t="shared" si="2"/>
        <v xml:space="preserve">Oxundaån </v>
      </c>
      <c r="M45" s="1" t="s">
        <v>177</v>
      </c>
      <c r="N45" s="1">
        <v>0.5</v>
      </c>
      <c r="O45" s="1">
        <v>0.5</v>
      </c>
      <c r="Q45" s="1">
        <v>18.600000000000001</v>
      </c>
      <c r="R45" s="1">
        <v>6.67</v>
      </c>
      <c r="V45" s="1">
        <v>1.7330000000000001</v>
      </c>
      <c r="W45" s="1">
        <v>91</v>
      </c>
      <c r="X45" s="1">
        <f t="shared" si="3"/>
        <v>3.4286843392066069</v>
      </c>
      <c r="Y45" s="1">
        <v>4.4999999999999998E-2</v>
      </c>
      <c r="Z45" s="1">
        <v>186</v>
      </c>
      <c r="AD45" s="1">
        <v>50</v>
      </c>
      <c r="AE45" s="1">
        <v>8.0399999999999991</v>
      </c>
      <c r="AG45" s="1">
        <v>25</v>
      </c>
      <c r="AK45" s="1">
        <v>296</v>
      </c>
      <c r="AR45" s="1">
        <v>57.779999999999994</v>
      </c>
      <c r="AT45" s="1">
        <v>7.1943999999999999</v>
      </c>
      <c r="AU45" s="1">
        <v>11.857999999999999</v>
      </c>
      <c r="AV45" s="1">
        <v>29.458950000000002</v>
      </c>
      <c r="AW45" s="1">
        <v>21.792999999999999</v>
      </c>
      <c r="AX45" s="1">
        <v>116.66539999999999</v>
      </c>
      <c r="AY45" s="1">
        <v>0.4</v>
      </c>
    </row>
    <row r="46" spans="4:51" x14ac:dyDescent="0.3">
      <c r="D46" s="2">
        <f t="shared" si="0"/>
        <v>1971</v>
      </c>
      <c r="E46" s="2">
        <f t="shared" si="1"/>
        <v>9</v>
      </c>
      <c r="F46" s="3"/>
      <c r="G46" s="4">
        <v>26191</v>
      </c>
      <c r="H46" s="1">
        <v>6606238</v>
      </c>
      <c r="I46" s="1">
        <v>661152</v>
      </c>
      <c r="J46" s="5" t="s">
        <v>176</v>
      </c>
      <c r="K46" s="1"/>
      <c r="L46" s="1" t="str">
        <f t="shared" si="2"/>
        <v xml:space="preserve">Oxundaån </v>
      </c>
      <c r="M46" s="1" t="s">
        <v>177</v>
      </c>
      <c r="N46" s="1">
        <v>0.5</v>
      </c>
      <c r="O46" s="1">
        <v>0.5</v>
      </c>
      <c r="Q46" s="1">
        <v>12.3</v>
      </c>
      <c r="R46" s="1">
        <v>7.03</v>
      </c>
      <c r="V46" s="1">
        <v>1.871</v>
      </c>
      <c r="W46" s="1">
        <v>100</v>
      </c>
      <c r="X46" s="1">
        <f t="shared" si="3"/>
        <v>1.0274632635968945</v>
      </c>
      <c r="Y46" s="1">
        <v>2.4E-2</v>
      </c>
      <c r="Z46" s="1">
        <v>188</v>
      </c>
      <c r="AD46" s="1">
        <v>53</v>
      </c>
      <c r="AE46" s="1">
        <v>7.67</v>
      </c>
      <c r="AG46" s="1">
        <v>11.4</v>
      </c>
      <c r="AK46" s="1">
        <v>275</v>
      </c>
      <c r="AR46" s="1">
        <v>60.82</v>
      </c>
      <c r="AT46" s="1">
        <v>8.1719000000000008</v>
      </c>
      <c r="AU46" s="1">
        <v>12.269399999999999</v>
      </c>
      <c r="AV46" s="1">
        <v>31.408700000000003</v>
      </c>
      <c r="AW46" s="1">
        <v>22.985880000000002</v>
      </c>
      <c r="AX46" s="1">
        <v>119.30815</v>
      </c>
      <c r="AY46" s="1">
        <v>0.23</v>
      </c>
    </row>
    <row r="47" spans="4:51" x14ac:dyDescent="0.3">
      <c r="D47" s="2">
        <f t="shared" si="0"/>
        <v>1971</v>
      </c>
      <c r="E47" s="2">
        <f t="shared" si="1"/>
        <v>10</v>
      </c>
      <c r="F47" s="3" t="s">
        <v>180</v>
      </c>
      <c r="G47" s="4">
        <v>26220</v>
      </c>
      <c r="H47" s="1">
        <v>6606238</v>
      </c>
      <c r="I47" s="1">
        <v>661152</v>
      </c>
      <c r="J47" s="5" t="s">
        <v>176</v>
      </c>
      <c r="K47" s="1"/>
      <c r="L47" s="1" t="str">
        <f t="shared" si="2"/>
        <v xml:space="preserve">Oxundaån </v>
      </c>
      <c r="M47" s="1" t="s">
        <v>177</v>
      </c>
      <c r="N47" s="1">
        <v>0.5</v>
      </c>
      <c r="O47" s="1">
        <v>0.5</v>
      </c>
      <c r="Q47" s="1">
        <v>9</v>
      </c>
      <c r="R47" s="1">
        <v>8.9600000000000009</v>
      </c>
      <c r="V47" s="1">
        <v>1.8460000000000001</v>
      </c>
      <c r="W47" s="1">
        <v>210</v>
      </c>
      <c r="X47" s="1">
        <f t="shared" si="3"/>
        <v>2.1980954547140277</v>
      </c>
      <c r="Y47" s="1">
        <v>2.9000000000000001E-2</v>
      </c>
      <c r="Z47" s="1">
        <v>228</v>
      </c>
      <c r="AD47" s="1">
        <v>110</v>
      </c>
      <c r="AE47" s="1">
        <v>7.79</v>
      </c>
      <c r="AG47" s="1">
        <v>14.8</v>
      </c>
      <c r="AK47" s="1">
        <v>252</v>
      </c>
      <c r="AR47" s="1">
        <v>61.34</v>
      </c>
      <c r="AT47" s="1">
        <v>7.7809000000000008</v>
      </c>
      <c r="AU47" s="1">
        <v>12.741299999999999</v>
      </c>
      <c r="AV47" s="1">
        <v>30.912400000000002</v>
      </c>
      <c r="AW47" s="1">
        <v>23.513500000000001</v>
      </c>
      <c r="AX47" s="1">
        <v>122.28724999999999</v>
      </c>
      <c r="AY47" s="1">
        <v>0.76</v>
      </c>
    </row>
    <row r="48" spans="4:51" x14ac:dyDescent="0.3">
      <c r="D48" s="2">
        <f t="shared" si="0"/>
        <v>1971</v>
      </c>
      <c r="E48" s="2">
        <f t="shared" si="1"/>
        <v>11</v>
      </c>
      <c r="F48" s="3" t="s">
        <v>180</v>
      </c>
      <c r="G48" s="4">
        <v>26252</v>
      </c>
      <c r="H48" s="1">
        <v>6606238</v>
      </c>
      <c r="I48" s="1">
        <v>661152</v>
      </c>
      <c r="J48" s="5" t="s">
        <v>176</v>
      </c>
      <c r="K48" s="1"/>
      <c r="L48" s="1" t="str">
        <f t="shared" si="2"/>
        <v xml:space="preserve">Oxundaån </v>
      </c>
      <c r="M48" s="1" t="s">
        <v>177</v>
      </c>
      <c r="N48" s="1">
        <v>0.5</v>
      </c>
      <c r="O48" s="1">
        <v>0.5</v>
      </c>
      <c r="Q48" s="1">
        <v>0.8</v>
      </c>
      <c r="R48" s="1">
        <v>9.69</v>
      </c>
      <c r="V48" s="1">
        <v>1.8879999999999999</v>
      </c>
      <c r="W48" s="1">
        <v>389</v>
      </c>
      <c r="X48" s="1">
        <f t="shared" si="3"/>
        <v>2.1008043684875863</v>
      </c>
      <c r="Y48" s="1">
        <v>2.9000000000000001E-2</v>
      </c>
      <c r="Z48" s="1">
        <v>154</v>
      </c>
      <c r="AD48" s="1">
        <v>250</v>
      </c>
      <c r="AE48" s="1">
        <v>7.79</v>
      </c>
      <c r="AG48" s="1">
        <v>6.7</v>
      </c>
      <c r="AK48" s="1">
        <v>204</v>
      </c>
      <c r="AR48" s="1">
        <v>63.26</v>
      </c>
      <c r="AT48" s="1">
        <v>7.2726000000000006</v>
      </c>
      <c r="AU48" s="1">
        <v>12.584</v>
      </c>
      <c r="AV48" s="1">
        <v>32.224050000000005</v>
      </c>
      <c r="AW48" s="1">
        <v>23.444680000000002</v>
      </c>
      <c r="AX48" s="1">
        <v>124.88195</v>
      </c>
      <c r="AY48" s="1">
        <v>1.27</v>
      </c>
    </row>
    <row r="49" spans="4:51" x14ac:dyDescent="0.3">
      <c r="D49" s="2">
        <f t="shared" si="0"/>
        <v>1971</v>
      </c>
      <c r="E49" s="2">
        <f t="shared" si="1"/>
        <v>12</v>
      </c>
      <c r="F49" s="3" t="s">
        <v>175</v>
      </c>
      <c r="G49" s="4">
        <v>26282</v>
      </c>
      <c r="H49" s="1">
        <v>6606238</v>
      </c>
      <c r="I49" s="1">
        <v>661152</v>
      </c>
      <c r="J49" s="5" t="s">
        <v>176</v>
      </c>
      <c r="K49" s="1"/>
      <c r="L49" s="1" t="str">
        <f t="shared" si="2"/>
        <v xml:space="preserve">Oxundaån </v>
      </c>
      <c r="M49" s="1" t="s">
        <v>177</v>
      </c>
      <c r="N49" s="1">
        <v>0.5</v>
      </c>
      <c r="O49" s="1">
        <v>0.5</v>
      </c>
      <c r="Q49" s="1">
        <v>1.4</v>
      </c>
      <c r="R49" s="1">
        <v>9.5</v>
      </c>
      <c r="V49" s="1">
        <v>2.0489999999999999</v>
      </c>
      <c r="W49" s="1">
        <v>495</v>
      </c>
      <c r="X49" s="1">
        <f t="shared" si="3"/>
        <v>1.6208621713977089</v>
      </c>
      <c r="Y49" s="1">
        <v>4.1000000000000002E-2</v>
      </c>
      <c r="Z49" s="1">
        <v>210</v>
      </c>
      <c r="AD49" s="1">
        <v>297</v>
      </c>
      <c r="AE49" s="1">
        <v>7.55</v>
      </c>
      <c r="AG49" s="1">
        <v>7.5</v>
      </c>
      <c r="AK49" s="1">
        <v>212</v>
      </c>
      <c r="AR49" s="1">
        <v>66.94</v>
      </c>
      <c r="AT49" s="1">
        <v>7.6245000000000003</v>
      </c>
      <c r="AU49" s="1">
        <v>13.189</v>
      </c>
      <c r="AV49" s="1">
        <v>33.287550000000003</v>
      </c>
      <c r="AW49" s="1">
        <v>25.21106</v>
      </c>
      <c r="AX49" s="1">
        <v>125.69879999999999</v>
      </c>
      <c r="AY49" s="1">
        <v>1.84</v>
      </c>
    </row>
    <row r="50" spans="4:51" x14ac:dyDescent="0.3">
      <c r="D50" s="2">
        <f t="shared" si="0"/>
        <v>1972</v>
      </c>
      <c r="E50" s="2">
        <f t="shared" si="1"/>
        <v>1</v>
      </c>
      <c r="F50" s="3" t="s">
        <v>175</v>
      </c>
      <c r="G50" s="4">
        <v>26315</v>
      </c>
      <c r="H50" s="1">
        <v>6606238</v>
      </c>
      <c r="I50" s="1">
        <v>661152</v>
      </c>
      <c r="J50" s="5" t="s">
        <v>176</v>
      </c>
      <c r="K50" s="1"/>
      <c r="L50" s="1" t="str">
        <f t="shared" si="2"/>
        <v xml:space="preserve">Oxundaån </v>
      </c>
      <c r="M50" s="1" t="s">
        <v>177</v>
      </c>
      <c r="N50" s="1">
        <v>0.5</v>
      </c>
      <c r="O50" s="1">
        <v>0.5</v>
      </c>
      <c r="Q50" s="1">
        <v>1.5</v>
      </c>
      <c r="R50" s="1">
        <v>6.89</v>
      </c>
      <c r="V50" s="1">
        <v>2.226</v>
      </c>
      <c r="W50" s="1">
        <v>425</v>
      </c>
      <c r="X50" s="1">
        <f t="shared" si="3"/>
        <v>1.0174980231293942</v>
      </c>
      <c r="Y50" s="1">
        <v>2.9000000000000001E-2</v>
      </c>
      <c r="Z50" s="1">
        <v>130</v>
      </c>
      <c r="AD50" s="1">
        <v>595</v>
      </c>
      <c r="AE50" s="1">
        <v>7.41</v>
      </c>
      <c r="AG50" s="1">
        <v>21.9</v>
      </c>
      <c r="AK50" s="1">
        <v>176</v>
      </c>
      <c r="AR50" s="1">
        <v>68.64</v>
      </c>
      <c r="AT50" s="1">
        <v>7.9763999999999999</v>
      </c>
      <c r="AU50" s="1">
        <v>15.1008</v>
      </c>
      <c r="AV50" s="1">
        <v>36.513500000000001</v>
      </c>
      <c r="AW50" s="1">
        <v>26.151599999999998</v>
      </c>
      <c r="AX50" s="1">
        <v>139.00864999999999</v>
      </c>
      <c r="AY50" s="1">
        <v>2.42</v>
      </c>
    </row>
    <row r="51" spans="4:51" x14ac:dyDescent="0.3">
      <c r="D51" s="2">
        <f t="shared" si="0"/>
        <v>1972</v>
      </c>
      <c r="E51" s="2">
        <f t="shared" si="1"/>
        <v>2</v>
      </c>
      <c r="F51" s="3" t="s">
        <v>175</v>
      </c>
      <c r="G51" s="4">
        <v>26344</v>
      </c>
      <c r="H51" s="1">
        <v>6606238</v>
      </c>
      <c r="I51" s="1">
        <v>661152</v>
      </c>
      <c r="J51" s="5" t="s">
        <v>176</v>
      </c>
      <c r="K51" s="1"/>
      <c r="L51" s="1" t="str">
        <f t="shared" si="2"/>
        <v xml:space="preserve">Oxundaån </v>
      </c>
      <c r="M51" s="1" t="s">
        <v>177</v>
      </c>
      <c r="N51" s="1">
        <v>0.5</v>
      </c>
      <c r="O51" s="1">
        <v>0.5</v>
      </c>
      <c r="Q51" s="1">
        <v>0.6</v>
      </c>
      <c r="R51" s="1">
        <v>5.5</v>
      </c>
      <c r="V51" s="1">
        <v>2.2759999999999998</v>
      </c>
      <c r="W51" s="1">
        <v>463</v>
      </c>
      <c r="X51" s="1">
        <f t="shared" si="3"/>
        <v>0.74539871638009791</v>
      </c>
      <c r="Y51" s="1">
        <v>5.1999999999999998E-2</v>
      </c>
      <c r="Z51" s="1">
        <v>138</v>
      </c>
      <c r="AD51" s="1">
        <v>760</v>
      </c>
      <c r="AE51" s="1">
        <v>7.27</v>
      </c>
      <c r="AG51" s="1">
        <v>8.8000000000000007</v>
      </c>
      <c r="AK51" s="1">
        <v>200</v>
      </c>
      <c r="AR51" s="1">
        <v>71.599999999999994</v>
      </c>
      <c r="AT51" s="1">
        <v>9.2276000000000007</v>
      </c>
      <c r="AU51" s="1">
        <v>15.8752</v>
      </c>
      <c r="AV51" s="1">
        <v>38.746850000000002</v>
      </c>
      <c r="AW51" s="1">
        <v>28.675000000000001</v>
      </c>
      <c r="AX51" s="1">
        <v>143.86170000000001</v>
      </c>
      <c r="AY51" s="1">
        <v>2.94</v>
      </c>
    </row>
    <row r="52" spans="4:51" x14ac:dyDescent="0.3">
      <c r="D52" s="2">
        <f t="shared" si="0"/>
        <v>1972</v>
      </c>
      <c r="E52" s="2">
        <f t="shared" si="1"/>
        <v>3</v>
      </c>
      <c r="F52" s="3" t="s">
        <v>175</v>
      </c>
      <c r="G52" s="4">
        <v>26373</v>
      </c>
      <c r="H52" s="1">
        <v>6606238</v>
      </c>
      <c r="I52" s="1">
        <v>661152</v>
      </c>
      <c r="J52" s="5" t="s">
        <v>176</v>
      </c>
      <c r="K52" s="1"/>
      <c r="L52" s="1" t="str">
        <f t="shared" si="2"/>
        <v xml:space="preserve">Oxundaån </v>
      </c>
      <c r="M52" s="1" t="s">
        <v>177</v>
      </c>
      <c r="N52" s="1">
        <v>0.5</v>
      </c>
      <c r="O52" s="1">
        <v>0.5</v>
      </c>
      <c r="Q52" s="1">
        <v>1.5</v>
      </c>
      <c r="R52" s="1">
        <v>3.42</v>
      </c>
      <c r="V52" s="1">
        <v>2.234</v>
      </c>
      <c r="W52" s="1">
        <v>401</v>
      </c>
      <c r="X52" s="1">
        <f t="shared" si="3"/>
        <v>0.62037973665107915</v>
      </c>
      <c r="Y52" s="1">
        <v>3.7999999999999999E-2</v>
      </c>
      <c r="Z52" s="1">
        <v>144</v>
      </c>
      <c r="AD52" s="1">
        <v>1030</v>
      </c>
      <c r="AE52" s="1">
        <v>7.22</v>
      </c>
      <c r="AG52" s="1">
        <v>6.8</v>
      </c>
      <c r="AK52" s="1">
        <v>198</v>
      </c>
      <c r="AR52" s="1">
        <v>72.66</v>
      </c>
      <c r="AT52" s="1">
        <v>9.1884999999999994</v>
      </c>
      <c r="AU52" s="1">
        <v>15.9962</v>
      </c>
      <c r="AV52" s="1">
        <v>39.065900000000006</v>
      </c>
      <c r="AW52" s="1">
        <v>29.867880000000003</v>
      </c>
      <c r="AX52" s="1">
        <v>145.49539999999999</v>
      </c>
      <c r="AY52" s="1">
        <v>2.94</v>
      </c>
    </row>
    <row r="53" spans="4:51" x14ac:dyDescent="0.3">
      <c r="D53" s="2">
        <f t="shared" si="0"/>
        <v>1972</v>
      </c>
      <c r="E53" s="2">
        <f t="shared" si="1"/>
        <v>4</v>
      </c>
      <c r="F53" s="3" t="s">
        <v>178</v>
      </c>
      <c r="G53" s="4">
        <v>26402</v>
      </c>
      <c r="H53" s="1">
        <v>6606238</v>
      </c>
      <c r="I53" s="1">
        <v>661152</v>
      </c>
      <c r="J53" s="5" t="s">
        <v>176</v>
      </c>
      <c r="K53" s="1"/>
      <c r="L53" s="1" t="str">
        <f t="shared" si="2"/>
        <v xml:space="preserve">Oxundaån </v>
      </c>
      <c r="M53" s="1" t="s">
        <v>177</v>
      </c>
      <c r="N53" s="1">
        <v>0.5</v>
      </c>
      <c r="O53" s="1">
        <v>0.5</v>
      </c>
      <c r="Q53" s="1">
        <v>4</v>
      </c>
      <c r="R53" s="1">
        <v>8.59</v>
      </c>
      <c r="V53" s="1">
        <v>1.6970000000000001</v>
      </c>
      <c r="W53" s="1">
        <v>307</v>
      </c>
      <c r="X53" s="1">
        <f t="shared" si="3"/>
        <v>0.57039496410950008</v>
      </c>
      <c r="Y53" s="1">
        <v>3.7999999999999999E-2</v>
      </c>
      <c r="Z53" s="1">
        <v>49</v>
      </c>
      <c r="AD53" s="1">
        <v>1544</v>
      </c>
      <c r="AE53" s="1">
        <v>7.21</v>
      </c>
      <c r="AG53" s="1">
        <v>16.7</v>
      </c>
      <c r="AK53" s="1">
        <v>114</v>
      </c>
      <c r="AR53" s="1">
        <v>63.739999999999995</v>
      </c>
      <c r="AT53" s="1">
        <v>7.6245000000000003</v>
      </c>
      <c r="AU53" s="1">
        <v>13.987599999999999</v>
      </c>
      <c r="AV53" s="1">
        <v>30.203400000000002</v>
      </c>
      <c r="AW53" s="1">
        <v>23.765840000000001</v>
      </c>
      <c r="AX53" s="1">
        <v>138.72035</v>
      </c>
      <c r="AY53" s="1">
        <v>4.72</v>
      </c>
    </row>
    <row r="54" spans="4:51" x14ac:dyDescent="0.3">
      <c r="D54" s="2">
        <f t="shared" si="0"/>
        <v>1972</v>
      </c>
      <c r="E54" s="2">
        <f t="shared" si="1"/>
        <v>5</v>
      </c>
      <c r="F54" s="3" t="s">
        <v>178</v>
      </c>
      <c r="G54" s="4">
        <v>26434</v>
      </c>
      <c r="H54" s="1">
        <v>6606238</v>
      </c>
      <c r="I54" s="1">
        <v>661152</v>
      </c>
      <c r="J54" s="5" t="s">
        <v>176</v>
      </c>
      <c r="K54" s="1"/>
      <c r="L54" s="1" t="str">
        <f t="shared" si="2"/>
        <v xml:space="preserve">Oxundaån </v>
      </c>
      <c r="M54" s="1" t="s">
        <v>177</v>
      </c>
      <c r="N54" s="1">
        <v>0.5</v>
      </c>
      <c r="O54" s="1">
        <v>0.5</v>
      </c>
      <c r="Q54" s="1">
        <v>10.5</v>
      </c>
      <c r="R54" s="1">
        <v>12.04</v>
      </c>
      <c r="V54" s="1">
        <v>1.4430000000000001</v>
      </c>
      <c r="W54" s="1">
        <v>27</v>
      </c>
      <c r="X54" s="1">
        <f t="shared" si="3"/>
        <v>0.5112393742059641</v>
      </c>
      <c r="Y54" s="1">
        <v>2.8000000000000001E-2</v>
      </c>
      <c r="Z54" s="1">
        <v>10</v>
      </c>
      <c r="AD54" s="1">
        <v>600</v>
      </c>
      <c r="AE54" s="1">
        <v>8</v>
      </c>
      <c r="AG54" s="1">
        <v>20.5</v>
      </c>
      <c r="AK54" s="1">
        <v>69</v>
      </c>
      <c r="AR54" s="1">
        <v>59.660000000000004</v>
      </c>
      <c r="AT54" s="1">
        <v>6.4906000000000006</v>
      </c>
      <c r="AU54" s="1">
        <v>11.470799999999999</v>
      </c>
      <c r="AV54" s="1">
        <v>28.82085</v>
      </c>
      <c r="AW54" s="1">
        <v>21.265380000000004</v>
      </c>
      <c r="AX54" s="1">
        <v>129.11034999999998</v>
      </c>
      <c r="AY54" s="1">
        <v>0.13</v>
      </c>
    </row>
    <row r="55" spans="4:51" x14ac:dyDescent="0.3">
      <c r="D55" s="2">
        <f t="shared" si="0"/>
        <v>1972</v>
      </c>
      <c r="E55" s="2">
        <f t="shared" si="1"/>
        <v>6</v>
      </c>
      <c r="F55" s="3"/>
      <c r="G55" s="4">
        <v>26465</v>
      </c>
      <c r="H55" s="1">
        <v>6606238</v>
      </c>
      <c r="I55" s="1">
        <v>661152</v>
      </c>
      <c r="J55" s="5" t="s">
        <v>176</v>
      </c>
      <c r="K55" s="1"/>
      <c r="L55" s="1" t="str">
        <f t="shared" si="2"/>
        <v xml:space="preserve">Oxundaån </v>
      </c>
      <c r="M55" s="1" t="s">
        <v>177</v>
      </c>
      <c r="N55" s="1">
        <v>0.5</v>
      </c>
      <c r="O55" s="1">
        <v>0.5</v>
      </c>
      <c r="Q55" s="1">
        <v>18.3</v>
      </c>
      <c r="R55" s="1">
        <v>6.29</v>
      </c>
      <c r="V55" s="1">
        <v>1.7969999999999999</v>
      </c>
      <c r="W55" s="1">
        <v>137</v>
      </c>
      <c r="X55" s="1">
        <f t="shared" si="3"/>
        <v>6.5836411133597119</v>
      </c>
      <c r="Y55" s="1">
        <v>3.3000000000000002E-2</v>
      </c>
      <c r="Z55" s="1">
        <v>47</v>
      </c>
      <c r="AD55" s="1">
        <v>90</v>
      </c>
      <c r="AE55" s="1">
        <v>8.16</v>
      </c>
      <c r="AG55" s="1">
        <v>23.3</v>
      </c>
      <c r="AK55" s="1">
        <v>98</v>
      </c>
      <c r="AR55" s="1">
        <v>56.7</v>
      </c>
      <c r="AT55" s="1">
        <v>7.9763999999999999</v>
      </c>
      <c r="AU55" s="1">
        <v>11.954799999999999</v>
      </c>
      <c r="AV55" s="1">
        <v>28.82085</v>
      </c>
      <c r="AW55" s="1">
        <v>21.403020000000001</v>
      </c>
      <c r="AX55" s="1">
        <v>115.51219999999999</v>
      </c>
      <c r="AY55" s="1">
        <v>0.8</v>
      </c>
    </row>
    <row r="56" spans="4:51" x14ac:dyDescent="0.3">
      <c r="D56" s="2">
        <f t="shared" si="0"/>
        <v>1972</v>
      </c>
      <c r="E56" s="2">
        <f t="shared" si="1"/>
        <v>7</v>
      </c>
      <c r="F56" s="3" t="s">
        <v>179</v>
      </c>
      <c r="G56" s="4">
        <v>26493</v>
      </c>
      <c r="H56" s="1">
        <v>6606238</v>
      </c>
      <c r="I56" s="1">
        <v>661152</v>
      </c>
      <c r="J56" s="5" t="s">
        <v>176</v>
      </c>
      <c r="K56" s="1"/>
      <c r="L56" s="1" t="str">
        <f t="shared" si="2"/>
        <v xml:space="preserve">Oxundaån </v>
      </c>
      <c r="M56" s="1" t="s">
        <v>177</v>
      </c>
      <c r="N56" s="1">
        <v>0.5</v>
      </c>
      <c r="O56" s="1">
        <v>0.5</v>
      </c>
      <c r="Q56" s="1">
        <v>20.8</v>
      </c>
      <c r="R56" s="1">
        <v>6.42</v>
      </c>
      <c r="V56" s="1">
        <v>1.9139999999999999</v>
      </c>
      <c r="W56" s="1">
        <v>92</v>
      </c>
      <c r="X56" s="1">
        <f t="shared" si="3"/>
        <v>4.8217474261966142</v>
      </c>
      <c r="Y56" s="1">
        <v>4.1000000000000002E-2</v>
      </c>
      <c r="Z56" s="1">
        <v>88</v>
      </c>
      <c r="AD56" s="1">
        <v>17</v>
      </c>
      <c r="AE56" s="1">
        <v>8.1199999999999992</v>
      </c>
      <c r="AG56" s="1">
        <v>21.3</v>
      </c>
      <c r="AK56" s="1">
        <v>142</v>
      </c>
      <c r="AR56" s="1">
        <v>61.42</v>
      </c>
      <c r="AT56" s="1">
        <v>7.6636000000000006</v>
      </c>
      <c r="AU56" s="1">
        <v>11.6402</v>
      </c>
      <c r="AV56" s="1">
        <v>30.522450000000003</v>
      </c>
      <c r="AW56" s="1">
        <v>22.641780000000001</v>
      </c>
      <c r="AX56" s="1">
        <v>109.89034999999998</v>
      </c>
      <c r="AY56" s="1">
        <v>0.78</v>
      </c>
    </row>
    <row r="57" spans="4:51" x14ac:dyDescent="0.3">
      <c r="D57" s="2">
        <f t="shared" si="0"/>
        <v>1972</v>
      </c>
      <c r="E57" s="2">
        <f t="shared" si="1"/>
        <v>8</v>
      </c>
      <c r="F57" s="3" t="s">
        <v>179</v>
      </c>
      <c r="G57" s="4">
        <v>26526</v>
      </c>
      <c r="H57" s="1">
        <v>6606238</v>
      </c>
      <c r="I57" s="1">
        <v>661152</v>
      </c>
      <c r="J57" s="5" t="s">
        <v>176</v>
      </c>
      <c r="K57" s="1"/>
      <c r="L57" s="1" t="str">
        <f t="shared" si="2"/>
        <v xml:space="preserve">Oxundaån </v>
      </c>
      <c r="M57" s="1" t="s">
        <v>177</v>
      </c>
      <c r="N57" s="1">
        <v>0.5</v>
      </c>
      <c r="O57" s="1">
        <v>0.5</v>
      </c>
      <c r="Q57" s="1">
        <v>20.3</v>
      </c>
      <c r="R57" s="1">
        <v>4.67</v>
      </c>
      <c r="V57" s="1">
        <v>1.849</v>
      </c>
      <c r="W57" s="1">
        <v>72</v>
      </c>
      <c r="X57" s="1">
        <f t="shared" si="3"/>
        <v>1.3988912770633477</v>
      </c>
      <c r="Y57" s="1">
        <v>2.5999999999999999E-2</v>
      </c>
      <c r="Z57" s="1">
        <v>37</v>
      </c>
      <c r="AD57" s="1">
        <v>22</v>
      </c>
      <c r="AE57" s="1">
        <v>7.69</v>
      </c>
      <c r="AG57" s="1">
        <v>19.899999999999999</v>
      </c>
      <c r="AK57" s="1">
        <v>118</v>
      </c>
      <c r="AR57" s="1">
        <v>54.6</v>
      </c>
      <c r="AT57" s="1">
        <v>8.2110000000000003</v>
      </c>
      <c r="AU57" s="1">
        <v>12.172599999999999</v>
      </c>
      <c r="AV57" s="1">
        <v>29.8489</v>
      </c>
      <c r="AW57" s="1">
        <v>23.0547</v>
      </c>
      <c r="AX57" s="1">
        <v>114.11874999999999</v>
      </c>
      <c r="AY57" s="1">
        <v>1.1000000000000001</v>
      </c>
    </row>
    <row r="58" spans="4:51" x14ac:dyDescent="0.3">
      <c r="D58" s="2">
        <f t="shared" si="0"/>
        <v>1972</v>
      </c>
      <c r="E58" s="2">
        <f t="shared" si="1"/>
        <v>9</v>
      </c>
      <c r="F58" s="3"/>
      <c r="G58" s="4">
        <v>26556</v>
      </c>
      <c r="H58" s="1">
        <v>6606238</v>
      </c>
      <c r="I58" s="1">
        <v>661152</v>
      </c>
      <c r="J58" s="5" t="s">
        <v>176</v>
      </c>
      <c r="K58" s="1"/>
      <c r="L58" s="1" t="str">
        <f t="shared" si="2"/>
        <v xml:space="preserve">Oxundaån </v>
      </c>
      <c r="M58" s="1" t="s">
        <v>177</v>
      </c>
      <c r="N58" s="1">
        <v>0.5</v>
      </c>
      <c r="O58" s="1">
        <v>0.5</v>
      </c>
      <c r="Q58" s="1">
        <v>14.4</v>
      </c>
      <c r="R58" s="1">
        <v>7.89</v>
      </c>
      <c r="V58" s="1">
        <v>1.9690000000000001</v>
      </c>
      <c r="W58" s="1">
        <v>15</v>
      </c>
      <c r="X58" s="1">
        <f t="shared" si="3"/>
        <v>0.44574357456373448</v>
      </c>
      <c r="Y58" s="1">
        <v>3.4000000000000002E-2</v>
      </c>
      <c r="Z58" s="1">
        <v>61</v>
      </c>
      <c r="AD58" s="1">
        <v>10</v>
      </c>
      <c r="AE58" s="1">
        <v>8.07</v>
      </c>
      <c r="AG58" s="1">
        <v>17.7</v>
      </c>
      <c r="AK58" s="1">
        <v>119</v>
      </c>
      <c r="AR58" s="1">
        <v>58.26</v>
      </c>
      <c r="AT58" s="1">
        <v>7.4290000000000003</v>
      </c>
      <c r="AU58" s="1">
        <v>12.462999999999999</v>
      </c>
      <c r="AV58" s="1">
        <v>29.600750000000001</v>
      </c>
      <c r="AW58" s="1">
        <v>22.80236</v>
      </c>
      <c r="AX58" s="1">
        <v>115.36804999999998</v>
      </c>
      <c r="AY58" s="1">
        <v>0.56000000000000005</v>
      </c>
    </row>
    <row r="59" spans="4:51" x14ac:dyDescent="0.3">
      <c r="D59" s="2">
        <f t="shared" si="0"/>
        <v>1972</v>
      </c>
      <c r="E59" s="2">
        <f t="shared" si="1"/>
        <v>10</v>
      </c>
      <c r="F59" s="3" t="s">
        <v>180</v>
      </c>
      <c r="G59" s="4">
        <v>26588</v>
      </c>
      <c r="H59" s="1">
        <v>6606238</v>
      </c>
      <c r="I59" s="1">
        <v>661152</v>
      </c>
      <c r="J59" s="5" t="s">
        <v>176</v>
      </c>
      <c r="K59" s="1"/>
      <c r="L59" s="1" t="str">
        <f t="shared" si="2"/>
        <v xml:space="preserve">Oxundaån </v>
      </c>
      <c r="M59" s="1" t="s">
        <v>177</v>
      </c>
      <c r="N59" s="1">
        <v>0.5</v>
      </c>
      <c r="O59" s="1">
        <v>0.5</v>
      </c>
      <c r="Q59" s="1">
        <v>8.1999999999999993</v>
      </c>
      <c r="R59" s="1">
        <v>8.5500000000000007</v>
      </c>
      <c r="V59" s="1">
        <v>2.0139999999999998</v>
      </c>
      <c r="W59" s="1">
        <v>101</v>
      </c>
      <c r="X59" s="1">
        <f t="shared" si="3"/>
        <v>0.62877437841370232</v>
      </c>
      <c r="Y59" s="1">
        <v>6.2E-2</v>
      </c>
      <c r="Z59" s="1">
        <v>83</v>
      </c>
      <c r="AD59" s="1">
        <v>60</v>
      </c>
      <c r="AE59" s="1">
        <v>7.59</v>
      </c>
      <c r="AG59" s="1">
        <v>10.6</v>
      </c>
      <c r="AK59" s="1">
        <v>176</v>
      </c>
      <c r="AR59" s="1">
        <v>61.4</v>
      </c>
      <c r="AT59" s="1">
        <v>8.0937000000000001</v>
      </c>
      <c r="AU59" s="1">
        <v>12.584</v>
      </c>
      <c r="AV59" s="1">
        <v>31.763200000000005</v>
      </c>
      <c r="AW59" s="1">
        <v>23.857600000000001</v>
      </c>
      <c r="AX59" s="1">
        <v>120.74964999999999</v>
      </c>
      <c r="AY59" s="1">
        <v>0.63</v>
      </c>
    </row>
    <row r="60" spans="4:51" x14ac:dyDescent="0.3">
      <c r="D60" s="2">
        <f t="shared" si="0"/>
        <v>1972</v>
      </c>
      <c r="E60" s="2">
        <f t="shared" si="1"/>
        <v>11</v>
      </c>
      <c r="F60" s="3" t="s">
        <v>180</v>
      </c>
      <c r="G60" s="4">
        <v>26618</v>
      </c>
      <c r="H60" s="1">
        <v>6606238</v>
      </c>
      <c r="I60" s="1">
        <v>661152</v>
      </c>
      <c r="J60" s="5" t="s">
        <v>176</v>
      </c>
      <c r="K60" s="1"/>
      <c r="L60" s="1" t="str">
        <f t="shared" si="2"/>
        <v xml:space="preserve">Oxundaån </v>
      </c>
      <c r="M60" s="1" t="s">
        <v>177</v>
      </c>
      <c r="N60" s="1">
        <v>0.5</v>
      </c>
      <c r="O60" s="1">
        <v>0.5</v>
      </c>
      <c r="Q60" s="1">
        <v>4.5</v>
      </c>
      <c r="R60" s="1">
        <v>7.49</v>
      </c>
      <c r="V60" s="1">
        <v>1.962</v>
      </c>
      <c r="W60" s="1">
        <v>276</v>
      </c>
      <c r="X60" s="1">
        <f t="shared" si="3"/>
        <v>1.5704134396390104</v>
      </c>
      <c r="Y60" s="1">
        <v>2.7E-2</v>
      </c>
      <c r="Z60" s="1">
        <v>130</v>
      </c>
      <c r="AD60" s="1">
        <v>160</v>
      </c>
      <c r="AE60" s="1">
        <v>7.68</v>
      </c>
      <c r="AG60" s="1">
        <v>5</v>
      </c>
      <c r="AK60" s="1">
        <v>178</v>
      </c>
      <c r="AR60" s="1">
        <v>60.8</v>
      </c>
      <c r="AT60" s="1">
        <v>7.3508000000000004</v>
      </c>
      <c r="AU60" s="1">
        <v>12.922800000000001</v>
      </c>
      <c r="AV60" s="1">
        <v>31.018750000000004</v>
      </c>
      <c r="AW60" s="1">
        <v>24.545800000000003</v>
      </c>
      <c r="AX60" s="1">
        <v>121.90284999999999</v>
      </c>
      <c r="AY60" s="1">
        <v>0.72</v>
      </c>
    </row>
    <row r="61" spans="4:51" x14ac:dyDescent="0.3">
      <c r="D61" s="2">
        <f t="shared" si="0"/>
        <v>1972</v>
      </c>
      <c r="E61" s="2">
        <f t="shared" si="1"/>
        <v>12</v>
      </c>
      <c r="F61" s="3" t="s">
        <v>175</v>
      </c>
      <c r="G61" s="4">
        <v>26647</v>
      </c>
      <c r="H61" s="1">
        <v>6606238</v>
      </c>
      <c r="I61" s="1">
        <v>661152</v>
      </c>
      <c r="J61" s="5" t="s">
        <v>176</v>
      </c>
      <c r="K61" s="1"/>
      <c r="L61" s="1" t="str">
        <f t="shared" si="2"/>
        <v xml:space="preserve">Oxundaån </v>
      </c>
      <c r="M61" s="1" t="s">
        <v>177</v>
      </c>
      <c r="N61" s="1">
        <v>0.5</v>
      </c>
      <c r="O61" s="1">
        <v>0.5</v>
      </c>
      <c r="Q61" s="1">
        <v>3.3</v>
      </c>
      <c r="R61" s="1">
        <v>9.1199999999999992</v>
      </c>
      <c r="V61" s="1">
        <v>1.889</v>
      </c>
      <c r="W61" s="1">
        <v>121</v>
      </c>
      <c r="X61" s="1">
        <f t="shared" si="3"/>
        <v>0.61022977754486118</v>
      </c>
      <c r="Y61" s="1">
        <v>0.03</v>
      </c>
      <c r="Z61" s="1">
        <v>124</v>
      </c>
      <c r="AD61" s="1">
        <v>300</v>
      </c>
      <c r="AE61" s="1">
        <v>7.67</v>
      </c>
      <c r="AG61" s="1">
        <v>4.5999999999999996</v>
      </c>
      <c r="AK61" s="1">
        <v>148</v>
      </c>
      <c r="AR61" s="1">
        <v>52.160000000000004</v>
      </c>
      <c r="AT61" s="1">
        <v>5.1221000000000005</v>
      </c>
      <c r="AU61" s="1">
        <v>9.4501000000000008</v>
      </c>
      <c r="AV61" s="1">
        <v>22.439850000000003</v>
      </c>
      <c r="AW61" s="1">
        <v>17.457340000000002</v>
      </c>
      <c r="AX61" s="1">
        <v>85.721199999999996</v>
      </c>
      <c r="AY61" s="1">
        <v>1.64</v>
      </c>
    </row>
    <row r="62" spans="4:51" x14ac:dyDescent="0.3">
      <c r="D62" s="2">
        <f t="shared" si="0"/>
        <v>1973</v>
      </c>
      <c r="E62" s="2">
        <f t="shared" si="1"/>
        <v>1</v>
      </c>
      <c r="F62" s="3" t="s">
        <v>175</v>
      </c>
      <c r="G62" s="4">
        <v>26679</v>
      </c>
      <c r="H62" s="1">
        <v>6606238</v>
      </c>
      <c r="I62" s="1">
        <v>661152</v>
      </c>
      <c r="J62" s="5" t="s">
        <v>176</v>
      </c>
      <c r="K62" s="1"/>
      <c r="L62" s="1" t="str">
        <f t="shared" si="2"/>
        <v xml:space="preserve">Oxundaån </v>
      </c>
      <c r="M62" s="1" t="s">
        <v>177</v>
      </c>
      <c r="N62" s="1">
        <v>0.5</v>
      </c>
      <c r="O62" s="1">
        <v>0.5</v>
      </c>
      <c r="Q62" s="1">
        <v>1.8</v>
      </c>
      <c r="R62" s="1">
        <v>10.74</v>
      </c>
      <c r="V62" s="1">
        <v>2.1309999999999998</v>
      </c>
      <c r="W62" s="1">
        <v>405</v>
      </c>
      <c r="X62" s="1">
        <f t="shared" si="3"/>
        <v>2.0713761353939812</v>
      </c>
      <c r="Y62" s="1">
        <v>2.8000000000000001E-2</v>
      </c>
      <c r="Z62" s="1">
        <v>150</v>
      </c>
      <c r="AD62" s="1">
        <v>455</v>
      </c>
      <c r="AE62" s="1">
        <v>7.73</v>
      </c>
      <c r="AG62" s="1">
        <v>4.5</v>
      </c>
      <c r="AK62" s="1">
        <v>162</v>
      </c>
      <c r="AR62" s="1">
        <v>65.039999999999992</v>
      </c>
      <c r="AT62" s="1">
        <v>7.898200000000001</v>
      </c>
      <c r="AU62" s="1">
        <v>14.205399999999999</v>
      </c>
      <c r="AV62" s="1">
        <v>34.280149999999999</v>
      </c>
      <c r="AW62" s="1">
        <v>28.07856</v>
      </c>
      <c r="AX62" s="1">
        <v>133.4829</v>
      </c>
      <c r="AY62" s="1">
        <v>1.65</v>
      </c>
    </row>
    <row r="63" spans="4:51" x14ac:dyDescent="0.3">
      <c r="D63" s="2">
        <f t="shared" si="0"/>
        <v>1973</v>
      </c>
      <c r="E63" s="2">
        <f t="shared" si="1"/>
        <v>2</v>
      </c>
      <c r="F63" s="3" t="s">
        <v>175</v>
      </c>
      <c r="G63" s="4">
        <v>26710</v>
      </c>
      <c r="H63" s="1">
        <v>6606238</v>
      </c>
      <c r="I63" s="1">
        <v>661152</v>
      </c>
      <c r="J63" s="5" t="s">
        <v>176</v>
      </c>
      <c r="K63" s="1"/>
      <c r="L63" s="1" t="str">
        <f t="shared" si="2"/>
        <v xml:space="preserve">Oxundaån </v>
      </c>
      <c r="M63" s="1" t="s">
        <v>177</v>
      </c>
      <c r="N63" s="1">
        <v>0.5</v>
      </c>
      <c r="O63" s="1">
        <v>0.5</v>
      </c>
      <c r="Q63" s="1">
        <v>0.7</v>
      </c>
      <c r="R63" s="1">
        <v>8.5</v>
      </c>
      <c r="V63" s="1">
        <v>2.1549999999999998</v>
      </c>
      <c r="W63" s="1">
        <v>191</v>
      </c>
      <c r="X63" s="1">
        <f t="shared" si="3"/>
        <v>0.50238707609114985</v>
      </c>
      <c r="Y63" s="1">
        <v>0.02</v>
      </c>
      <c r="Z63" s="1">
        <v>113</v>
      </c>
      <c r="AD63" s="1">
        <v>780</v>
      </c>
      <c r="AE63" s="1">
        <v>7.48</v>
      </c>
      <c r="AG63" s="1">
        <v>7.7</v>
      </c>
      <c r="AK63" s="1">
        <v>200</v>
      </c>
      <c r="AR63" s="1">
        <v>64.16</v>
      </c>
      <c r="AT63" s="1">
        <v>8.5237999999999996</v>
      </c>
      <c r="AU63" s="1">
        <v>14.374799999999999</v>
      </c>
      <c r="AV63" s="1">
        <v>35.556350000000002</v>
      </c>
      <c r="AW63" s="1">
        <v>26.885680000000001</v>
      </c>
      <c r="AX63" s="1">
        <v>127.0442</v>
      </c>
      <c r="AY63" s="1">
        <v>2.25</v>
      </c>
    </row>
    <row r="64" spans="4:51" x14ac:dyDescent="0.3">
      <c r="D64" s="2">
        <f t="shared" si="0"/>
        <v>1973</v>
      </c>
      <c r="E64" s="2">
        <f t="shared" si="1"/>
        <v>3</v>
      </c>
      <c r="F64" s="3" t="s">
        <v>175</v>
      </c>
      <c r="G64" s="4">
        <v>26738</v>
      </c>
      <c r="H64" s="1">
        <v>6606238</v>
      </c>
      <c r="I64" s="1">
        <v>661152</v>
      </c>
      <c r="J64" s="5" t="s">
        <v>176</v>
      </c>
      <c r="K64" s="1"/>
      <c r="L64" s="1" t="str">
        <f t="shared" si="2"/>
        <v xml:space="preserve">Oxundaån </v>
      </c>
      <c r="M64" s="1" t="s">
        <v>177</v>
      </c>
      <c r="N64" s="1">
        <v>0.5</v>
      </c>
      <c r="O64" s="1">
        <v>0.5</v>
      </c>
      <c r="Q64" s="1">
        <v>3.6</v>
      </c>
      <c r="R64" s="1">
        <v>16.7</v>
      </c>
      <c r="V64" s="1">
        <v>1.87</v>
      </c>
      <c r="W64" s="1">
        <v>61</v>
      </c>
      <c r="X64" s="1">
        <f t="shared" si="3"/>
        <v>0.43434491704869399</v>
      </c>
      <c r="Y64" s="1">
        <v>0.03</v>
      </c>
      <c r="Z64" s="1">
        <v>12</v>
      </c>
      <c r="AD64" s="1">
        <v>1450</v>
      </c>
      <c r="AE64" s="1">
        <v>7.81</v>
      </c>
      <c r="AG64" s="1">
        <v>15.3</v>
      </c>
      <c r="AK64" s="1">
        <v>90</v>
      </c>
      <c r="AR64" s="1">
        <v>74.400000000000006</v>
      </c>
      <c r="AT64" s="1">
        <v>9.1884999999999994</v>
      </c>
      <c r="AU64" s="1">
        <v>17.786999999999999</v>
      </c>
      <c r="AV64" s="1">
        <v>39.49130000000001</v>
      </c>
      <c r="AW64" s="1">
        <v>25.601040000000005</v>
      </c>
      <c r="AX64" s="1">
        <v>165.34004999999999</v>
      </c>
      <c r="AY64" s="1">
        <v>2.56</v>
      </c>
    </row>
    <row r="65" spans="4:51" x14ac:dyDescent="0.3">
      <c r="D65" s="2">
        <f t="shared" si="0"/>
        <v>1973</v>
      </c>
      <c r="E65" s="2">
        <f t="shared" si="1"/>
        <v>4</v>
      </c>
      <c r="F65" s="3" t="s">
        <v>178</v>
      </c>
      <c r="G65" s="4">
        <v>26766</v>
      </c>
      <c r="H65" s="1">
        <v>6606238</v>
      </c>
      <c r="I65" s="1">
        <v>661152</v>
      </c>
      <c r="J65" s="5" t="s">
        <v>176</v>
      </c>
      <c r="K65" s="1"/>
      <c r="L65" s="1" t="str">
        <f t="shared" si="2"/>
        <v xml:space="preserve">Oxundaån </v>
      </c>
      <c r="M65" s="1" t="s">
        <v>177</v>
      </c>
      <c r="N65" s="1">
        <v>0.5</v>
      </c>
      <c r="O65" s="1">
        <v>0.5</v>
      </c>
      <c r="Q65" s="1">
        <v>5</v>
      </c>
      <c r="R65" s="1">
        <v>14.81</v>
      </c>
      <c r="V65" s="1">
        <v>1.681</v>
      </c>
      <c r="W65" s="1">
        <v>32</v>
      </c>
      <c r="X65" s="1">
        <f t="shared" si="3"/>
        <v>1.8798147364802873</v>
      </c>
      <c r="Y65" s="1">
        <v>4.9000000000000002E-2</v>
      </c>
      <c r="Z65" s="1">
        <v>9</v>
      </c>
      <c r="AD65" s="1">
        <v>900</v>
      </c>
      <c r="AE65" s="1">
        <v>8.6999999999999993</v>
      </c>
      <c r="AG65" s="1">
        <v>11.3</v>
      </c>
      <c r="AK65" s="1">
        <v>60</v>
      </c>
      <c r="AR65" s="1">
        <v>67.5</v>
      </c>
      <c r="AT65" s="1">
        <v>7.5854000000000008</v>
      </c>
      <c r="AU65" s="1">
        <v>16.214000000000002</v>
      </c>
      <c r="AV65" s="1">
        <v>34.741</v>
      </c>
      <c r="AW65" s="1">
        <v>26.381</v>
      </c>
      <c r="AX65" s="1">
        <v>152.94314999999997</v>
      </c>
      <c r="AY65" s="1">
        <v>0.75</v>
      </c>
    </row>
    <row r="66" spans="4:51" x14ac:dyDescent="0.3">
      <c r="D66" s="2">
        <f t="shared" ref="D66:D129" si="4">YEAR(G66)</f>
        <v>1973</v>
      </c>
      <c r="E66" s="2">
        <f t="shared" ref="E66:E129" si="5">MONTH(G66)</f>
        <v>5</v>
      </c>
      <c r="F66" s="3" t="s">
        <v>178</v>
      </c>
      <c r="G66" s="4">
        <v>26799</v>
      </c>
      <c r="H66" s="1">
        <v>6606238</v>
      </c>
      <c r="I66" s="1">
        <v>661152</v>
      </c>
      <c r="J66" s="5" t="s">
        <v>176</v>
      </c>
      <c r="K66" s="1"/>
      <c r="L66" s="1" t="str">
        <f t="shared" ref="L66:L129" si="6">CONCATENATE(J66," ",K66)</f>
        <v xml:space="preserve">Oxundaån </v>
      </c>
      <c r="M66" s="1" t="s">
        <v>177</v>
      </c>
      <c r="N66" s="1">
        <v>0.5</v>
      </c>
      <c r="O66" s="1">
        <v>0.5</v>
      </c>
      <c r="Q66" s="1">
        <v>12.1</v>
      </c>
      <c r="R66" s="1">
        <v>10</v>
      </c>
      <c r="V66" s="1">
        <v>1.8280000000000001</v>
      </c>
      <c r="W66" s="1">
        <v>56</v>
      </c>
      <c r="X66" s="1">
        <f t="shared" ref="X66:X129" si="7">W66 * (1/((10^((0.0901821 + (2729.92 /(273.15 + Q66)))-AE66)+1)))</f>
        <v>2.7292003873209216</v>
      </c>
      <c r="Y66" s="1">
        <v>3.5999999999999997E-2</v>
      </c>
      <c r="Z66" s="1">
        <v>9</v>
      </c>
      <c r="AD66" s="1">
        <v>290</v>
      </c>
      <c r="AE66" s="1">
        <v>8.3699999999999992</v>
      </c>
      <c r="AG66" s="1">
        <v>15.6</v>
      </c>
      <c r="AK66" s="1">
        <v>76</v>
      </c>
      <c r="AR66" s="1">
        <v>64.240000000000009</v>
      </c>
      <c r="AT66" s="1">
        <v>7.0380000000000003</v>
      </c>
      <c r="AU66" s="1">
        <v>14.641</v>
      </c>
      <c r="AV66" s="1">
        <v>33.712949999999999</v>
      </c>
      <c r="AW66" s="1">
        <v>26.8398</v>
      </c>
      <c r="AX66" s="1">
        <v>137.99959999999999</v>
      </c>
      <c r="AY66" s="1">
        <v>0.85</v>
      </c>
    </row>
    <row r="67" spans="4:51" x14ac:dyDescent="0.3">
      <c r="D67" s="2">
        <f t="shared" si="4"/>
        <v>1973</v>
      </c>
      <c r="E67" s="2">
        <f t="shared" si="5"/>
        <v>6</v>
      </c>
      <c r="F67" s="3"/>
      <c r="G67" s="4">
        <v>26829</v>
      </c>
      <c r="H67" s="1">
        <v>6606238</v>
      </c>
      <c r="I67" s="1">
        <v>661152</v>
      </c>
      <c r="J67" s="5" t="s">
        <v>176</v>
      </c>
      <c r="K67" s="1"/>
      <c r="L67" s="1" t="str">
        <f t="shared" si="6"/>
        <v xml:space="preserve">Oxundaån </v>
      </c>
      <c r="M67" s="1" t="s">
        <v>177</v>
      </c>
      <c r="N67" s="1">
        <v>0.5</v>
      </c>
      <c r="O67" s="1">
        <v>0.5</v>
      </c>
      <c r="Q67" s="1">
        <v>16.2</v>
      </c>
      <c r="R67" s="1">
        <v>7.9</v>
      </c>
      <c r="V67" s="1">
        <v>1.79</v>
      </c>
      <c r="W67" s="1">
        <v>25</v>
      </c>
      <c r="X67" s="1">
        <f t="shared" si="7"/>
        <v>1.9000500339821966</v>
      </c>
      <c r="Y67" s="1">
        <v>3.3000000000000002E-2</v>
      </c>
      <c r="Z67" s="1">
        <v>20</v>
      </c>
      <c r="AD67" s="1">
        <v>38</v>
      </c>
      <c r="AE67" s="1">
        <v>8.44</v>
      </c>
      <c r="AG67" s="1">
        <v>15.1</v>
      </c>
      <c r="AK67" s="1">
        <v>80</v>
      </c>
      <c r="AR67" s="1">
        <v>51.74</v>
      </c>
      <c r="AT67" s="1">
        <v>4.8483999999999998</v>
      </c>
      <c r="AU67" s="1">
        <v>10.042999999999999</v>
      </c>
      <c r="AV67" s="1">
        <v>22.794350000000001</v>
      </c>
      <c r="AW67" s="1">
        <v>18.581400000000002</v>
      </c>
      <c r="AX67" s="1">
        <v>95.283149999999992</v>
      </c>
      <c r="AY67" s="1">
        <v>1.1000000000000001</v>
      </c>
    </row>
    <row r="68" spans="4:51" x14ac:dyDescent="0.3">
      <c r="D68" s="2">
        <f t="shared" si="4"/>
        <v>1973</v>
      </c>
      <c r="E68" s="2">
        <f t="shared" si="5"/>
        <v>7</v>
      </c>
      <c r="F68" s="3" t="s">
        <v>179</v>
      </c>
      <c r="G68" s="4">
        <v>26861</v>
      </c>
      <c r="H68" s="1">
        <v>6606238</v>
      </c>
      <c r="I68" s="1">
        <v>661152</v>
      </c>
      <c r="J68" s="5" t="s">
        <v>176</v>
      </c>
      <c r="K68" s="1"/>
      <c r="L68" s="1" t="str">
        <f t="shared" si="6"/>
        <v xml:space="preserve">Oxundaån </v>
      </c>
      <c r="M68" s="1" t="s">
        <v>177</v>
      </c>
      <c r="N68" s="1">
        <v>0.5</v>
      </c>
      <c r="O68" s="1">
        <v>0.5</v>
      </c>
      <c r="Q68" s="1">
        <v>24</v>
      </c>
      <c r="R68" s="1">
        <v>6.87</v>
      </c>
      <c r="V68" s="1">
        <v>1.593</v>
      </c>
      <c r="W68" s="1">
        <v>14</v>
      </c>
      <c r="X68" s="1">
        <f t="shared" si="7"/>
        <v>0.71791688206109627</v>
      </c>
      <c r="Y68" s="1">
        <v>0.02</v>
      </c>
      <c r="Z68" s="1">
        <v>15</v>
      </c>
      <c r="AD68" s="1">
        <v>51</v>
      </c>
      <c r="AE68" s="1">
        <v>8.01</v>
      </c>
      <c r="AG68" s="1">
        <v>15.5</v>
      </c>
      <c r="AK68" s="1">
        <v>76</v>
      </c>
      <c r="AR68" s="1">
        <v>62.599999999999994</v>
      </c>
      <c r="AT68" s="1">
        <v>8.2110000000000003</v>
      </c>
      <c r="AU68" s="1">
        <v>15.246</v>
      </c>
      <c r="AV68" s="1">
        <v>36.300800000000002</v>
      </c>
      <c r="AW68" s="1">
        <v>28.216200000000001</v>
      </c>
      <c r="AX68" s="1">
        <v>144.14999999999998</v>
      </c>
      <c r="AY68" s="1">
        <v>0.68</v>
      </c>
    </row>
    <row r="69" spans="4:51" x14ac:dyDescent="0.3">
      <c r="D69" s="2">
        <f t="shared" si="4"/>
        <v>1973</v>
      </c>
      <c r="E69" s="2">
        <f t="shared" si="5"/>
        <v>8</v>
      </c>
      <c r="F69" s="3" t="s">
        <v>179</v>
      </c>
      <c r="G69" s="4">
        <v>26890</v>
      </c>
      <c r="H69" s="1">
        <v>6606238</v>
      </c>
      <c r="I69" s="1">
        <v>661152</v>
      </c>
      <c r="J69" s="5" t="s">
        <v>176</v>
      </c>
      <c r="K69" s="1"/>
      <c r="L69" s="1" t="str">
        <f t="shared" si="6"/>
        <v xml:space="preserve">Oxundaån </v>
      </c>
      <c r="M69" s="1" t="s">
        <v>177</v>
      </c>
      <c r="N69" s="1">
        <v>0.5</v>
      </c>
      <c r="O69" s="1">
        <v>0.5</v>
      </c>
      <c r="Q69" s="1">
        <v>18.8</v>
      </c>
      <c r="R69" s="1">
        <v>6.4</v>
      </c>
      <c r="V69" s="1">
        <v>1.736</v>
      </c>
      <c r="W69" s="1">
        <v>32</v>
      </c>
      <c r="X69" s="1">
        <f t="shared" si="7"/>
        <v>0.434893508929655</v>
      </c>
      <c r="Y69" s="1">
        <v>2.3E-2</v>
      </c>
      <c r="Z69" s="1">
        <v>61</v>
      </c>
      <c r="AD69" s="1">
        <v>29</v>
      </c>
      <c r="AE69" s="1">
        <v>7.58</v>
      </c>
      <c r="AG69" s="1">
        <v>20.3</v>
      </c>
      <c r="AK69" s="1">
        <v>114</v>
      </c>
      <c r="AR69" s="1">
        <v>57.519999999999996</v>
      </c>
      <c r="AT69" s="1">
        <v>7.2335000000000003</v>
      </c>
      <c r="AU69" s="1">
        <v>13.213200000000001</v>
      </c>
      <c r="AV69" s="1">
        <v>30.451550000000001</v>
      </c>
      <c r="AW69" s="1">
        <v>22.917060000000003</v>
      </c>
      <c r="AX69" s="1">
        <v>132.3297</v>
      </c>
      <c r="AY69" s="1">
        <v>0.55000000000000004</v>
      </c>
    </row>
    <row r="70" spans="4:51" x14ac:dyDescent="0.3">
      <c r="D70" s="2">
        <f t="shared" si="4"/>
        <v>1973</v>
      </c>
      <c r="E70" s="2">
        <f t="shared" si="5"/>
        <v>9</v>
      </c>
      <c r="F70" s="3"/>
      <c r="G70" s="4">
        <v>26924</v>
      </c>
      <c r="H70" s="1">
        <v>6606238</v>
      </c>
      <c r="I70" s="1">
        <v>661152</v>
      </c>
      <c r="J70" s="5" t="s">
        <v>176</v>
      </c>
      <c r="K70" s="1"/>
      <c r="L70" s="1" t="str">
        <f t="shared" si="6"/>
        <v xml:space="preserve">Oxundaån </v>
      </c>
      <c r="M70" s="1" t="s">
        <v>177</v>
      </c>
      <c r="N70" s="1">
        <v>0.5</v>
      </c>
      <c r="O70" s="1">
        <v>0.5</v>
      </c>
      <c r="Q70" s="1">
        <v>10.9</v>
      </c>
      <c r="R70" s="1">
        <v>10.19</v>
      </c>
      <c r="V70" s="1">
        <v>1.802</v>
      </c>
      <c r="W70" s="1">
        <v>12</v>
      </c>
      <c r="X70" s="1">
        <f t="shared" si="7"/>
        <v>0.32828440731806041</v>
      </c>
      <c r="Y70" s="1">
        <v>2.1999999999999999E-2</v>
      </c>
      <c r="Z70" s="1">
        <v>55</v>
      </c>
      <c r="AD70" s="1">
        <v>15</v>
      </c>
      <c r="AE70" s="1">
        <v>8.15</v>
      </c>
      <c r="AG70" s="1">
        <v>23.5</v>
      </c>
      <c r="AK70" s="1">
        <v>110</v>
      </c>
      <c r="AR70" s="1">
        <v>66.100000000000009</v>
      </c>
      <c r="AT70" s="1">
        <v>8.4064999999999994</v>
      </c>
      <c r="AU70" s="1">
        <v>16.165600000000001</v>
      </c>
      <c r="AV70" s="1">
        <v>36.548949999999998</v>
      </c>
      <c r="AW70" s="1">
        <v>28.445600000000002</v>
      </c>
      <c r="AX70" s="1">
        <v>148.61865</v>
      </c>
      <c r="AY70" s="1">
        <v>1.1499999999999999</v>
      </c>
    </row>
    <row r="71" spans="4:51" x14ac:dyDescent="0.3">
      <c r="D71" s="2">
        <f t="shared" si="4"/>
        <v>1973</v>
      </c>
      <c r="E71" s="2">
        <f t="shared" si="5"/>
        <v>10</v>
      </c>
      <c r="F71" s="3" t="s">
        <v>180</v>
      </c>
      <c r="G71" s="4">
        <v>26952</v>
      </c>
      <c r="H71" s="1">
        <v>6606238</v>
      </c>
      <c r="I71" s="1">
        <v>661152</v>
      </c>
      <c r="J71" s="5" t="s">
        <v>176</v>
      </c>
      <c r="K71" s="1"/>
      <c r="L71" s="1" t="str">
        <f t="shared" si="6"/>
        <v xml:space="preserve">Oxundaån </v>
      </c>
      <c r="M71" s="1" t="s">
        <v>177</v>
      </c>
      <c r="N71" s="1">
        <v>0.5</v>
      </c>
      <c r="O71" s="1">
        <v>0.5</v>
      </c>
      <c r="Q71" s="1">
        <v>6.7</v>
      </c>
      <c r="R71" s="1">
        <v>5.99</v>
      </c>
      <c r="V71" s="1">
        <v>1.9179999999999999</v>
      </c>
      <c r="W71" s="1">
        <v>58</v>
      </c>
      <c r="X71" s="1">
        <f t="shared" si="7"/>
        <v>0.8547864196411763</v>
      </c>
      <c r="Y71" s="1">
        <v>2.1000000000000001E-2</v>
      </c>
      <c r="Z71" s="1">
        <v>51</v>
      </c>
      <c r="AD71" s="1">
        <v>40</v>
      </c>
      <c r="AE71" s="1">
        <v>8.02</v>
      </c>
      <c r="AG71" s="1">
        <v>13.5</v>
      </c>
      <c r="AK71" s="1">
        <v>88</v>
      </c>
      <c r="AR71" s="1">
        <v>68.5</v>
      </c>
      <c r="AT71" s="1">
        <v>8.2891999999999992</v>
      </c>
      <c r="AU71" s="1">
        <v>15.9236</v>
      </c>
      <c r="AV71" s="1">
        <v>37.718800000000002</v>
      </c>
      <c r="AW71" s="1">
        <v>29.913760000000003</v>
      </c>
      <c r="AX71" s="1">
        <v>162.84144999999998</v>
      </c>
      <c r="AY71" s="1">
        <v>0.8</v>
      </c>
    </row>
    <row r="72" spans="4:51" x14ac:dyDescent="0.3">
      <c r="D72" s="2">
        <f t="shared" si="4"/>
        <v>1973</v>
      </c>
      <c r="E72" s="2">
        <f t="shared" si="5"/>
        <v>11</v>
      </c>
      <c r="F72" s="3" t="s">
        <v>180</v>
      </c>
      <c r="G72" s="4">
        <v>26983</v>
      </c>
      <c r="H72" s="1">
        <v>6606238</v>
      </c>
      <c r="I72" s="1">
        <v>661152</v>
      </c>
      <c r="J72" s="5" t="s">
        <v>176</v>
      </c>
      <c r="K72" s="1"/>
      <c r="L72" s="1" t="str">
        <f t="shared" si="6"/>
        <v xml:space="preserve">Oxundaån </v>
      </c>
      <c r="M72" s="1" t="s">
        <v>177</v>
      </c>
      <c r="N72" s="1">
        <v>0.5</v>
      </c>
      <c r="O72" s="1">
        <v>0.5</v>
      </c>
      <c r="Q72" s="1">
        <v>0.9</v>
      </c>
      <c r="R72" s="1">
        <v>12.35</v>
      </c>
      <c r="V72" s="1">
        <v>1.9319999999999999</v>
      </c>
      <c r="W72" s="1">
        <v>99</v>
      </c>
      <c r="X72" s="1">
        <f t="shared" si="7"/>
        <v>0.91209370489098296</v>
      </c>
      <c r="Y72" s="1">
        <v>2.1999999999999999E-2</v>
      </c>
      <c r="Z72" s="1">
        <v>64</v>
      </c>
      <c r="AD72" s="1">
        <v>80</v>
      </c>
      <c r="AE72" s="1">
        <v>8.02</v>
      </c>
      <c r="AG72" s="1">
        <v>13.4</v>
      </c>
      <c r="AK72" s="1">
        <v>110</v>
      </c>
      <c r="AR72" s="1">
        <v>69.800000000000011</v>
      </c>
      <c r="AT72" s="1">
        <v>8.2500999999999998</v>
      </c>
      <c r="AU72" s="1">
        <v>16.093</v>
      </c>
      <c r="AV72" s="1">
        <v>39.136800000000008</v>
      </c>
      <c r="AW72" s="1">
        <v>29.546720000000004</v>
      </c>
      <c r="AX72" s="1">
        <v>152.75094999999999</v>
      </c>
      <c r="AY72" s="1">
        <v>0.52</v>
      </c>
    </row>
    <row r="73" spans="4:51" x14ac:dyDescent="0.3">
      <c r="D73" s="2">
        <f t="shared" si="4"/>
        <v>1973</v>
      </c>
      <c r="E73" s="2">
        <f t="shared" si="5"/>
        <v>12</v>
      </c>
      <c r="F73" s="3" t="s">
        <v>175</v>
      </c>
      <c r="G73" s="4">
        <v>27015</v>
      </c>
      <c r="H73" s="1">
        <v>6606238</v>
      </c>
      <c r="I73" s="1">
        <v>661152</v>
      </c>
      <c r="J73" s="5" t="s">
        <v>176</v>
      </c>
      <c r="K73" s="1"/>
      <c r="L73" s="1" t="str">
        <f t="shared" si="6"/>
        <v xml:space="preserve">Oxundaån </v>
      </c>
      <c r="M73" s="1" t="s">
        <v>177</v>
      </c>
      <c r="N73" s="1">
        <v>0.5</v>
      </c>
      <c r="O73" s="1">
        <v>0.5</v>
      </c>
      <c r="Q73" s="1">
        <v>0.8</v>
      </c>
      <c r="R73" s="1">
        <v>9.9</v>
      </c>
      <c r="V73" s="1">
        <v>2.0529999999999999</v>
      </c>
      <c r="W73" s="1">
        <v>129</v>
      </c>
      <c r="X73" s="1">
        <f t="shared" si="7"/>
        <v>0.69666777258328694</v>
      </c>
      <c r="Y73" s="1">
        <v>2.5999999999999999E-2</v>
      </c>
      <c r="Z73" s="1">
        <v>80</v>
      </c>
      <c r="AD73" s="1">
        <v>105</v>
      </c>
      <c r="AE73" s="1">
        <v>7.79</v>
      </c>
      <c r="AG73" s="1">
        <v>9.3000000000000007</v>
      </c>
      <c r="AK73" s="1">
        <v>108</v>
      </c>
      <c r="AR73" s="1">
        <v>70.199999999999989</v>
      </c>
      <c r="AT73" s="1">
        <v>8.8366000000000007</v>
      </c>
      <c r="AU73" s="1">
        <v>16.6738</v>
      </c>
      <c r="AV73" s="1">
        <v>41.192900000000002</v>
      </c>
      <c r="AW73" s="1">
        <v>33.0336</v>
      </c>
      <c r="AX73" s="1">
        <v>160.82334999999998</v>
      </c>
      <c r="AY73" s="1">
        <v>0.83</v>
      </c>
    </row>
    <row r="74" spans="4:51" x14ac:dyDescent="0.3">
      <c r="D74" s="2">
        <f t="shared" si="4"/>
        <v>1974</v>
      </c>
      <c r="E74" s="2">
        <f t="shared" si="5"/>
        <v>1</v>
      </c>
      <c r="F74" s="3" t="s">
        <v>175</v>
      </c>
      <c r="G74" s="4">
        <v>27044</v>
      </c>
      <c r="H74" s="1">
        <v>6606238</v>
      </c>
      <c r="I74" s="1">
        <v>661152</v>
      </c>
      <c r="J74" s="5" t="s">
        <v>176</v>
      </c>
      <c r="K74" s="1"/>
      <c r="L74" s="1" t="str">
        <f t="shared" si="6"/>
        <v xml:space="preserve">Oxundaån </v>
      </c>
      <c r="M74" s="1" t="s">
        <v>177</v>
      </c>
      <c r="N74" s="1">
        <v>0.5</v>
      </c>
      <c r="O74" s="1">
        <v>0.5</v>
      </c>
      <c r="Q74" s="1">
        <v>1.2</v>
      </c>
      <c r="R74" s="1">
        <v>9.0299999999999994</v>
      </c>
      <c r="V74" s="1">
        <v>2.0510000000000002</v>
      </c>
      <c r="W74" s="1">
        <v>291</v>
      </c>
      <c r="X74" s="1">
        <f t="shared" si="7"/>
        <v>0.6952976890107978</v>
      </c>
      <c r="Y74" s="1">
        <v>2.1000000000000001E-2</v>
      </c>
      <c r="Z74" s="1">
        <v>102</v>
      </c>
      <c r="AD74" s="1">
        <v>420</v>
      </c>
      <c r="AE74" s="1">
        <v>7.42</v>
      </c>
      <c r="AG74" s="1">
        <v>9.5</v>
      </c>
      <c r="AK74" s="1">
        <v>138</v>
      </c>
      <c r="AR74" s="1">
        <v>74.400000000000006</v>
      </c>
      <c r="AT74" s="1">
        <v>8.4847000000000001</v>
      </c>
      <c r="AU74" s="1">
        <v>16.552800000000001</v>
      </c>
      <c r="AV74" s="1">
        <v>40.661150000000006</v>
      </c>
      <c r="AW74" s="1">
        <v>32.483040000000003</v>
      </c>
      <c r="AX74" s="1">
        <v>162.69729999999998</v>
      </c>
      <c r="AY74" s="1">
        <v>1.61</v>
      </c>
    </row>
    <row r="75" spans="4:51" x14ac:dyDescent="0.3">
      <c r="D75" s="2">
        <f t="shared" si="4"/>
        <v>1974</v>
      </c>
      <c r="E75" s="2">
        <f t="shared" si="5"/>
        <v>2</v>
      </c>
      <c r="F75" s="3" t="s">
        <v>175</v>
      </c>
      <c r="G75" s="4">
        <v>27074</v>
      </c>
      <c r="H75" s="1">
        <v>6606238</v>
      </c>
      <c r="I75" s="1">
        <v>661152</v>
      </c>
      <c r="J75" s="5" t="s">
        <v>176</v>
      </c>
      <c r="K75" s="1"/>
      <c r="L75" s="1" t="str">
        <f t="shared" si="6"/>
        <v xml:space="preserve">Oxundaån </v>
      </c>
      <c r="M75" s="1" t="s">
        <v>177</v>
      </c>
      <c r="N75" s="1">
        <v>0.5</v>
      </c>
      <c r="O75" s="1">
        <v>0.5</v>
      </c>
      <c r="Q75" s="1">
        <v>1.2</v>
      </c>
      <c r="R75" s="1">
        <v>7.73</v>
      </c>
      <c r="V75" s="1">
        <v>1.3520000000000001</v>
      </c>
      <c r="W75" s="1">
        <v>359</v>
      </c>
      <c r="X75" s="1">
        <f t="shared" si="7"/>
        <v>0.38366023544157396</v>
      </c>
      <c r="Y75" s="1">
        <v>0.03</v>
      </c>
      <c r="Z75" s="1">
        <v>69</v>
      </c>
      <c r="AD75" s="1">
        <v>1800</v>
      </c>
      <c r="AE75" s="1">
        <v>7.07</v>
      </c>
      <c r="AG75" s="1">
        <v>17.100000000000001</v>
      </c>
      <c r="AK75" s="1">
        <v>100</v>
      </c>
      <c r="AR75" s="1">
        <v>56.6</v>
      </c>
      <c r="AT75" s="1">
        <v>6.8815999999999997</v>
      </c>
      <c r="AU75" s="1">
        <v>13.793999999999999</v>
      </c>
      <c r="AV75" s="1">
        <v>31.550500000000003</v>
      </c>
      <c r="AW75" s="1">
        <v>23.398800000000001</v>
      </c>
      <c r="AX75" s="1">
        <v>142.85264999999998</v>
      </c>
      <c r="AY75" s="1">
        <v>4.42</v>
      </c>
    </row>
    <row r="76" spans="4:51" x14ac:dyDescent="0.3">
      <c r="D76" s="2">
        <f t="shared" si="4"/>
        <v>1974</v>
      </c>
      <c r="E76" s="2">
        <f t="shared" si="5"/>
        <v>3</v>
      </c>
      <c r="F76" s="3" t="s">
        <v>175</v>
      </c>
      <c r="G76" s="4">
        <v>27102</v>
      </c>
      <c r="H76" s="1">
        <v>6606238</v>
      </c>
      <c r="I76" s="1">
        <v>661152</v>
      </c>
      <c r="J76" s="5" t="s">
        <v>176</v>
      </c>
      <c r="K76" s="1"/>
      <c r="L76" s="1" t="str">
        <f t="shared" si="6"/>
        <v xml:space="preserve">Oxundaån </v>
      </c>
      <c r="M76" s="1" t="s">
        <v>177</v>
      </c>
      <c r="N76" s="1">
        <v>0.5</v>
      </c>
      <c r="O76" s="1">
        <v>0.5</v>
      </c>
      <c r="Q76" s="1">
        <v>3.7</v>
      </c>
      <c r="R76" s="1">
        <v>13.1</v>
      </c>
      <c r="V76" s="1">
        <v>1.363</v>
      </c>
      <c r="W76" s="1">
        <v>117</v>
      </c>
      <c r="X76" s="1">
        <f t="shared" si="7"/>
        <v>0.20729415696798387</v>
      </c>
      <c r="Y76" s="1">
        <v>0.03</v>
      </c>
      <c r="Z76" s="1">
        <v>18</v>
      </c>
      <c r="AD76" s="1">
        <v>1640</v>
      </c>
      <c r="AE76" s="1">
        <v>7.2</v>
      </c>
      <c r="AG76" s="1">
        <v>15.3</v>
      </c>
      <c r="AK76" s="1">
        <v>74</v>
      </c>
      <c r="AR76" s="1">
        <v>55.199999999999996</v>
      </c>
      <c r="AT76" s="1">
        <v>6.7642999999999995</v>
      </c>
      <c r="AU76" s="1">
        <v>12.4872</v>
      </c>
      <c r="AV76" s="1">
        <v>27.296500000000002</v>
      </c>
      <c r="AW76" s="1">
        <v>20.875400000000003</v>
      </c>
      <c r="AX76" s="1">
        <v>121.80674999999999</v>
      </c>
      <c r="AY76" s="1">
        <v>5</v>
      </c>
    </row>
    <row r="77" spans="4:51" x14ac:dyDescent="0.3">
      <c r="D77" s="2">
        <f t="shared" si="4"/>
        <v>1974</v>
      </c>
      <c r="E77" s="2">
        <f t="shared" si="5"/>
        <v>4</v>
      </c>
      <c r="F77" s="3" t="s">
        <v>178</v>
      </c>
      <c r="G77" s="4">
        <v>27135</v>
      </c>
      <c r="H77" s="1">
        <v>6606238</v>
      </c>
      <c r="I77" s="1">
        <v>661152</v>
      </c>
      <c r="J77" s="5" t="s">
        <v>176</v>
      </c>
      <c r="K77" s="1"/>
      <c r="L77" s="1" t="str">
        <f t="shared" si="6"/>
        <v xml:space="preserve">Oxundaån </v>
      </c>
      <c r="M77" s="1" t="s">
        <v>177</v>
      </c>
      <c r="N77" s="1">
        <v>0.5</v>
      </c>
      <c r="O77" s="1">
        <v>0.5</v>
      </c>
      <c r="Q77" s="1">
        <v>5.3</v>
      </c>
      <c r="R77" s="1">
        <v>12.5</v>
      </c>
      <c r="V77" s="1">
        <v>1.514</v>
      </c>
      <c r="W77" s="1">
        <v>254</v>
      </c>
      <c r="X77" s="1">
        <f t="shared" si="7"/>
        <v>0.9749784520625624</v>
      </c>
      <c r="Y77" s="1">
        <v>1.9E-2</v>
      </c>
      <c r="Z77" s="1">
        <v>15</v>
      </c>
      <c r="AD77" s="1">
        <v>997</v>
      </c>
      <c r="AE77" s="1">
        <v>7.48</v>
      </c>
      <c r="AG77" s="1">
        <v>5.7</v>
      </c>
      <c r="AK77" s="1">
        <v>66</v>
      </c>
      <c r="AR77" s="1">
        <v>61.14</v>
      </c>
      <c r="AT77" s="1">
        <v>6.7642999999999995</v>
      </c>
      <c r="AU77" s="1">
        <v>15.3186</v>
      </c>
      <c r="AV77" s="1">
        <v>33.464800000000004</v>
      </c>
      <c r="AW77" s="1">
        <v>24.408160000000002</v>
      </c>
      <c r="AX77" s="1">
        <v>140.2099</v>
      </c>
      <c r="AY77" s="1">
        <v>2.5</v>
      </c>
    </row>
    <row r="78" spans="4:51" x14ac:dyDescent="0.3">
      <c r="D78" s="2">
        <f t="shared" si="4"/>
        <v>1974</v>
      </c>
      <c r="E78" s="2">
        <f t="shared" si="5"/>
        <v>5</v>
      </c>
      <c r="F78" s="3" t="s">
        <v>178</v>
      </c>
      <c r="G78" s="4">
        <v>27164</v>
      </c>
      <c r="H78" s="1">
        <v>6606238</v>
      </c>
      <c r="I78" s="1">
        <v>661152</v>
      </c>
      <c r="J78" s="5" t="s">
        <v>176</v>
      </c>
      <c r="K78" s="1"/>
      <c r="L78" s="1" t="str">
        <f t="shared" si="6"/>
        <v xml:space="preserve">Oxundaån </v>
      </c>
      <c r="M78" s="1" t="s">
        <v>177</v>
      </c>
      <c r="N78" s="1">
        <v>0.5</v>
      </c>
      <c r="O78" s="1">
        <v>0.5</v>
      </c>
      <c r="Q78" s="1">
        <v>12.1</v>
      </c>
      <c r="R78" s="1">
        <v>10.37</v>
      </c>
      <c r="V78" s="1">
        <v>1.6779999999999999</v>
      </c>
      <c r="W78" s="1">
        <v>36</v>
      </c>
      <c r="X78" s="1">
        <f t="shared" si="7"/>
        <v>2.4294327838357574</v>
      </c>
      <c r="Y78" s="1">
        <v>3.5999999999999997E-2</v>
      </c>
      <c r="Z78" s="1">
        <v>11</v>
      </c>
      <c r="AD78" s="1">
        <v>550</v>
      </c>
      <c r="AE78" s="1">
        <v>8.52</v>
      </c>
      <c r="AG78" s="1">
        <v>4.3</v>
      </c>
      <c r="AK78" s="1">
        <v>48</v>
      </c>
      <c r="AR78" s="1">
        <v>62.28</v>
      </c>
      <c r="AT78" s="1">
        <v>7.1553000000000004</v>
      </c>
      <c r="AU78" s="1">
        <v>14.8346</v>
      </c>
      <c r="AV78" s="1">
        <v>31.692300000000003</v>
      </c>
      <c r="AW78" s="1">
        <v>24.637560000000004</v>
      </c>
      <c r="AX78" s="1">
        <v>137.37494999999998</v>
      </c>
      <c r="AY78" s="1">
        <v>0.55000000000000004</v>
      </c>
    </row>
    <row r="79" spans="4:51" x14ac:dyDescent="0.3">
      <c r="D79" s="2">
        <f t="shared" si="4"/>
        <v>1974</v>
      </c>
      <c r="E79" s="2">
        <f t="shared" si="5"/>
        <v>6</v>
      </c>
      <c r="F79" s="3"/>
      <c r="G79" s="4">
        <v>27197</v>
      </c>
      <c r="H79" s="1">
        <v>6606238</v>
      </c>
      <c r="I79" s="1">
        <v>661152</v>
      </c>
      <c r="J79" s="5" t="s">
        <v>176</v>
      </c>
      <c r="K79" s="1"/>
      <c r="L79" s="1" t="str">
        <f t="shared" si="6"/>
        <v xml:space="preserve">Oxundaån </v>
      </c>
      <c r="M79" s="1" t="s">
        <v>177</v>
      </c>
      <c r="N79" s="1">
        <v>0.5</v>
      </c>
      <c r="O79" s="1">
        <v>0.5</v>
      </c>
      <c r="Q79" s="1">
        <v>20.5</v>
      </c>
      <c r="R79" s="1">
        <v>9.9600000000000009</v>
      </c>
      <c r="V79" s="1">
        <v>1.8080000000000001</v>
      </c>
      <c r="W79" s="1">
        <v>100</v>
      </c>
      <c r="X79" s="1">
        <f t="shared" si="7"/>
        <v>7.4108582811740282</v>
      </c>
      <c r="Y79" s="1">
        <v>2.4E-2</v>
      </c>
      <c r="Z79" s="1">
        <v>6</v>
      </c>
      <c r="AD79" s="1">
        <v>276</v>
      </c>
      <c r="AE79" s="1">
        <v>8.2899999999999991</v>
      </c>
      <c r="AG79" s="1">
        <v>3.5</v>
      </c>
      <c r="AK79" s="1">
        <v>91</v>
      </c>
      <c r="AR79" s="1">
        <v>60.86</v>
      </c>
      <c r="AT79" s="1">
        <v>7.1553000000000004</v>
      </c>
      <c r="AU79" s="1">
        <v>13.914999999999999</v>
      </c>
      <c r="AV79" s="1">
        <v>32.401300000000006</v>
      </c>
      <c r="AW79" s="1">
        <v>24.775200000000002</v>
      </c>
      <c r="AX79" s="1">
        <v>137.75934999999998</v>
      </c>
      <c r="AY79" s="1">
        <v>0.4</v>
      </c>
    </row>
    <row r="80" spans="4:51" x14ac:dyDescent="0.3">
      <c r="D80" s="2">
        <f t="shared" si="4"/>
        <v>1974</v>
      </c>
      <c r="E80" s="2">
        <f t="shared" si="5"/>
        <v>7</v>
      </c>
      <c r="F80" s="3" t="s">
        <v>179</v>
      </c>
      <c r="G80" s="4">
        <v>27225</v>
      </c>
      <c r="H80" s="1">
        <v>6606238</v>
      </c>
      <c r="I80" s="1">
        <v>661152</v>
      </c>
      <c r="J80" s="5" t="s">
        <v>176</v>
      </c>
      <c r="K80" s="1"/>
      <c r="L80" s="1" t="str">
        <f t="shared" si="6"/>
        <v xml:space="preserve">Oxundaån </v>
      </c>
      <c r="M80" s="1" t="s">
        <v>177</v>
      </c>
      <c r="N80" s="1">
        <v>0.5</v>
      </c>
      <c r="O80" s="1">
        <v>0.5</v>
      </c>
      <c r="Q80" s="1">
        <v>18.5</v>
      </c>
      <c r="R80" s="1">
        <v>8.0399999999999991</v>
      </c>
      <c r="V80" s="1">
        <v>1.7969999999999999</v>
      </c>
      <c r="W80" s="1">
        <v>153</v>
      </c>
      <c r="X80" s="1">
        <f t="shared" si="7"/>
        <v>1.6959300057691049</v>
      </c>
      <c r="Y80" s="1">
        <v>3.7999999999999999E-2</v>
      </c>
      <c r="Z80" s="1">
        <v>33</v>
      </c>
      <c r="AD80" s="1">
        <v>120</v>
      </c>
      <c r="AE80" s="1">
        <v>7.5</v>
      </c>
      <c r="AG80" s="1">
        <v>10.9</v>
      </c>
      <c r="AK80" s="1">
        <v>116</v>
      </c>
      <c r="AR80" s="1">
        <v>57.199999999999996</v>
      </c>
      <c r="AT80" s="1">
        <v>6.9988999999999999</v>
      </c>
      <c r="AU80" s="1">
        <v>12.1968</v>
      </c>
      <c r="AV80" s="1">
        <v>32.755800000000001</v>
      </c>
      <c r="AW80" s="1">
        <v>23.284099999999999</v>
      </c>
      <c r="AX80" s="1">
        <v>125.60269999999998</v>
      </c>
      <c r="AY80" s="1">
        <v>0.67</v>
      </c>
    </row>
    <row r="81" spans="4:51" x14ac:dyDescent="0.3">
      <c r="D81" s="2">
        <f t="shared" si="4"/>
        <v>1974</v>
      </c>
      <c r="E81" s="2">
        <f t="shared" si="5"/>
        <v>8</v>
      </c>
      <c r="F81" s="3" t="s">
        <v>179</v>
      </c>
      <c r="G81" s="4">
        <v>27256</v>
      </c>
      <c r="H81" s="1">
        <v>6606238</v>
      </c>
      <c r="I81" s="1">
        <v>661152</v>
      </c>
      <c r="J81" s="5" t="s">
        <v>176</v>
      </c>
      <c r="K81" s="1"/>
      <c r="L81" s="1" t="str">
        <f t="shared" si="6"/>
        <v xml:space="preserve">Oxundaån </v>
      </c>
      <c r="M81" s="1" t="s">
        <v>177</v>
      </c>
      <c r="N81" s="1">
        <v>0.5</v>
      </c>
      <c r="O81" s="1">
        <v>0.5</v>
      </c>
      <c r="Q81" s="1">
        <v>17.8</v>
      </c>
      <c r="R81" s="1">
        <v>7.32</v>
      </c>
      <c r="V81" s="1">
        <v>1.857</v>
      </c>
      <c r="W81" s="1">
        <v>18</v>
      </c>
      <c r="X81" s="1">
        <f t="shared" si="7"/>
        <v>0.37426953538274016</v>
      </c>
      <c r="Y81" s="1">
        <v>2.5999999999999999E-2</v>
      </c>
      <c r="Z81" s="1">
        <v>32</v>
      </c>
      <c r="AD81" s="1">
        <v>19</v>
      </c>
      <c r="AE81" s="1">
        <v>7.8</v>
      </c>
      <c r="AG81" s="1">
        <v>8.6999999999999993</v>
      </c>
      <c r="AK81" s="1">
        <v>98</v>
      </c>
      <c r="AR81" s="1">
        <v>67.61999999999999</v>
      </c>
      <c r="AT81" s="1">
        <v>5.6303999999999998</v>
      </c>
      <c r="AU81" s="1">
        <v>13.793999999999999</v>
      </c>
      <c r="AV81" s="1">
        <v>34.315600000000003</v>
      </c>
      <c r="AW81" s="1">
        <v>22.481200000000001</v>
      </c>
      <c r="AX81" s="1">
        <v>140.8826</v>
      </c>
      <c r="AY81" s="1">
        <v>1.08</v>
      </c>
    </row>
    <row r="82" spans="4:51" x14ac:dyDescent="0.3">
      <c r="D82" s="2">
        <f t="shared" si="4"/>
        <v>1974</v>
      </c>
      <c r="E82" s="2">
        <f t="shared" si="5"/>
        <v>9</v>
      </c>
      <c r="F82" s="3"/>
      <c r="G82" s="4">
        <v>27288</v>
      </c>
      <c r="H82" s="1">
        <v>6606238</v>
      </c>
      <c r="I82" s="1">
        <v>661152</v>
      </c>
      <c r="J82" s="5" t="s">
        <v>176</v>
      </c>
      <c r="K82" s="1"/>
      <c r="L82" s="1" t="str">
        <f t="shared" si="6"/>
        <v xml:space="preserve">Oxundaån </v>
      </c>
      <c r="M82" s="1" t="s">
        <v>177</v>
      </c>
      <c r="N82" s="1">
        <v>0.5</v>
      </c>
      <c r="O82" s="1">
        <v>0.5</v>
      </c>
      <c r="Q82" s="1">
        <v>15.4</v>
      </c>
      <c r="R82" s="1">
        <v>9.6199999999999992</v>
      </c>
      <c r="V82" s="1">
        <v>1.845</v>
      </c>
      <c r="W82" s="1">
        <v>15</v>
      </c>
      <c r="X82" s="1">
        <f t="shared" si="7"/>
        <v>1.0553672948108814</v>
      </c>
      <c r="Y82" s="1">
        <v>1.7999999999999999E-2</v>
      </c>
      <c r="Z82" s="1">
        <v>84</v>
      </c>
      <c r="AD82" s="1">
        <v>6</v>
      </c>
      <c r="AE82" s="1">
        <v>8.43</v>
      </c>
      <c r="AG82" s="1">
        <v>3.1</v>
      </c>
      <c r="AK82" s="1">
        <v>140</v>
      </c>
      <c r="AR82" s="1">
        <v>68.2</v>
      </c>
      <c r="AT82" s="1">
        <v>7.4290000000000003</v>
      </c>
      <c r="AU82" s="1">
        <v>13.721399999999999</v>
      </c>
      <c r="AV82" s="1">
        <v>34.421950000000002</v>
      </c>
      <c r="AW82" s="1">
        <v>24.775200000000002</v>
      </c>
      <c r="AX82" s="1">
        <v>143.76559999999998</v>
      </c>
      <c r="AY82" s="1">
        <v>1.95</v>
      </c>
    </row>
    <row r="83" spans="4:51" x14ac:dyDescent="0.3">
      <c r="D83" s="2">
        <f t="shared" si="4"/>
        <v>1974</v>
      </c>
      <c r="E83" s="2">
        <f t="shared" si="5"/>
        <v>10</v>
      </c>
      <c r="F83" s="3" t="s">
        <v>180</v>
      </c>
      <c r="G83" s="4">
        <v>27317</v>
      </c>
      <c r="H83" s="1">
        <v>6606238</v>
      </c>
      <c r="I83" s="1">
        <v>661152</v>
      </c>
      <c r="J83" s="5" t="s">
        <v>176</v>
      </c>
      <c r="K83" s="1"/>
      <c r="L83" s="1" t="str">
        <f t="shared" si="6"/>
        <v xml:space="preserve">Oxundaån </v>
      </c>
      <c r="M83" s="1" t="s">
        <v>177</v>
      </c>
      <c r="N83" s="1">
        <v>0.5</v>
      </c>
      <c r="O83" s="1">
        <v>0.5</v>
      </c>
      <c r="Q83" s="1">
        <v>8</v>
      </c>
      <c r="R83" s="1">
        <v>9.15</v>
      </c>
      <c r="V83" s="1">
        <v>1.885</v>
      </c>
      <c r="W83" s="1">
        <v>75</v>
      </c>
      <c r="X83" s="1">
        <f t="shared" si="7"/>
        <v>0.87090739100347614</v>
      </c>
      <c r="Y83" s="1">
        <v>2.7E-2</v>
      </c>
      <c r="Z83" s="1">
        <v>23</v>
      </c>
      <c r="AD83" s="1">
        <v>45</v>
      </c>
      <c r="AE83" s="1">
        <v>7.87</v>
      </c>
      <c r="AG83" s="1">
        <v>9.5</v>
      </c>
      <c r="AK83" s="1">
        <v>150</v>
      </c>
      <c r="AR83" s="1">
        <v>65</v>
      </c>
      <c r="AT83" s="1">
        <v>7.3508000000000004</v>
      </c>
      <c r="AU83" s="1">
        <v>14.035999999999998</v>
      </c>
      <c r="AV83" s="1">
        <v>34.953700000000005</v>
      </c>
      <c r="AW83" s="1">
        <v>25.692800000000005</v>
      </c>
      <c r="AX83" s="1">
        <v>138.14374999999998</v>
      </c>
      <c r="AY83" s="1">
        <v>2.7</v>
      </c>
    </row>
    <row r="84" spans="4:51" x14ac:dyDescent="0.3">
      <c r="D84" s="2">
        <f t="shared" si="4"/>
        <v>1974</v>
      </c>
      <c r="E84" s="2">
        <f t="shared" si="5"/>
        <v>11</v>
      </c>
      <c r="F84" s="3" t="s">
        <v>180</v>
      </c>
      <c r="G84" s="4">
        <v>27347</v>
      </c>
      <c r="H84" s="1">
        <v>6606238</v>
      </c>
      <c r="I84" s="1">
        <v>661152</v>
      </c>
      <c r="J84" s="5" t="s">
        <v>176</v>
      </c>
      <c r="K84" s="1"/>
      <c r="L84" s="1" t="str">
        <f t="shared" si="6"/>
        <v xml:space="preserve">Oxundaån </v>
      </c>
      <c r="M84" s="1" t="s">
        <v>177</v>
      </c>
      <c r="N84" s="1">
        <v>0.5</v>
      </c>
      <c r="O84" s="1">
        <v>0.5</v>
      </c>
      <c r="Q84" s="1">
        <v>3.9</v>
      </c>
      <c r="R84" s="1">
        <v>8.7100000000000009</v>
      </c>
      <c r="V84" s="1">
        <v>1.8180000000000001</v>
      </c>
      <c r="W84" s="1">
        <v>258</v>
      </c>
      <c r="X84" s="1">
        <f t="shared" si="7"/>
        <v>1.5322247054052742</v>
      </c>
      <c r="Y84" s="1">
        <v>2.5000000000000001E-2</v>
      </c>
      <c r="Z84" s="1">
        <v>50</v>
      </c>
      <c r="AD84" s="1">
        <v>720</v>
      </c>
      <c r="AE84" s="1">
        <v>7.72</v>
      </c>
      <c r="AG84" s="1">
        <v>2.2999999999999998</v>
      </c>
      <c r="AK84" s="1">
        <v>86</v>
      </c>
      <c r="AR84" s="1">
        <v>67.12</v>
      </c>
      <c r="AT84" s="1">
        <v>7.1943999999999999</v>
      </c>
      <c r="AU84" s="1">
        <v>14.544199999999998</v>
      </c>
      <c r="AV84" s="1">
        <v>33.003950000000003</v>
      </c>
      <c r="AW84" s="1">
        <v>24.431100000000001</v>
      </c>
      <c r="AX84" s="1">
        <v>139.63329999999999</v>
      </c>
      <c r="AY84" s="1">
        <v>3.4</v>
      </c>
    </row>
    <row r="85" spans="4:51" x14ac:dyDescent="0.3">
      <c r="D85" s="2">
        <f t="shared" si="4"/>
        <v>1974</v>
      </c>
      <c r="E85" s="2">
        <f t="shared" si="5"/>
        <v>12</v>
      </c>
      <c r="F85" s="3" t="s">
        <v>175</v>
      </c>
      <c r="G85" s="4">
        <v>27379</v>
      </c>
      <c r="H85" s="1">
        <v>6606238</v>
      </c>
      <c r="I85" s="1">
        <v>661152</v>
      </c>
      <c r="J85" s="5" t="s">
        <v>176</v>
      </c>
      <c r="K85" s="1"/>
      <c r="L85" s="1" t="str">
        <f t="shared" si="6"/>
        <v xml:space="preserve">Oxundaån </v>
      </c>
      <c r="M85" s="1" t="s">
        <v>177</v>
      </c>
      <c r="N85" s="1">
        <v>0.5</v>
      </c>
      <c r="O85" s="1">
        <v>0.5</v>
      </c>
      <c r="Q85" s="1">
        <v>1.1000000000000001</v>
      </c>
      <c r="R85" s="1">
        <v>9.66</v>
      </c>
      <c r="V85" s="1">
        <v>1.49</v>
      </c>
      <c r="W85" s="1">
        <v>264</v>
      </c>
      <c r="X85" s="1">
        <f t="shared" si="7"/>
        <v>0.67017543647194899</v>
      </c>
      <c r="Y85" s="1">
        <v>4.8000000000000001E-2</v>
      </c>
      <c r="Z85" s="1">
        <v>31</v>
      </c>
      <c r="AD85" s="1">
        <v>1640</v>
      </c>
      <c r="AE85" s="1">
        <v>7.45</v>
      </c>
      <c r="AG85" s="1">
        <v>5.6</v>
      </c>
      <c r="AK85" s="1">
        <v>60</v>
      </c>
      <c r="AR85" s="1">
        <v>63</v>
      </c>
      <c r="AT85" s="1">
        <v>6.4124000000000008</v>
      </c>
      <c r="AU85" s="1">
        <v>13.2858</v>
      </c>
      <c r="AV85" s="1">
        <v>27.757350000000002</v>
      </c>
      <c r="AW85" s="1">
        <v>20.646000000000001</v>
      </c>
      <c r="AX85" s="1">
        <v>142.37215</v>
      </c>
      <c r="AY85" s="1">
        <v>2</v>
      </c>
    </row>
    <row r="86" spans="4:51" x14ac:dyDescent="0.3">
      <c r="D86" s="2">
        <f t="shared" si="4"/>
        <v>1975</v>
      </c>
      <c r="E86" s="2">
        <f t="shared" si="5"/>
        <v>1</v>
      </c>
      <c r="F86" s="3" t="s">
        <v>175</v>
      </c>
      <c r="G86" s="4">
        <v>27409</v>
      </c>
      <c r="H86" s="1">
        <v>6606238</v>
      </c>
      <c r="I86" s="1">
        <v>661152</v>
      </c>
      <c r="J86" s="5" t="s">
        <v>176</v>
      </c>
      <c r="K86" s="1"/>
      <c r="L86" s="1" t="str">
        <f t="shared" si="6"/>
        <v xml:space="preserve">Oxundaån </v>
      </c>
      <c r="M86" s="1" t="s">
        <v>177</v>
      </c>
      <c r="N86" s="1">
        <v>0.5</v>
      </c>
      <c r="O86" s="1">
        <v>0.5</v>
      </c>
      <c r="Q86" s="1">
        <v>0.8</v>
      </c>
      <c r="R86" s="1">
        <v>10.1</v>
      </c>
      <c r="V86" s="1">
        <v>1.659</v>
      </c>
      <c r="W86" s="1">
        <v>219</v>
      </c>
      <c r="X86" s="1">
        <f t="shared" si="7"/>
        <v>0.4833617669455591</v>
      </c>
      <c r="Y86" s="1">
        <v>5.7000000000000002E-2</v>
      </c>
      <c r="Z86" s="1">
        <v>33</v>
      </c>
      <c r="AD86" s="1">
        <v>1740</v>
      </c>
      <c r="AE86" s="1">
        <v>7.4</v>
      </c>
      <c r="AG86" s="1">
        <v>3.8</v>
      </c>
      <c r="AK86" s="1">
        <v>64</v>
      </c>
      <c r="AR86" s="1">
        <v>60.919999999999995</v>
      </c>
      <c r="AT86" s="1">
        <v>6.8033999999999999</v>
      </c>
      <c r="AU86" s="1">
        <v>12.4872</v>
      </c>
      <c r="AV86" s="1">
        <v>26.020300000000002</v>
      </c>
      <c r="AW86" s="1">
        <v>20.072500000000002</v>
      </c>
      <c r="AX86" s="1">
        <v>126.61174999999999</v>
      </c>
      <c r="AY86" s="1">
        <v>5</v>
      </c>
    </row>
    <row r="87" spans="4:51" x14ac:dyDescent="0.3">
      <c r="D87" s="2">
        <f t="shared" si="4"/>
        <v>1975</v>
      </c>
      <c r="E87" s="2">
        <f t="shared" si="5"/>
        <v>2</v>
      </c>
      <c r="F87" s="3" t="s">
        <v>175</v>
      </c>
      <c r="G87" s="4">
        <v>27442</v>
      </c>
      <c r="H87" s="1">
        <v>6606238</v>
      </c>
      <c r="I87" s="1">
        <v>661152</v>
      </c>
      <c r="J87" s="5" t="s">
        <v>176</v>
      </c>
      <c r="K87" s="1"/>
      <c r="L87" s="1" t="str">
        <f t="shared" si="6"/>
        <v xml:space="preserve">Oxundaån </v>
      </c>
      <c r="M87" s="1" t="s">
        <v>177</v>
      </c>
      <c r="N87" s="1">
        <v>0.5</v>
      </c>
      <c r="O87" s="1">
        <v>0.5</v>
      </c>
      <c r="Q87" s="1">
        <v>1.4</v>
      </c>
      <c r="R87" s="1">
        <v>9.32</v>
      </c>
      <c r="V87" s="1">
        <v>1.86</v>
      </c>
      <c r="W87" s="1">
        <v>78</v>
      </c>
      <c r="X87" s="1">
        <f t="shared" si="7"/>
        <v>0.165097194094005</v>
      </c>
      <c r="Y87" s="1">
        <v>5.1999999999999998E-2</v>
      </c>
      <c r="Z87" s="1">
        <v>31</v>
      </c>
      <c r="AD87" s="1">
        <v>2542</v>
      </c>
      <c r="AE87" s="1">
        <v>7.36</v>
      </c>
      <c r="AG87" s="1">
        <v>6.1</v>
      </c>
      <c r="AK87" s="1">
        <v>55</v>
      </c>
      <c r="AR87" s="1">
        <v>64.38</v>
      </c>
      <c r="AT87" s="1">
        <v>6.1387</v>
      </c>
      <c r="AU87" s="1">
        <v>12.6082</v>
      </c>
      <c r="AV87" s="1">
        <v>26.481150000000003</v>
      </c>
      <c r="AW87" s="1">
        <v>19.911920000000002</v>
      </c>
      <c r="AX87" s="1">
        <v>114.16679999999999</v>
      </c>
      <c r="AY87" s="1">
        <v>5.2</v>
      </c>
    </row>
    <row r="88" spans="4:51" x14ac:dyDescent="0.3">
      <c r="D88" s="2">
        <f t="shared" si="4"/>
        <v>1975</v>
      </c>
      <c r="E88" s="2">
        <f t="shared" si="5"/>
        <v>3</v>
      </c>
      <c r="F88" s="3" t="s">
        <v>175</v>
      </c>
      <c r="G88" s="4">
        <v>27470</v>
      </c>
      <c r="H88" s="1">
        <v>6606238</v>
      </c>
      <c r="I88" s="1">
        <v>661152</v>
      </c>
      <c r="J88" s="5" t="s">
        <v>176</v>
      </c>
      <c r="K88" s="1"/>
      <c r="L88" s="1" t="str">
        <f t="shared" si="6"/>
        <v xml:space="preserve">Oxundaån </v>
      </c>
      <c r="M88" s="1" t="s">
        <v>177</v>
      </c>
      <c r="N88" s="1">
        <v>0.5</v>
      </c>
      <c r="O88" s="1">
        <v>0.5</v>
      </c>
      <c r="Q88" s="1">
        <v>3.2</v>
      </c>
      <c r="R88" s="1">
        <v>14.3</v>
      </c>
      <c r="V88" s="1">
        <v>2.008</v>
      </c>
      <c r="W88" s="1">
        <v>18</v>
      </c>
      <c r="X88" s="1">
        <f t="shared" si="7"/>
        <v>7.6691750126692146E-2</v>
      </c>
      <c r="Y88" s="1">
        <v>5.8000000000000003E-2</v>
      </c>
      <c r="Z88" s="1">
        <v>9</v>
      </c>
      <c r="AD88" s="1">
        <v>1600</v>
      </c>
      <c r="AE88" s="1">
        <v>7.6</v>
      </c>
      <c r="AG88" s="1">
        <v>3.1</v>
      </c>
      <c r="AK88" s="1">
        <v>60</v>
      </c>
      <c r="AR88" s="1">
        <v>60.300000000000004</v>
      </c>
      <c r="AT88" s="1">
        <v>6.1387</v>
      </c>
      <c r="AU88" s="1">
        <v>11.132</v>
      </c>
      <c r="AV88" s="1">
        <v>27.615550000000002</v>
      </c>
      <c r="AW88" s="1">
        <v>19.453120000000002</v>
      </c>
      <c r="AX88" s="1">
        <v>101.76989999999999</v>
      </c>
      <c r="AY88" s="1">
        <v>4.5</v>
      </c>
    </row>
    <row r="89" spans="4:51" x14ac:dyDescent="0.3">
      <c r="D89" s="2">
        <f t="shared" si="4"/>
        <v>1975</v>
      </c>
      <c r="E89" s="2">
        <f t="shared" si="5"/>
        <v>4</v>
      </c>
      <c r="F89" s="3" t="s">
        <v>178</v>
      </c>
      <c r="G89" s="4">
        <v>27499</v>
      </c>
      <c r="H89" s="1">
        <v>6606238</v>
      </c>
      <c r="I89" s="1">
        <v>661152</v>
      </c>
      <c r="J89" s="5" t="s">
        <v>176</v>
      </c>
      <c r="K89" s="1"/>
      <c r="L89" s="1" t="str">
        <f t="shared" si="6"/>
        <v xml:space="preserve">Oxundaån </v>
      </c>
      <c r="M89" s="1" t="s">
        <v>177</v>
      </c>
      <c r="N89" s="1">
        <v>0.5</v>
      </c>
      <c r="O89" s="1">
        <v>0.5</v>
      </c>
      <c r="Q89" s="1">
        <v>4</v>
      </c>
      <c r="R89" s="1">
        <v>14.23</v>
      </c>
      <c r="V89" s="1">
        <v>1.927</v>
      </c>
      <c r="W89" s="1">
        <v>54</v>
      </c>
      <c r="X89" s="1">
        <f t="shared" si="7"/>
        <v>0.20919581795050274</v>
      </c>
      <c r="Y89" s="1">
        <v>6.2E-2</v>
      </c>
      <c r="Z89" s="1">
        <v>8</v>
      </c>
      <c r="AD89" s="1">
        <v>1520</v>
      </c>
      <c r="AE89" s="1">
        <v>7.53</v>
      </c>
      <c r="AG89" s="1">
        <v>10.5</v>
      </c>
      <c r="AK89" s="1">
        <v>89</v>
      </c>
      <c r="AR89" s="1">
        <v>61.44</v>
      </c>
      <c r="AT89" s="1">
        <v>5.7867999999999995</v>
      </c>
      <c r="AU89" s="1">
        <v>11.132</v>
      </c>
      <c r="AV89" s="1">
        <v>25.275850000000002</v>
      </c>
      <c r="AW89" s="1">
        <v>18.902560000000001</v>
      </c>
      <c r="AX89" s="1">
        <v>108.8813</v>
      </c>
      <c r="AY89" s="1">
        <v>4.2</v>
      </c>
    </row>
    <row r="90" spans="4:51" x14ac:dyDescent="0.3">
      <c r="D90" s="2">
        <f t="shared" si="4"/>
        <v>1975</v>
      </c>
      <c r="E90" s="2">
        <f t="shared" si="5"/>
        <v>5</v>
      </c>
      <c r="F90" s="3" t="s">
        <v>178</v>
      </c>
      <c r="G90" s="4">
        <v>27529</v>
      </c>
      <c r="H90" s="1">
        <v>6606238</v>
      </c>
      <c r="I90" s="1">
        <v>661152</v>
      </c>
      <c r="J90" s="5" t="s">
        <v>176</v>
      </c>
      <c r="K90" s="1"/>
      <c r="L90" s="1" t="str">
        <f t="shared" si="6"/>
        <v xml:space="preserve">Oxundaån </v>
      </c>
      <c r="M90" s="1" t="s">
        <v>177</v>
      </c>
      <c r="N90" s="1">
        <v>0.5</v>
      </c>
      <c r="O90" s="1">
        <v>0.5</v>
      </c>
      <c r="Q90" s="1">
        <v>15.5</v>
      </c>
      <c r="R90" s="1">
        <v>11.67</v>
      </c>
      <c r="V90" s="1">
        <v>1.8169999999999999</v>
      </c>
      <c r="W90" s="1">
        <v>10</v>
      </c>
      <c r="X90" s="1">
        <f t="shared" si="7"/>
        <v>1.0563089303015707</v>
      </c>
      <c r="Y90" s="1">
        <v>3.6999999999999998E-2</v>
      </c>
      <c r="Z90" s="1">
        <v>5</v>
      </c>
      <c r="AD90" s="1">
        <v>940</v>
      </c>
      <c r="AE90" s="1">
        <v>8.6199999999999992</v>
      </c>
      <c r="AG90" s="1">
        <v>9.6</v>
      </c>
      <c r="AK90" s="1">
        <v>55</v>
      </c>
      <c r="AR90" s="1">
        <v>60.12</v>
      </c>
      <c r="AT90" s="1">
        <v>5.8650000000000002</v>
      </c>
      <c r="AU90" s="1">
        <v>10.164</v>
      </c>
      <c r="AV90" s="1">
        <v>25.807600000000001</v>
      </c>
      <c r="AW90" s="1">
        <v>18.696100000000001</v>
      </c>
      <c r="AX90" s="1">
        <v>105.56585</v>
      </c>
      <c r="AY90" s="1">
        <v>3.25</v>
      </c>
    </row>
    <row r="91" spans="4:51" x14ac:dyDescent="0.3">
      <c r="D91" s="2">
        <f t="shared" si="4"/>
        <v>1975</v>
      </c>
      <c r="E91" s="2">
        <f t="shared" si="5"/>
        <v>6</v>
      </c>
      <c r="F91" s="3"/>
      <c r="G91" s="4">
        <v>27561</v>
      </c>
      <c r="H91" s="1">
        <v>6606238</v>
      </c>
      <c r="I91" s="1">
        <v>661152</v>
      </c>
      <c r="J91" s="5" t="s">
        <v>176</v>
      </c>
      <c r="K91" s="1"/>
      <c r="L91" s="1" t="str">
        <f t="shared" si="6"/>
        <v xml:space="preserve">Oxundaån </v>
      </c>
      <c r="M91" s="1" t="s">
        <v>177</v>
      </c>
      <c r="N91" s="1">
        <v>0.5</v>
      </c>
      <c r="O91" s="1">
        <v>0.5</v>
      </c>
      <c r="Q91" s="1">
        <v>17.5</v>
      </c>
      <c r="R91" s="1">
        <v>9.41</v>
      </c>
      <c r="V91" s="1">
        <v>2.02</v>
      </c>
      <c r="W91" s="1">
        <v>149</v>
      </c>
      <c r="X91" s="1">
        <f t="shared" si="7"/>
        <v>3.5487084264167983</v>
      </c>
      <c r="Y91" s="1">
        <v>1.7999999999999999E-2</v>
      </c>
      <c r="Z91" s="1">
        <v>29</v>
      </c>
      <c r="AD91" s="1">
        <v>260</v>
      </c>
      <c r="AE91" s="1">
        <v>7.87</v>
      </c>
      <c r="AG91" s="1">
        <v>4.9000000000000004</v>
      </c>
      <c r="AK91" s="1">
        <v>95</v>
      </c>
      <c r="AR91" s="1">
        <v>60.919999999999995</v>
      </c>
      <c r="AT91" s="1">
        <v>5.7477</v>
      </c>
      <c r="AU91" s="1">
        <v>10.405999999999999</v>
      </c>
      <c r="AV91" s="1">
        <v>26.658400000000004</v>
      </c>
      <c r="AW91" s="1">
        <v>19.93486</v>
      </c>
      <c r="AX91" s="1">
        <v>93.601399999999998</v>
      </c>
      <c r="AY91" s="1">
        <v>0.9</v>
      </c>
    </row>
    <row r="92" spans="4:51" x14ac:dyDescent="0.3">
      <c r="D92" s="2">
        <f t="shared" si="4"/>
        <v>1975</v>
      </c>
      <c r="E92" s="2">
        <f t="shared" si="5"/>
        <v>7</v>
      </c>
      <c r="F92" s="3" t="s">
        <v>179</v>
      </c>
      <c r="G92" s="4">
        <v>27590</v>
      </c>
      <c r="H92" s="1">
        <v>6606238</v>
      </c>
      <c r="I92" s="1">
        <v>661152</v>
      </c>
      <c r="J92" s="5" t="s">
        <v>176</v>
      </c>
      <c r="K92" s="1"/>
      <c r="L92" s="1" t="str">
        <f t="shared" si="6"/>
        <v xml:space="preserve">Oxundaån </v>
      </c>
      <c r="M92" s="1" t="s">
        <v>177</v>
      </c>
      <c r="N92" s="1">
        <v>0.5</v>
      </c>
      <c r="O92" s="1">
        <v>0.5</v>
      </c>
      <c r="Q92" s="1">
        <v>20.6</v>
      </c>
      <c r="R92" s="1">
        <v>7.9</v>
      </c>
      <c r="V92" s="1">
        <v>2.0030000000000001</v>
      </c>
      <c r="W92" s="1">
        <v>27</v>
      </c>
      <c r="X92" s="1">
        <f t="shared" si="7"/>
        <v>2.4364849534783919</v>
      </c>
      <c r="Y92" s="1">
        <v>3.6999999999999998E-2</v>
      </c>
      <c r="Z92" s="1">
        <v>15</v>
      </c>
      <c r="AD92" s="1">
        <v>20</v>
      </c>
      <c r="AE92" s="1">
        <v>8.3800000000000008</v>
      </c>
      <c r="AG92" s="1">
        <v>9.6999999999999993</v>
      </c>
      <c r="AK92" s="1">
        <v>84</v>
      </c>
      <c r="AR92" s="1">
        <v>62.36</v>
      </c>
      <c r="AT92" s="1">
        <v>6.2951000000000006</v>
      </c>
      <c r="AU92" s="1">
        <v>10.611699999999999</v>
      </c>
      <c r="AV92" s="1">
        <v>28.714500000000005</v>
      </c>
      <c r="AW92" s="1">
        <v>20.3019</v>
      </c>
      <c r="AX92" s="1">
        <v>98.454449999999994</v>
      </c>
      <c r="AY92" s="1">
        <v>0.6</v>
      </c>
    </row>
    <row r="93" spans="4:51" x14ac:dyDescent="0.3">
      <c r="D93" s="2">
        <f t="shared" si="4"/>
        <v>1975</v>
      </c>
      <c r="E93" s="2">
        <f t="shared" si="5"/>
        <v>8</v>
      </c>
      <c r="F93" s="3" t="s">
        <v>179</v>
      </c>
      <c r="G93" s="4">
        <v>27621</v>
      </c>
      <c r="H93" s="1">
        <v>6606238</v>
      </c>
      <c r="I93" s="1">
        <v>661152</v>
      </c>
      <c r="J93" s="5" t="s">
        <v>176</v>
      </c>
      <c r="K93" s="1"/>
      <c r="L93" s="1" t="str">
        <f t="shared" si="6"/>
        <v xml:space="preserve">Oxundaån </v>
      </c>
      <c r="M93" s="1" t="s">
        <v>177</v>
      </c>
      <c r="N93" s="1">
        <v>0.5</v>
      </c>
      <c r="O93" s="1">
        <v>0.5</v>
      </c>
      <c r="Q93" s="1">
        <v>22</v>
      </c>
      <c r="R93" s="1">
        <v>9.14</v>
      </c>
      <c r="V93" s="1">
        <v>1.95</v>
      </c>
      <c r="W93" s="1">
        <v>50</v>
      </c>
      <c r="X93" s="1">
        <f t="shared" si="7"/>
        <v>8.6502342271331436</v>
      </c>
      <c r="Y93" s="1">
        <v>4.2999999999999997E-2</v>
      </c>
      <c r="Z93" s="1">
        <v>14</v>
      </c>
      <c r="AD93" s="1">
        <v>160</v>
      </c>
      <c r="AE93" s="1">
        <v>8.66</v>
      </c>
      <c r="AG93" s="1">
        <v>12.3</v>
      </c>
      <c r="AK93" s="1">
        <v>67</v>
      </c>
      <c r="AR93" s="1">
        <v>58</v>
      </c>
      <c r="AT93" s="1">
        <v>4.5747</v>
      </c>
      <c r="AU93" s="1">
        <v>9.1717999999999993</v>
      </c>
      <c r="AV93" s="1">
        <v>21.376350000000002</v>
      </c>
      <c r="AW93" s="1">
        <v>16.5168</v>
      </c>
      <c r="AX93" s="1">
        <v>88.460049999999995</v>
      </c>
      <c r="AY93" s="1">
        <v>0.55000000000000004</v>
      </c>
    </row>
    <row r="94" spans="4:51" x14ac:dyDescent="0.3">
      <c r="D94" s="2">
        <f t="shared" si="4"/>
        <v>1975</v>
      </c>
      <c r="E94" s="2">
        <f t="shared" si="5"/>
        <v>9</v>
      </c>
      <c r="F94" s="3"/>
      <c r="G94" s="4">
        <v>27652</v>
      </c>
      <c r="H94" s="1">
        <v>6606238</v>
      </c>
      <c r="I94" s="1">
        <v>661152</v>
      </c>
      <c r="J94" s="5" t="s">
        <v>176</v>
      </c>
      <c r="K94" s="1"/>
      <c r="L94" s="1" t="str">
        <f t="shared" si="6"/>
        <v xml:space="preserve">Oxundaån </v>
      </c>
      <c r="M94" s="1" t="s">
        <v>177</v>
      </c>
      <c r="N94" s="1">
        <v>0.5</v>
      </c>
      <c r="O94" s="1">
        <v>0.5</v>
      </c>
      <c r="Q94" s="1">
        <v>15.5</v>
      </c>
      <c r="R94" s="1">
        <v>7.3</v>
      </c>
      <c r="V94" s="1">
        <v>1.9259999999999999</v>
      </c>
      <c r="W94" s="1">
        <v>66</v>
      </c>
      <c r="X94" s="1">
        <f t="shared" si="7"/>
        <v>1.7001381079824189</v>
      </c>
      <c r="Y94" s="1">
        <v>0.04</v>
      </c>
      <c r="Z94" s="1">
        <v>22</v>
      </c>
      <c r="AD94" s="1">
        <v>285</v>
      </c>
      <c r="AE94" s="1">
        <v>7.97</v>
      </c>
      <c r="AG94" s="1">
        <v>8.1999999999999993</v>
      </c>
      <c r="AK94" s="1">
        <v>60</v>
      </c>
      <c r="AR94" s="1">
        <v>57.199999999999996</v>
      </c>
      <c r="AT94" s="1">
        <v>4.5747</v>
      </c>
      <c r="AU94" s="1">
        <v>9.2685999999999993</v>
      </c>
      <c r="AV94" s="1">
        <v>21.376350000000002</v>
      </c>
      <c r="AW94" s="1">
        <v>16.76914</v>
      </c>
      <c r="AX94" s="1">
        <v>88.171749999999989</v>
      </c>
      <c r="AY94" s="1">
        <v>0.55000000000000004</v>
      </c>
    </row>
    <row r="95" spans="4:51" x14ac:dyDescent="0.3">
      <c r="D95" s="2">
        <f t="shared" si="4"/>
        <v>1975</v>
      </c>
      <c r="E95" s="2">
        <f t="shared" si="5"/>
        <v>10</v>
      </c>
      <c r="F95" s="3" t="s">
        <v>180</v>
      </c>
      <c r="G95" s="4">
        <v>27682</v>
      </c>
      <c r="H95" s="1">
        <v>6606238</v>
      </c>
      <c r="I95" s="1">
        <v>661152</v>
      </c>
      <c r="J95" s="5" t="s">
        <v>176</v>
      </c>
      <c r="K95" s="1"/>
      <c r="L95" s="1" t="str">
        <f t="shared" si="6"/>
        <v xml:space="preserve">Oxundaån </v>
      </c>
      <c r="M95" s="1" t="s">
        <v>177</v>
      </c>
      <c r="N95" s="1">
        <v>0.5</v>
      </c>
      <c r="O95" s="1">
        <v>0.5</v>
      </c>
      <c r="Q95" s="1">
        <v>8.6</v>
      </c>
      <c r="R95" s="1">
        <v>9</v>
      </c>
      <c r="V95" s="1">
        <v>2.1709999999999998</v>
      </c>
      <c r="W95" s="1">
        <v>57</v>
      </c>
      <c r="X95" s="1">
        <f t="shared" si="7"/>
        <v>1.2499879079849825</v>
      </c>
      <c r="Y95" s="1">
        <v>3.1E-2</v>
      </c>
      <c r="Z95" s="1">
        <v>24</v>
      </c>
      <c r="AD95" s="1">
        <v>57</v>
      </c>
      <c r="AE95" s="1">
        <v>8.1300000000000008</v>
      </c>
      <c r="AG95" s="1">
        <v>6.5</v>
      </c>
      <c r="AK95" s="1">
        <v>79</v>
      </c>
      <c r="AR95" s="1">
        <v>64.2</v>
      </c>
      <c r="AT95" s="1">
        <v>6.6470000000000011</v>
      </c>
      <c r="AU95" s="1">
        <v>12.1968</v>
      </c>
      <c r="AV95" s="1">
        <v>31.621400000000005</v>
      </c>
      <c r="AW95" s="1">
        <v>23.513500000000001</v>
      </c>
      <c r="AX95" s="1">
        <v>110.70719999999999</v>
      </c>
      <c r="AY95" s="1">
        <v>0.5</v>
      </c>
    </row>
    <row r="96" spans="4:51" x14ac:dyDescent="0.3">
      <c r="D96" s="2">
        <f t="shared" si="4"/>
        <v>1975</v>
      </c>
      <c r="E96" s="2">
        <f t="shared" si="5"/>
        <v>11</v>
      </c>
      <c r="F96" s="3" t="s">
        <v>180</v>
      </c>
      <c r="G96" s="4">
        <v>27715</v>
      </c>
      <c r="H96" s="1">
        <v>6606238</v>
      </c>
      <c r="I96" s="1">
        <v>661152</v>
      </c>
      <c r="J96" s="5" t="s">
        <v>176</v>
      </c>
      <c r="K96" s="1"/>
      <c r="L96" s="1" t="str">
        <f t="shared" si="6"/>
        <v xml:space="preserve">Oxundaån </v>
      </c>
      <c r="M96" s="1" t="s">
        <v>177</v>
      </c>
      <c r="N96" s="1">
        <v>0.5</v>
      </c>
      <c r="O96" s="1">
        <v>0.5</v>
      </c>
      <c r="Q96" s="1">
        <v>5.0999999999999996</v>
      </c>
      <c r="R96" s="1">
        <v>9.2799999999999994</v>
      </c>
      <c r="V96" s="1">
        <v>2.2549999999999999</v>
      </c>
      <c r="W96" s="1">
        <v>103</v>
      </c>
      <c r="X96" s="1">
        <f t="shared" si="7"/>
        <v>1.1140354675559005</v>
      </c>
      <c r="Y96" s="1">
        <v>2.8000000000000001E-2</v>
      </c>
      <c r="Z96" s="1">
        <v>26</v>
      </c>
      <c r="AD96" s="1">
        <v>210</v>
      </c>
      <c r="AE96" s="1">
        <v>7.94</v>
      </c>
      <c r="AG96" s="1">
        <v>6.3</v>
      </c>
      <c r="AK96" s="1">
        <v>55</v>
      </c>
      <c r="AR96" s="1">
        <v>63.440000000000005</v>
      </c>
      <c r="AT96" s="1">
        <v>7.3508000000000004</v>
      </c>
      <c r="AU96" s="1">
        <v>11.978999999999999</v>
      </c>
      <c r="AV96" s="1">
        <v>33.110300000000002</v>
      </c>
      <c r="AW96" s="1">
        <v>24.041120000000003</v>
      </c>
      <c r="AX96" s="1">
        <v>106.81514999999999</v>
      </c>
      <c r="AY96" s="1">
        <v>0.68</v>
      </c>
    </row>
    <row r="97" spans="4:51" x14ac:dyDescent="0.3">
      <c r="D97" s="2">
        <f t="shared" si="4"/>
        <v>1975</v>
      </c>
      <c r="E97" s="2">
        <f t="shared" si="5"/>
        <v>12</v>
      </c>
      <c r="F97" s="3" t="s">
        <v>175</v>
      </c>
      <c r="G97" s="4">
        <v>27743</v>
      </c>
      <c r="H97" s="1">
        <v>6606238</v>
      </c>
      <c r="I97" s="1">
        <v>661152</v>
      </c>
      <c r="J97" s="5" t="s">
        <v>176</v>
      </c>
      <c r="K97" s="1"/>
      <c r="L97" s="1" t="str">
        <f t="shared" si="6"/>
        <v xml:space="preserve">Oxundaån </v>
      </c>
      <c r="M97" s="1" t="s">
        <v>177</v>
      </c>
      <c r="N97" s="1">
        <v>0.5</v>
      </c>
      <c r="O97" s="1">
        <v>0.5</v>
      </c>
      <c r="Q97" s="1">
        <v>0.5</v>
      </c>
      <c r="R97" s="1">
        <v>12.44</v>
      </c>
      <c r="V97" s="1">
        <v>1.9930000000000001</v>
      </c>
      <c r="W97" s="1">
        <v>41</v>
      </c>
      <c r="X97" s="1">
        <f t="shared" si="7"/>
        <v>0.32597207410260914</v>
      </c>
      <c r="Y97" s="1">
        <v>4.2999999999999997E-2</v>
      </c>
      <c r="Z97" s="1">
        <v>34</v>
      </c>
      <c r="AD97" s="1">
        <v>620</v>
      </c>
      <c r="AE97" s="1">
        <v>7.97</v>
      </c>
      <c r="AG97" s="1">
        <v>1.8</v>
      </c>
      <c r="AK97" s="1">
        <v>51</v>
      </c>
      <c r="AR97" s="1">
        <v>59</v>
      </c>
      <c r="AT97" s="1">
        <v>4.9657</v>
      </c>
      <c r="AU97" s="1">
        <v>9.6678999999999995</v>
      </c>
      <c r="AV97" s="1">
        <v>22.439850000000003</v>
      </c>
      <c r="AW97" s="1">
        <v>17.663800000000002</v>
      </c>
      <c r="AX97" s="1">
        <v>87.306849999999997</v>
      </c>
      <c r="AY97" s="1">
        <v>1.66</v>
      </c>
    </row>
    <row r="98" spans="4:51" x14ac:dyDescent="0.3">
      <c r="D98" s="2">
        <f t="shared" si="4"/>
        <v>1976</v>
      </c>
      <c r="E98" s="2">
        <f t="shared" si="5"/>
        <v>1</v>
      </c>
      <c r="F98" s="3" t="s">
        <v>175</v>
      </c>
      <c r="G98" s="4">
        <v>27774</v>
      </c>
      <c r="H98" s="1">
        <v>6606238</v>
      </c>
      <c r="I98" s="1">
        <v>661152</v>
      </c>
      <c r="J98" s="5" t="s">
        <v>176</v>
      </c>
      <c r="K98" s="1"/>
      <c r="L98" s="1" t="str">
        <f t="shared" si="6"/>
        <v xml:space="preserve">Oxundaån </v>
      </c>
      <c r="M98" s="1" t="s">
        <v>177</v>
      </c>
      <c r="N98" s="1">
        <v>0.5</v>
      </c>
      <c r="O98" s="1">
        <v>0.5</v>
      </c>
      <c r="Q98" s="1">
        <v>0.6</v>
      </c>
      <c r="R98" s="1">
        <v>11.2</v>
      </c>
      <c r="V98" s="1">
        <v>2.399</v>
      </c>
      <c r="W98" s="1">
        <v>139</v>
      </c>
      <c r="X98" s="1">
        <f t="shared" si="7"/>
        <v>0.75536296931568103</v>
      </c>
      <c r="Y98" s="1">
        <v>2.5999999999999999E-2</v>
      </c>
      <c r="Z98" s="1">
        <v>40</v>
      </c>
      <c r="AD98" s="1">
        <v>325</v>
      </c>
      <c r="AE98" s="1">
        <v>7.8</v>
      </c>
      <c r="AG98" s="1">
        <v>3.3</v>
      </c>
      <c r="AK98" s="1">
        <v>58</v>
      </c>
      <c r="AR98" s="1">
        <v>69.800000000000011</v>
      </c>
      <c r="AT98" s="1">
        <v>7.0770999999999997</v>
      </c>
      <c r="AU98" s="1">
        <v>12.826000000000001</v>
      </c>
      <c r="AV98" s="1">
        <v>35.591800000000006</v>
      </c>
      <c r="AW98" s="1">
        <v>27.986800000000002</v>
      </c>
      <c r="AX98" s="1">
        <v>115.75244999999998</v>
      </c>
      <c r="AY98" s="1">
        <v>0.98</v>
      </c>
    </row>
    <row r="99" spans="4:51" x14ac:dyDescent="0.3">
      <c r="D99" s="2">
        <f t="shared" si="4"/>
        <v>1976</v>
      </c>
      <c r="E99" s="2">
        <f t="shared" si="5"/>
        <v>2</v>
      </c>
      <c r="F99" s="3" t="s">
        <v>175</v>
      </c>
      <c r="G99" s="4">
        <v>27806</v>
      </c>
      <c r="H99" s="1">
        <v>6606238</v>
      </c>
      <c r="I99" s="1">
        <v>661152</v>
      </c>
      <c r="J99" s="5" t="s">
        <v>176</v>
      </c>
      <c r="K99" s="1"/>
      <c r="L99" s="1" t="str">
        <f t="shared" si="6"/>
        <v xml:space="preserve">Oxundaån </v>
      </c>
      <c r="M99" s="1" t="s">
        <v>177</v>
      </c>
      <c r="N99" s="1">
        <v>0.5</v>
      </c>
      <c r="O99" s="1">
        <v>0.5</v>
      </c>
      <c r="Q99" s="1">
        <v>1.3</v>
      </c>
      <c r="R99" s="1">
        <v>10.99</v>
      </c>
      <c r="V99" s="1">
        <v>2.4809999999999999</v>
      </c>
      <c r="W99" s="1">
        <v>21</v>
      </c>
      <c r="X99" s="1">
        <f t="shared" si="7"/>
        <v>8.383481180388884E-2</v>
      </c>
      <c r="Y99" s="1">
        <v>0.03</v>
      </c>
      <c r="Z99" s="1">
        <v>30</v>
      </c>
      <c r="AD99" s="1">
        <v>545</v>
      </c>
      <c r="AE99" s="1">
        <v>7.64</v>
      </c>
      <c r="AG99" s="1">
        <v>2.8</v>
      </c>
      <c r="AK99" s="1">
        <v>60</v>
      </c>
      <c r="AR99" s="1">
        <v>70.28</v>
      </c>
      <c r="AT99" s="1">
        <v>7.5463000000000005</v>
      </c>
      <c r="AU99" s="1">
        <v>15.488</v>
      </c>
      <c r="AV99" s="1">
        <v>38.498700000000007</v>
      </c>
      <c r="AW99" s="1">
        <v>28.445600000000002</v>
      </c>
      <c r="AX99" s="1">
        <v>123.48849999999999</v>
      </c>
      <c r="AY99" s="1">
        <v>0.75</v>
      </c>
    </row>
    <row r="100" spans="4:51" x14ac:dyDescent="0.3">
      <c r="D100" s="2">
        <f t="shared" si="4"/>
        <v>1976</v>
      </c>
      <c r="E100" s="2">
        <f t="shared" si="5"/>
        <v>3</v>
      </c>
      <c r="F100" s="3" t="s">
        <v>175</v>
      </c>
      <c r="G100" s="4">
        <v>27834</v>
      </c>
      <c r="H100" s="1">
        <v>6606238</v>
      </c>
      <c r="I100" s="1">
        <v>661152</v>
      </c>
      <c r="J100" s="5" t="s">
        <v>176</v>
      </c>
      <c r="K100" s="1"/>
      <c r="L100" s="1" t="str">
        <f t="shared" si="6"/>
        <v xml:space="preserve">Oxundaån </v>
      </c>
      <c r="M100" s="1" t="s">
        <v>177</v>
      </c>
      <c r="N100" s="1">
        <v>0.5</v>
      </c>
      <c r="O100" s="1">
        <v>0.5</v>
      </c>
      <c r="Q100" s="1">
        <v>2.2000000000000002</v>
      </c>
      <c r="R100" s="1">
        <v>13.29</v>
      </c>
      <c r="V100" s="1">
        <v>2.3759999999999999</v>
      </c>
      <c r="W100" s="1">
        <v>30</v>
      </c>
      <c r="X100" s="1">
        <f t="shared" si="7"/>
        <v>0.32202429466438992</v>
      </c>
      <c r="Y100" s="1">
        <v>7.5999999999999998E-2</v>
      </c>
      <c r="Z100" s="1">
        <v>11</v>
      </c>
      <c r="AD100" s="1">
        <v>570</v>
      </c>
      <c r="AE100" s="1">
        <v>8.0399999999999991</v>
      </c>
      <c r="AG100" s="1">
        <v>6.7</v>
      </c>
      <c r="AK100" s="1">
        <v>77</v>
      </c>
      <c r="AR100" s="1">
        <v>68</v>
      </c>
      <c r="AT100" s="1">
        <v>7.4290000000000003</v>
      </c>
      <c r="AU100" s="1">
        <v>13.552000000000001</v>
      </c>
      <c r="AV100" s="1">
        <v>41.582850000000008</v>
      </c>
      <c r="AW100" s="1">
        <v>30.969000000000005</v>
      </c>
      <c r="AX100" s="1">
        <v>115.6083</v>
      </c>
      <c r="AY100" s="1">
        <v>1.45</v>
      </c>
    </row>
    <row r="101" spans="4:51" x14ac:dyDescent="0.3">
      <c r="D101" s="2">
        <f t="shared" si="4"/>
        <v>1976</v>
      </c>
      <c r="E101" s="2">
        <f t="shared" si="5"/>
        <v>4</v>
      </c>
      <c r="F101" s="3" t="s">
        <v>178</v>
      </c>
      <c r="G101" s="4">
        <v>27864</v>
      </c>
      <c r="H101" s="1">
        <v>6606238</v>
      </c>
      <c r="I101" s="1">
        <v>661152</v>
      </c>
      <c r="J101" s="5" t="s">
        <v>176</v>
      </c>
      <c r="K101" s="1"/>
      <c r="L101" s="1" t="str">
        <f t="shared" si="6"/>
        <v xml:space="preserve">Oxundaån </v>
      </c>
      <c r="M101" s="1" t="s">
        <v>177</v>
      </c>
      <c r="N101" s="1">
        <v>0.5</v>
      </c>
      <c r="O101" s="1">
        <v>0.5</v>
      </c>
      <c r="Q101" s="1">
        <v>6.9</v>
      </c>
      <c r="R101" s="1">
        <v>17.43</v>
      </c>
      <c r="V101" s="1">
        <v>1.885</v>
      </c>
      <c r="W101" s="1">
        <v>14</v>
      </c>
      <c r="X101" s="1">
        <f t="shared" si="7"/>
        <v>0.9094958007027899</v>
      </c>
      <c r="Y101" s="1">
        <v>2.1999999999999999E-2</v>
      </c>
      <c r="Z101" s="1">
        <v>12</v>
      </c>
      <c r="AD101" s="1">
        <v>565</v>
      </c>
      <c r="AE101" s="1">
        <v>8.68</v>
      </c>
      <c r="AG101" s="1">
        <v>3.7</v>
      </c>
      <c r="AK101" s="1">
        <v>59</v>
      </c>
      <c r="AR101" s="1">
        <v>57.199999999999996</v>
      </c>
      <c r="AT101" s="1">
        <v>7.2726000000000006</v>
      </c>
      <c r="AU101" s="1">
        <v>10.5875</v>
      </c>
      <c r="AV101" s="1">
        <v>35.130950000000006</v>
      </c>
      <c r="AW101" s="1">
        <v>26.105719999999998</v>
      </c>
      <c r="AX101" s="1">
        <v>101.6738</v>
      </c>
      <c r="AY101" s="1">
        <v>1.44</v>
      </c>
    </row>
    <row r="102" spans="4:51" x14ac:dyDescent="0.3">
      <c r="D102" s="2">
        <f t="shared" si="4"/>
        <v>1976</v>
      </c>
      <c r="E102" s="2">
        <f t="shared" si="5"/>
        <v>5</v>
      </c>
      <c r="F102" s="3" t="s">
        <v>178</v>
      </c>
      <c r="G102" s="4">
        <v>27897</v>
      </c>
      <c r="H102" s="1">
        <v>6606238</v>
      </c>
      <c r="I102" s="1">
        <v>661152</v>
      </c>
      <c r="J102" s="5" t="s">
        <v>176</v>
      </c>
      <c r="K102" s="1"/>
      <c r="L102" s="1" t="str">
        <f t="shared" si="6"/>
        <v xml:space="preserve">Oxundaån </v>
      </c>
      <c r="M102" s="1" t="s">
        <v>177</v>
      </c>
      <c r="N102" s="1">
        <v>0.5</v>
      </c>
      <c r="O102" s="1">
        <v>0.5</v>
      </c>
      <c r="Q102" s="1">
        <v>13.9</v>
      </c>
      <c r="R102" s="1">
        <v>11.39</v>
      </c>
      <c r="V102" s="1">
        <v>1.9359999999999999</v>
      </c>
      <c r="W102" s="1">
        <v>28</v>
      </c>
      <c r="X102" s="1">
        <f t="shared" si="7"/>
        <v>1.0475078623347902</v>
      </c>
      <c r="Y102" s="1">
        <v>2.5999999999999999E-2</v>
      </c>
      <c r="Z102" s="1">
        <v>9</v>
      </c>
      <c r="AD102" s="1">
        <v>476</v>
      </c>
      <c r="AE102" s="1">
        <v>8.19</v>
      </c>
      <c r="AG102" s="1">
        <v>7.1</v>
      </c>
      <c r="AK102" s="1">
        <v>83</v>
      </c>
      <c r="AR102" s="1">
        <v>64.3</v>
      </c>
      <c r="AT102" s="1">
        <v>6.8033999999999999</v>
      </c>
      <c r="AU102" s="1">
        <v>13.890799999999999</v>
      </c>
      <c r="AV102" s="1">
        <v>38.95955</v>
      </c>
      <c r="AW102" s="1">
        <v>27.2986</v>
      </c>
      <c r="AX102" s="1">
        <v>133.81925000000001</v>
      </c>
      <c r="AY102" s="1">
        <v>0.67</v>
      </c>
    </row>
    <row r="103" spans="4:51" x14ac:dyDescent="0.3">
      <c r="D103" s="2">
        <f t="shared" si="4"/>
        <v>1976</v>
      </c>
      <c r="E103" s="2">
        <f t="shared" si="5"/>
        <v>6</v>
      </c>
      <c r="F103" s="3"/>
      <c r="G103" s="4">
        <v>27926</v>
      </c>
      <c r="H103" s="1">
        <v>6606238</v>
      </c>
      <c r="I103" s="1">
        <v>661152</v>
      </c>
      <c r="J103" s="5" t="s">
        <v>176</v>
      </c>
      <c r="K103" s="1"/>
      <c r="L103" s="1" t="str">
        <f t="shared" si="6"/>
        <v xml:space="preserve">Oxundaån </v>
      </c>
      <c r="M103" s="1" t="s">
        <v>177</v>
      </c>
      <c r="N103" s="1">
        <v>0.5</v>
      </c>
      <c r="O103" s="1">
        <v>0.5</v>
      </c>
      <c r="Q103" s="1">
        <v>16.2</v>
      </c>
      <c r="R103" s="1">
        <v>9.5500000000000007</v>
      </c>
      <c r="V103" s="1">
        <v>1.897</v>
      </c>
      <c r="W103" s="1">
        <v>32</v>
      </c>
      <c r="X103" s="1">
        <f t="shared" si="7"/>
        <v>1.6137318270601768</v>
      </c>
      <c r="Y103" s="1">
        <v>2.1000000000000001E-2</v>
      </c>
      <c r="Z103" s="1">
        <v>21</v>
      </c>
      <c r="AD103" s="1">
        <v>50</v>
      </c>
      <c r="AE103" s="1">
        <v>8.25</v>
      </c>
      <c r="AG103" s="1">
        <v>7.9</v>
      </c>
      <c r="AK103" s="1">
        <v>60</v>
      </c>
      <c r="AR103" s="1">
        <v>66.599999999999994</v>
      </c>
      <c r="AT103" s="1">
        <v>6.8033999999999999</v>
      </c>
      <c r="AU103" s="1">
        <v>13.552000000000001</v>
      </c>
      <c r="AV103" s="1">
        <v>40.200299999999999</v>
      </c>
      <c r="AW103" s="1">
        <v>27.436240000000002</v>
      </c>
      <c r="AX103" s="1">
        <v>132.52189999999999</v>
      </c>
      <c r="AY103" s="1">
        <v>0.56999999999999995</v>
      </c>
    </row>
    <row r="104" spans="4:51" x14ac:dyDescent="0.3">
      <c r="D104" s="2">
        <f t="shared" si="4"/>
        <v>1976</v>
      </c>
      <c r="E104" s="2">
        <f t="shared" si="5"/>
        <v>7</v>
      </c>
      <c r="F104" s="3" t="s">
        <v>179</v>
      </c>
      <c r="G104" s="4">
        <v>27956</v>
      </c>
      <c r="H104" s="1">
        <v>6606238</v>
      </c>
      <c r="I104" s="1">
        <v>661152</v>
      </c>
      <c r="J104" s="5" t="s">
        <v>176</v>
      </c>
      <c r="K104" s="1"/>
      <c r="L104" s="1" t="str">
        <f t="shared" si="6"/>
        <v xml:space="preserve">Oxundaån </v>
      </c>
      <c r="M104" s="1" t="s">
        <v>177</v>
      </c>
      <c r="N104" s="1">
        <v>0.5</v>
      </c>
      <c r="O104" s="1">
        <v>0.5</v>
      </c>
      <c r="Q104" s="1">
        <v>21.7</v>
      </c>
      <c r="R104" s="1">
        <v>10.88</v>
      </c>
      <c r="V104" s="1">
        <v>2.0259999999999998</v>
      </c>
      <c r="W104" s="1">
        <v>28</v>
      </c>
      <c r="X104" s="1">
        <f t="shared" si="7"/>
        <v>7.4726783043835985</v>
      </c>
      <c r="Y104" s="1">
        <v>2.3E-2</v>
      </c>
      <c r="Z104" s="1">
        <v>31</v>
      </c>
      <c r="AD104" s="1">
        <v>12</v>
      </c>
      <c r="AE104" s="1">
        <v>8.91</v>
      </c>
      <c r="AG104" s="1">
        <v>8.4</v>
      </c>
      <c r="AK104" s="1">
        <v>118</v>
      </c>
      <c r="AR104" s="1">
        <v>68.400000000000006</v>
      </c>
      <c r="AT104" s="1">
        <v>7.898200000000001</v>
      </c>
      <c r="AU104" s="1">
        <v>14.1328</v>
      </c>
      <c r="AV104" s="1">
        <v>40.873850000000004</v>
      </c>
      <c r="AW104" s="1">
        <v>30.395500000000002</v>
      </c>
      <c r="AX104" s="1">
        <v>132.85825</v>
      </c>
      <c r="AY104" s="1">
        <v>0.5</v>
      </c>
    </row>
    <row r="105" spans="4:51" x14ac:dyDescent="0.3">
      <c r="D105" s="2">
        <f t="shared" si="4"/>
        <v>1976</v>
      </c>
      <c r="E105" s="2">
        <f t="shared" si="5"/>
        <v>8</v>
      </c>
      <c r="F105" s="3" t="s">
        <v>179</v>
      </c>
      <c r="G105" s="4">
        <v>27988</v>
      </c>
      <c r="H105" s="1">
        <v>6606238</v>
      </c>
      <c r="I105" s="1">
        <v>661152</v>
      </c>
      <c r="J105" s="5" t="s">
        <v>176</v>
      </c>
      <c r="K105" s="1"/>
      <c r="L105" s="1" t="str">
        <f t="shared" si="6"/>
        <v xml:space="preserve">Oxundaån </v>
      </c>
      <c r="M105" s="1" t="s">
        <v>177</v>
      </c>
      <c r="N105" s="1">
        <v>0.5</v>
      </c>
      <c r="O105" s="1">
        <v>0.5</v>
      </c>
      <c r="Q105" s="1">
        <v>20.6</v>
      </c>
      <c r="R105" s="1">
        <v>9.84</v>
      </c>
      <c r="V105" s="1">
        <v>2.0310000000000001</v>
      </c>
      <c r="W105" s="1">
        <v>23</v>
      </c>
      <c r="X105" s="1">
        <f t="shared" si="7"/>
        <v>2.209703033767513</v>
      </c>
      <c r="Y105" s="1">
        <v>2.1999999999999999E-2</v>
      </c>
      <c r="Z105" s="1">
        <v>34</v>
      </c>
      <c r="AD105" s="1">
        <v>7</v>
      </c>
      <c r="AE105" s="1">
        <v>8.41</v>
      </c>
      <c r="AG105" s="1">
        <v>5.7</v>
      </c>
      <c r="AK105" s="1">
        <v>115</v>
      </c>
      <c r="AR105" s="1">
        <v>70</v>
      </c>
      <c r="AT105" s="1">
        <v>8.4064999999999994</v>
      </c>
      <c r="AU105" s="1">
        <v>14.035999999999998</v>
      </c>
      <c r="AV105" s="1">
        <v>40.093950000000007</v>
      </c>
      <c r="AW105" s="1">
        <v>28.445600000000002</v>
      </c>
      <c r="AX105" s="1">
        <v>140.25794999999999</v>
      </c>
      <c r="AY105" s="1">
        <v>0.55000000000000004</v>
      </c>
    </row>
    <row r="106" spans="4:51" x14ac:dyDescent="0.3">
      <c r="D106" s="2">
        <f t="shared" si="4"/>
        <v>1976</v>
      </c>
      <c r="E106" s="2">
        <f t="shared" si="5"/>
        <v>9</v>
      </c>
      <c r="F106" s="3"/>
      <c r="G106" s="4">
        <v>28018</v>
      </c>
      <c r="H106" s="1">
        <v>6606238</v>
      </c>
      <c r="I106" s="1">
        <v>661152</v>
      </c>
      <c r="J106" s="5" t="s">
        <v>176</v>
      </c>
      <c r="K106" s="1"/>
      <c r="L106" s="1" t="str">
        <f t="shared" si="6"/>
        <v xml:space="preserve">Oxundaån </v>
      </c>
      <c r="M106" s="1" t="s">
        <v>177</v>
      </c>
      <c r="N106" s="1">
        <v>0.5</v>
      </c>
      <c r="O106" s="1">
        <v>0.5</v>
      </c>
      <c r="Q106" s="1">
        <v>14</v>
      </c>
      <c r="R106" s="1">
        <v>7.86</v>
      </c>
      <c r="V106" s="1">
        <v>1.796</v>
      </c>
      <c r="W106" s="1">
        <v>52</v>
      </c>
      <c r="X106" s="1">
        <f t="shared" si="7"/>
        <v>0.93538494148401241</v>
      </c>
      <c r="Y106" s="1">
        <v>3.5999999999999997E-2</v>
      </c>
      <c r="Z106" s="1">
        <v>38</v>
      </c>
      <c r="AD106" s="1">
        <v>35</v>
      </c>
      <c r="AE106" s="1">
        <v>7.86</v>
      </c>
      <c r="AG106" s="1">
        <v>6</v>
      </c>
      <c r="AK106" s="1">
        <v>60</v>
      </c>
      <c r="AR106" s="1">
        <v>57.199999999999996</v>
      </c>
      <c r="AT106" s="1">
        <v>5.8650000000000002</v>
      </c>
      <c r="AU106" s="1">
        <v>11.253</v>
      </c>
      <c r="AV106" s="1">
        <v>28.289100000000005</v>
      </c>
      <c r="AW106" s="1">
        <v>22.251799999999999</v>
      </c>
      <c r="AX106" s="1">
        <v>112.7253</v>
      </c>
      <c r="AY106" s="1">
        <v>0.75</v>
      </c>
    </row>
    <row r="107" spans="4:51" x14ac:dyDescent="0.3">
      <c r="D107" s="2">
        <f t="shared" si="4"/>
        <v>1976</v>
      </c>
      <c r="E107" s="2">
        <f t="shared" si="5"/>
        <v>10</v>
      </c>
      <c r="F107" s="3" t="s">
        <v>180</v>
      </c>
      <c r="G107" s="4">
        <v>28047</v>
      </c>
      <c r="H107" s="1">
        <v>6606238</v>
      </c>
      <c r="I107" s="1">
        <v>661152</v>
      </c>
      <c r="J107" s="5" t="s">
        <v>176</v>
      </c>
      <c r="K107" s="1"/>
      <c r="L107" s="1" t="str">
        <f t="shared" si="6"/>
        <v xml:space="preserve">Oxundaån </v>
      </c>
      <c r="M107" s="1" t="s">
        <v>177</v>
      </c>
      <c r="N107" s="1">
        <v>0.5</v>
      </c>
      <c r="O107" s="1">
        <v>0.5</v>
      </c>
      <c r="Q107" s="1">
        <v>7</v>
      </c>
      <c r="R107" s="1">
        <v>10.48</v>
      </c>
      <c r="V107" s="1">
        <v>1.966</v>
      </c>
      <c r="W107" s="1">
        <v>40</v>
      </c>
      <c r="X107" s="1">
        <f t="shared" si="7"/>
        <v>0.64611744077658329</v>
      </c>
      <c r="Y107" s="1">
        <v>3.5999999999999997E-2</v>
      </c>
      <c r="Z107" s="1">
        <v>36</v>
      </c>
      <c r="AD107" s="1">
        <v>70</v>
      </c>
      <c r="AE107" s="1">
        <v>8.0500000000000007</v>
      </c>
      <c r="AG107" s="1">
        <v>9.6</v>
      </c>
      <c r="AK107" s="1">
        <v>123</v>
      </c>
      <c r="AR107" s="1">
        <v>71.2</v>
      </c>
      <c r="AT107" s="1">
        <v>7.82</v>
      </c>
      <c r="AU107" s="1">
        <v>15.246</v>
      </c>
      <c r="AV107" s="1">
        <v>41.724650000000004</v>
      </c>
      <c r="AW107" s="1">
        <v>30.280800000000003</v>
      </c>
      <c r="AX107" s="1">
        <v>150.63674999999998</v>
      </c>
      <c r="AY107" s="1">
        <v>1.3</v>
      </c>
    </row>
    <row r="108" spans="4:51" x14ac:dyDescent="0.3">
      <c r="D108" s="2">
        <f t="shared" si="4"/>
        <v>1976</v>
      </c>
      <c r="E108" s="2">
        <f t="shared" si="5"/>
        <v>11</v>
      </c>
      <c r="F108" s="3" t="s">
        <v>180</v>
      </c>
      <c r="G108" s="4">
        <v>28079</v>
      </c>
      <c r="H108" s="1">
        <v>6606238</v>
      </c>
      <c r="I108" s="1">
        <v>661152</v>
      </c>
      <c r="J108" s="5" t="s">
        <v>176</v>
      </c>
      <c r="K108" s="1"/>
      <c r="L108" s="1" t="str">
        <f t="shared" si="6"/>
        <v xml:space="preserve">Oxundaån </v>
      </c>
      <c r="M108" s="1" t="s">
        <v>177</v>
      </c>
      <c r="N108" s="1">
        <v>0.5</v>
      </c>
      <c r="O108" s="1">
        <v>0.5</v>
      </c>
      <c r="Q108" s="1">
        <v>4</v>
      </c>
      <c r="R108" s="1">
        <v>8.91</v>
      </c>
      <c r="V108" s="1">
        <v>1.9610000000000001</v>
      </c>
      <c r="W108" s="1">
        <v>146</v>
      </c>
      <c r="X108" s="1">
        <f t="shared" si="7"/>
        <v>0.98010487167170268</v>
      </c>
      <c r="Y108" s="1">
        <v>2.8000000000000001E-2</v>
      </c>
      <c r="Z108" s="1">
        <v>70</v>
      </c>
      <c r="AD108" s="1">
        <v>165</v>
      </c>
      <c r="AE108" s="1">
        <v>7.77</v>
      </c>
      <c r="AG108" s="1">
        <v>4.0999999999999996</v>
      </c>
      <c r="AK108" s="1">
        <v>85</v>
      </c>
      <c r="AR108" s="1">
        <v>73.2</v>
      </c>
      <c r="AT108" s="1">
        <v>7.4290000000000003</v>
      </c>
      <c r="AU108" s="1">
        <v>16.456</v>
      </c>
      <c r="AV108" s="1">
        <v>42.327300000000001</v>
      </c>
      <c r="AW108" s="1">
        <v>30.510200000000005</v>
      </c>
      <c r="AX108" s="1">
        <v>163.75439999999998</v>
      </c>
      <c r="AY108" s="1">
        <v>1.18</v>
      </c>
    </row>
    <row r="109" spans="4:51" x14ac:dyDescent="0.3">
      <c r="D109" s="2">
        <f t="shared" si="4"/>
        <v>1976</v>
      </c>
      <c r="E109" s="2">
        <f t="shared" si="5"/>
        <v>12</v>
      </c>
      <c r="F109" s="3" t="s">
        <v>175</v>
      </c>
      <c r="G109" s="4">
        <v>28109</v>
      </c>
      <c r="H109" s="1">
        <v>6606238</v>
      </c>
      <c r="I109" s="1">
        <v>661152</v>
      </c>
      <c r="J109" s="5" t="s">
        <v>176</v>
      </c>
      <c r="K109" s="1"/>
      <c r="L109" s="1" t="str">
        <f t="shared" si="6"/>
        <v xml:space="preserve">Oxundaån </v>
      </c>
      <c r="M109" s="1" t="s">
        <v>177</v>
      </c>
      <c r="N109" s="1">
        <v>0.5</v>
      </c>
      <c r="O109" s="1">
        <v>0.5</v>
      </c>
      <c r="Q109" s="1">
        <v>0.6</v>
      </c>
      <c r="R109" s="1">
        <v>10.89</v>
      </c>
      <c r="V109" s="1">
        <v>1.895</v>
      </c>
      <c r="W109" s="1">
        <v>232</v>
      </c>
      <c r="X109" s="1">
        <f t="shared" si="7"/>
        <v>1.177027007690661</v>
      </c>
      <c r="Y109" s="1">
        <v>2.7E-2</v>
      </c>
      <c r="Z109" s="1">
        <v>54</v>
      </c>
      <c r="AD109" s="1">
        <v>360</v>
      </c>
      <c r="AE109" s="1">
        <v>7.77</v>
      </c>
      <c r="AG109" s="1">
        <v>1.1000000000000001</v>
      </c>
      <c r="AK109" s="1">
        <v>72</v>
      </c>
      <c r="AR109" s="1">
        <v>75</v>
      </c>
      <c r="AT109" s="1">
        <v>7.2335000000000003</v>
      </c>
      <c r="AU109" s="1">
        <v>15.657400000000001</v>
      </c>
      <c r="AV109" s="1">
        <v>42.965400000000002</v>
      </c>
      <c r="AW109" s="1">
        <v>31.060760000000005</v>
      </c>
      <c r="AX109" s="1">
        <v>163.32194999999999</v>
      </c>
      <c r="AY109" s="1">
        <v>1.7</v>
      </c>
    </row>
    <row r="110" spans="4:51" x14ac:dyDescent="0.3">
      <c r="D110" s="2">
        <f t="shared" si="4"/>
        <v>1977</v>
      </c>
      <c r="E110" s="2">
        <f t="shared" si="5"/>
        <v>1</v>
      </c>
      <c r="F110" s="3" t="s">
        <v>175</v>
      </c>
      <c r="G110" s="4">
        <v>28142</v>
      </c>
      <c r="H110" s="1">
        <v>6606238</v>
      </c>
      <c r="I110" s="1">
        <v>661152</v>
      </c>
      <c r="J110" s="5" t="s">
        <v>176</v>
      </c>
      <c r="K110" s="1"/>
      <c r="L110" s="1" t="str">
        <f t="shared" si="6"/>
        <v xml:space="preserve">Oxundaån </v>
      </c>
      <c r="M110" s="1" t="s">
        <v>177</v>
      </c>
      <c r="N110" s="1">
        <v>0.5</v>
      </c>
      <c r="O110" s="1">
        <v>0.5</v>
      </c>
      <c r="Q110" s="1">
        <v>0.5</v>
      </c>
      <c r="R110" s="1">
        <v>9.4</v>
      </c>
      <c r="V110" s="1">
        <v>1.9650000000000001</v>
      </c>
      <c r="W110" s="1">
        <v>253</v>
      </c>
      <c r="X110" s="1">
        <f t="shared" si="7"/>
        <v>0.68518203871830274</v>
      </c>
      <c r="Y110" s="1">
        <v>3.5999999999999997E-2</v>
      </c>
      <c r="Z110" s="1">
        <v>68</v>
      </c>
      <c r="AD110" s="1">
        <v>551</v>
      </c>
      <c r="AE110" s="1">
        <v>7.5</v>
      </c>
      <c r="AG110" s="1">
        <v>2.6</v>
      </c>
      <c r="AK110" s="1">
        <v>92</v>
      </c>
      <c r="AR110" s="1">
        <v>70.5</v>
      </c>
      <c r="AT110" s="1">
        <v>8.2110000000000003</v>
      </c>
      <c r="AU110" s="1">
        <v>14.641</v>
      </c>
      <c r="AV110" s="1">
        <v>88.625</v>
      </c>
      <c r="AW110" s="1">
        <v>29.133800000000001</v>
      </c>
      <c r="AX110" s="1">
        <v>89.296120000000002</v>
      </c>
      <c r="AY110" s="1">
        <v>2.2999999999999998</v>
      </c>
    </row>
    <row r="111" spans="4:51" x14ac:dyDescent="0.3">
      <c r="D111" s="2">
        <f t="shared" si="4"/>
        <v>1977</v>
      </c>
      <c r="E111" s="2">
        <f t="shared" si="5"/>
        <v>2</v>
      </c>
      <c r="F111" s="3" t="s">
        <v>175</v>
      </c>
      <c r="G111" s="4">
        <v>28171</v>
      </c>
      <c r="H111" s="1">
        <v>6606238</v>
      </c>
      <c r="I111" s="1">
        <v>661152</v>
      </c>
      <c r="J111" s="5" t="s">
        <v>176</v>
      </c>
      <c r="K111" s="1"/>
      <c r="L111" s="1" t="str">
        <f t="shared" si="6"/>
        <v xml:space="preserve">Oxundaån </v>
      </c>
      <c r="M111" s="1" t="s">
        <v>177</v>
      </c>
      <c r="N111" s="1">
        <v>0.5</v>
      </c>
      <c r="O111" s="1">
        <v>0.5</v>
      </c>
      <c r="Q111" s="1">
        <v>0.4</v>
      </c>
      <c r="R111" s="1">
        <v>8.4</v>
      </c>
      <c r="V111" s="1">
        <v>1.7290000000000001</v>
      </c>
      <c r="W111" s="1">
        <v>305</v>
      </c>
      <c r="X111" s="1">
        <f t="shared" si="7"/>
        <v>0.7302559996202479</v>
      </c>
      <c r="Y111" s="1">
        <v>3.3000000000000002E-2</v>
      </c>
      <c r="Z111" s="1">
        <v>45</v>
      </c>
      <c r="AD111" s="1">
        <v>940</v>
      </c>
      <c r="AE111" s="1">
        <v>7.45</v>
      </c>
      <c r="AG111" s="1">
        <v>1.7</v>
      </c>
      <c r="AK111" s="1">
        <v>69</v>
      </c>
      <c r="AR111" s="1">
        <v>79.599999999999994</v>
      </c>
      <c r="AT111" s="1">
        <v>8.6020000000000003</v>
      </c>
      <c r="AU111" s="1">
        <v>17.786999999999999</v>
      </c>
      <c r="AV111" s="1">
        <v>47.467550000000003</v>
      </c>
      <c r="AW111" s="1">
        <v>31.290160000000004</v>
      </c>
      <c r="AX111" s="1">
        <v>185.97271999999998</v>
      </c>
      <c r="AY111" s="1">
        <v>2.65</v>
      </c>
    </row>
    <row r="112" spans="4:51" x14ac:dyDescent="0.3">
      <c r="D112" s="2">
        <f t="shared" si="4"/>
        <v>1977</v>
      </c>
      <c r="E112" s="2">
        <f t="shared" si="5"/>
        <v>3</v>
      </c>
      <c r="F112" s="3" t="s">
        <v>175</v>
      </c>
      <c r="G112" s="4">
        <v>28199</v>
      </c>
      <c r="H112" s="1">
        <v>6606238</v>
      </c>
      <c r="I112" s="1">
        <v>661152</v>
      </c>
      <c r="J112" s="5" t="s">
        <v>176</v>
      </c>
      <c r="K112" s="1"/>
      <c r="L112" s="1" t="str">
        <f t="shared" si="6"/>
        <v xml:space="preserve">Oxundaån </v>
      </c>
      <c r="M112" s="1" t="s">
        <v>177</v>
      </c>
      <c r="N112" s="1">
        <v>0.5</v>
      </c>
      <c r="O112" s="1">
        <v>0.5</v>
      </c>
      <c r="Q112" s="1">
        <v>1.2</v>
      </c>
      <c r="R112" s="1">
        <v>7.9</v>
      </c>
      <c r="V112" s="1">
        <v>1.6279999999999999</v>
      </c>
      <c r="W112" s="1">
        <v>181</v>
      </c>
      <c r="X112" s="1">
        <f t="shared" si="7"/>
        <v>0.24911343575056449</v>
      </c>
      <c r="Y112" s="1">
        <v>0.02</v>
      </c>
      <c r="Z112" s="1">
        <v>36</v>
      </c>
      <c r="AD112" s="1">
        <v>2150</v>
      </c>
      <c r="AE112" s="1">
        <v>7.18</v>
      </c>
      <c r="AG112" s="1">
        <v>2.9</v>
      </c>
      <c r="AK112" s="1">
        <v>72</v>
      </c>
      <c r="AR112" s="1">
        <v>83.6</v>
      </c>
      <c r="AT112" s="1">
        <v>8.9148000000000014</v>
      </c>
      <c r="AU112" s="1">
        <v>18.997</v>
      </c>
      <c r="AV112" s="1">
        <v>50.090850000000003</v>
      </c>
      <c r="AW112" s="1">
        <v>34.639400000000002</v>
      </c>
      <c r="AX112" s="1">
        <v>206.09605999999999</v>
      </c>
      <c r="AY112" s="1">
        <v>3.32</v>
      </c>
    </row>
    <row r="113" spans="4:51" x14ac:dyDescent="0.3">
      <c r="D113" s="2">
        <f t="shared" si="4"/>
        <v>1977</v>
      </c>
      <c r="E113" s="2">
        <f t="shared" si="5"/>
        <v>3</v>
      </c>
      <c r="F113" s="3" t="s">
        <v>175</v>
      </c>
      <c r="G113" s="4">
        <v>28206</v>
      </c>
      <c r="H113" s="1">
        <v>6606238</v>
      </c>
      <c r="I113" s="1">
        <v>661152</v>
      </c>
      <c r="J113" s="5" t="s">
        <v>176</v>
      </c>
      <c r="K113" s="1"/>
      <c r="L113" s="1" t="str">
        <f t="shared" si="6"/>
        <v xml:space="preserve">Oxundaån </v>
      </c>
      <c r="M113" s="1" t="s">
        <v>177</v>
      </c>
      <c r="N113" s="1">
        <v>0.5</v>
      </c>
      <c r="O113" s="1">
        <v>0.5</v>
      </c>
      <c r="Q113" s="1">
        <v>1.6</v>
      </c>
      <c r="R113" s="1">
        <v>8.5</v>
      </c>
      <c r="V113" s="1">
        <v>0.45300000000000001</v>
      </c>
      <c r="W113" s="1">
        <v>216</v>
      </c>
      <c r="X113" s="1">
        <f t="shared" si="7"/>
        <v>2.6804221365382661E-2</v>
      </c>
      <c r="Y113" s="1">
        <v>4.4999999999999998E-2</v>
      </c>
      <c r="Z113" s="1">
        <v>22</v>
      </c>
      <c r="AD113" s="1">
        <v>3250</v>
      </c>
      <c r="AE113" s="1">
        <v>6.12</v>
      </c>
      <c r="AG113" s="1">
        <v>23</v>
      </c>
      <c r="AK113" s="1">
        <v>60</v>
      </c>
      <c r="AR113" s="1">
        <v>68.2</v>
      </c>
      <c r="AT113" s="1">
        <v>6.9988999999999999</v>
      </c>
      <c r="AU113" s="1">
        <v>14.8104</v>
      </c>
      <c r="AV113" s="1">
        <v>63.24280000000001</v>
      </c>
      <c r="AW113" s="1">
        <v>24.775200000000002</v>
      </c>
      <c r="AX113" s="1">
        <v>151.98214999999999</v>
      </c>
      <c r="AY113" s="1">
        <v>4.84</v>
      </c>
    </row>
    <row r="114" spans="4:51" x14ac:dyDescent="0.3">
      <c r="D114" s="2">
        <f t="shared" si="4"/>
        <v>1977</v>
      </c>
      <c r="E114" s="2">
        <f t="shared" si="5"/>
        <v>3</v>
      </c>
      <c r="F114" s="3" t="s">
        <v>175</v>
      </c>
      <c r="G114" s="4">
        <v>28213</v>
      </c>
      <c r="H114" s="1">
        <v>6606238</v>
      </c>
      <c r="I114" s="1">
        <v>661152</v>
      </c>
      <c r="J114" s="5" t="s">
        <v>176</v>
      </c>
      <c r="K114" s="1"/>
      <c r="L114" s="1" t="str">
        <f t="shared" si="6"/>
        <v xml:space="preserve">Oxundaån </v>
      </c>
      <c r="M114" s="1" t="s">
        <v>177</v>
      </c>
      <c r="N114" s="1">
        <v>0.5</v>
      </c>
      <c r="O114" s="1">
        <v>0.5</v>
      </c>
      <c r="Q114" s="1">
        <v>2.1</v>
      </c>
      <c r="R114" s="1">
        <v>6.98</v>
      </c>
      <c r="V114" s="1">
        <v>1.1659999999999999</v>
      </c>
      <c r="W114" s="1">
        <v>192</v>
      </c>
      <c r="X114" s="1">
        <f t="shared" si="7"/>
        <v>0.20638900152001674</v>
      </c>
      <c r="Y114" s="1">
        <v>5.3999999999999999E-2</v>
      </c>
      <c r="Z114" s="1">
        <v>24</v>
      </c>
      <c r="AD114" s="1">
        <v>3130</v>
      </c>
      <c r="AE114" s="1">
        <v>7.04</v>
      </c>
      <c r="AG114" s="1">
        <v>17.600000000000001</v>
      </c>
      <c r="AK114" s="1">
        <v>62</v>
      </c>
      <c r="AR114" s="1">
        <v>61.6</v>
      </c>
      <c r="AT114" s="1">
        <v>6.4124000000000008</v>
      </c>
      <c r="AU114" s="1">
        <v>12.8744</v>
      </c>
      <c r="AV114" s="1">
        <v>31.196000000000002</v>
      </c>
      <c r="AW114" s="1">
        <v>21.448900000000002</v>
      </c>
      <c r="AX114" s="1">
        <v>128.96619999999999</v>
      </c>
      <c r="AY114" s="1">
        <v>4.84</v>
      </c>
    </row>
    <row r="115" spans="4:51" x14ac:dyDescent="0.3">
      <c r="D115" s="2">
        <f t="shared" si="4"/>
        <v>1977</v>
      </c>
      <c r="E115" s="2">
        <f t="shared" si="5"/>
        <v>4</v>
      </c>
      <c r="F115" s="3" t="s">
        <v>178</v>
      </c>
      <c r="G115" s="4">
        <v>28221</v>
      </c>
      <c r="H115" s="1">
        <v>6606238</v>
      </c>
      <c r="I115" s="1">
        <v>661152</v>
      </c>
      <c r="J115" s="5" t="s">
        <v>176</v>
      </c>
      <c r="K115" s="1"/>
      <c r="L115" s="1" t="str">
        <f t="shared" si="6"/>
        <v xml:space="preserve">Oxundaån </v>
      </c>
      <c r="M115" s="1" t="s">
        <v>177</v>
      </c>
      <c r="N115" s="1">
        <v>0.5</v>
      </c>
      <c r="O115" s="1">
        <v>0.5</v>
      </c>
      <c r="Q115" s="1">
        <v>2.8</v>
      </c>
      <c r="R115" s="1">
        <v>8.9499999999999993</v>
      </c>
      <c r="V115" s="1">
        <v>0.86399999999999999</v>
      </c>
      <c r="W115" s="1">
        <v>163</v>
      </c>
      <c r="X115" s="1">
        <f t="shared" si="7"/>
        <v>0.12270768790782344</v>
      </c>
      <c r="Y115" s="1">
        <v>0.104</v>
      </c>
      <c r="Z115" s="1">
        <v>10</v>
      </c>
      <c r="AD115" s="1">
        <v>3500</v>
      </c>
      <c r="AE115" s="1">
        <v>6.86</v>
      </c>
      <c r="AG115" s="1">
        <v>11.2</v>
      </c>
      <c r="AK115" s="1">
        <v>54</v>
      </c>
      <c r="AR115" s="1">
        <v>62.199999999999996</v>
      </c>
      <c r="AT115" s="1">
        <v>6.2169000000000008</v>
      </c>
      <c r="AU115" s="1">
        <v>13.890799999999999</v>
      </c>
      <c r="AV115" s="1">
        <v>29.636200000000002</v>
      </c>
      <c r="AW115" s="1">
        <v>20.531300000000002</v>
      </c>
      <c r="AX115" s="1">
        <v>164.90759999999997</v>
      </c>
      <c r="AY115" s="1">
        <v>6</v>
      </c>
    </row>
    <row r="116" spans="4:51" x14ac:dyDescent="0.3">
      <c r="D116" s="2">
        <f t="shared" si="4"/>
        <v>1977</v>
      </c>
      <c r="E116" s="2">
        <f t="shared" si="5"/>
        <v>4</v>
      </c>
      <c r="F116" s="3" t="s">
        <v>178</v>
      </c>
      <c r="G116" s="4">
        <v>28229</v>
      </c>
      <c r="H116" s="1">
        <v>6606238</v>
      </c>
      <c r="I116" s="1">
        <v>661152</v>
      </c>
      <c r="J116" s="5" t="s">
        <v>176</v>
      </c>
      <c r="K116" s="1"/>
      <c r="L116" s="1" t="str">
        <f t="shared" si="6"/>
        <v xml:space="preserve">Oxundaån </v>
      </c>
      <c r="M116" s="1" t="s">
        <v>177</v>
      </c>
      <c r="N116" s="1">
        <v>0.5</v>
      </c>
      <c r="O116" s="1">
        <v>0.5</v>
      </c>
      <c r="Q116" s="1">
        <v>3.6</v>
      </c>
      <c r="R116" s="1">
        <v>11.1</v>
      </c>
      <c r="V116" s="1">
        <v>0.98299999999999998</v>
      </c>
      <c r="W116" s="1">
        <v>165</v>
      </c>
      <c r="X116" s="1">
        <f t="shared" si="7"/>
        <v>0.1916846978160642</v>
      </c>
      <c r="Y116" s="1">
        <v>4.5999999999999999E-2</v>
      </c>
      <c r="Z116" s="1">
        <v>7</v>
      </c>
      <c r="AD116" s="1">
        <v>4000</v>
      </c>
      <c r="AE116" s="1">
        <v>7.02</v>
      </c>
      <c r="AG116" s="1">
        <v>8</v>
      </c>
      <c r="AK116" s="1">
        <v>47</v>
      </c>
      <c r="AR116" s="1">
        <v>62.400000000000006</v>
      </c>
      <c r="AT116" s="1">
        <v>5.8650000000000002</v>
      </c>
      <c r="AU116" s="1">
        <v>13.068</v>
      </c>
      <c r="AV116" s="1">
        <v>28.430900000000005</v>
      </c>
      <c r="AW116" s="1">
        <v>19.269600000000001</v>
      </c>
      <c r="AX116" s="1">
        <v>146.21615</v>
      </c>
      <c r="AY116" s="1">
        <v>5.52</v>
      </c>
    </row>
    <row r="117" spans="4:51" x14ac:dyDescent="0.3">
      <c r="D117" s="2">
        <f t="shared" si="4"/>
        <v>1977</v>
      </c>
      <c r="E117" s="2">
        <f t="shared" si="5"/>
        <v>4</v>
      </c>
      <c r="F117" s="3" t="s">
        <v>178</v>
      </c>
      <c r="G117" s="4">
        <v>28236</v>
      </c>
      <c r="H117" s="1">
        <v>6606238</v>
      </c>
      <c r="I117" s="1">
        <v>661152</v>
      </c>
      <c r="J117" s="5" t="s">
        <v>176</v>
      </c>
      <c r="K117" s="1"/>
      <c r="L117" s="1" t="str">
        <f t="shared" si="6"/>
        <v xml:space="preserve">Oxundaån </v>
      </c>
      <c r="M117" s="1" t="s">
        <v>177</v>
      </c>
      <c r="N117" s="1">
        <v>0.5</v>
      </c>
      <c r="O117" s="1">
        <v>0.5</v>
      </c>
      <c r="Q117" s="1">
        <v>4.7</v>
      </c>
      <c r="R117" s="1">
        <v>12.03</v>
      </c>
      <c r="V117" s="1">
        <v>1.119</v>
      </c>
      <c r="W117" s="1">
        <v>134</v>
      </c>
      <c r="X117" s="1">
        <f t="shared" si="7"/>
        <v>0.22962564192013368</v>
      </c>
      <c r="Y117" s="1">
        <v>4.5999999999999999E-2</v>
      </c>
      <c r="Z117" s="1">
        <v>5</v>
      </c>
      <c r="AD117" s="1">
        <v>2730</v>
      </c>
      <c r="AE117" s="1">
        <v>7.15</v>
      </c>
      <c r="AG117" s="1">
        <v>13.3</v>
      </c>
      <c r="AK117" s="1">
        <v>42</v>
      </c>
      <c r="AR117" s="1">
        <v>62.199999999999996</v>
      </c>
      <c r="AT117" s="1">
        <v>5.4740000000000011</v>
      </c>
      <c r="AU117" s="1">
        <v>14.035999999999998</v>
      </c>
      <c r="AV117" s="1">
        <v>27.899150000000002</v>
      </c>
      <c r="AW117" s="1">
        <v>20.3019</v>
      </c>
      <c r="AX117" s="1">
        <v>143.81365</v>
      </c>
      <c r="AY117" s="1">
        <v>5</v>
      </c>
    </row>
    <row r="118" spans="4:51" x14ac:dyDescent="0.3">
      <c r="D118" s="2">
        <f t="shared" si="4"/>
        <v>1977</v>
      </c>
      <c r="E118" s="2">
        <f t="shared" si="5"/>
        <v>4</v>
      </c>
      <c r="F118" s="3" t="s">
        <v>178</v>
      </c>
      <c r="G118" s="4">
        <v>28243</v>
      </c>
      <c r="H118" s="1">
        <v>6606238</v>
      </c>
      <c r="I118" s="1">
        <v>661152</v>
      </c>
      <c r="J118" s="5" t="s">
        <v>176</v>
      </c>
      <c r="K118" s="1"/>
      <c r="L118" s="1" t="str">
        <f t="shared" si="6"/>
        <v xml:space="preserve">Oxundaån </v>
      </c>
      <c r="M118" s="1" t="s">
        <v>177</v>
      </c>
      <c r="N118" s="1">
        <v>0.5</v>
      </c>
      <c r="O118" s="1">
        <v>0.5</v>
      </c>
      <c r="Q118" s="1">
        <v>6.2</v>
      </c>
      <c r="R118" s="1">
        <v>10.91</v>
      </c>
      <c r="V118" s="1">
        <v>1.1140000000000001</v>
      </c>
      <c r="W118" s="1">
        <v>116</v>
      </c>
      <c r="X118" s="1">
        <f t="shared" si="7"/>
        <v>0.45725699588726115</v>
      </c>
      <c r="Y118" s="1">
        <v>5.1999999999999998E-2</v>
      </c>
      <c r="Z118" s="1">
        <v>11</v>
      </c>
      <c r="AD118" s="1">
        <v>2050</v>
      </c>
      <c r="AE118" s="1">
        <v>7.46</v>
      </c>
      <c r="AG118" s="1">
        <v>7.6</v>
      </c>
      <c r="AK118" s="1">
        <v>56</v>
      </c>
      <c r="AR118" s="1">
        <v>66.47999999999999</v>
      </c>
      <c r="AT118" s="1">
        <v>6.2169000000000008</v>
      </c>
      <c r="AU118" s="1">
        <v>14.277999999999999</v>
      </c>
      <c r="AV118" s="1">
        <v>32.968500000000006</v>
      </c>
      <c r="AW118" s="1">
        <v>23.972300000000001</v>
      </c>
      <c r="AX118" s="1">
        <v>167.64644999999999</v>
      </c>
      <c r="AY118" s="1">
        <v>4.5</v>
      </c>
    </row>
    <row r="119" spans="4:51" x14ac:dyDescent="0.3">
      <c r="D119" s="2">
        <f t="shared" si="4"/>
        <v>1977</v>
      </c>
      <c r="E119" s="2">
        <f t="shared" si="5"/>
        <v>5</v>
      </c>
      <c r="F119" s="3" t="s">
        <v>178</v>
      </c>
      <c r="G119" s="4">
        <v>28250</v>
      </c>
      <c r="H119" s="1">
        <v>6606238</v>
      </c>
      <c r="I119" s="1">
        <v>661152</v>
      </c>
      <c r="J119" s="5" t="s">
        <v>176</v>
      </c>
      <c r="K119" s="1"/>
      <c r="L119" s="1" t="str">
        <f t="shared" si="6"/>
        <v xml:space="preserve">Oxundaån </v>
      </c>
      <c r="M119" s="1" t="s">
        <v>177</v>
      </c>
      <c r="N119" s="1">
        <v>0.5</v>
      </c>
      <c r="O119" s="1">
        <v>0.5</v>
      </c>
      <c r="Q119" s="1">
        <v>11.1</v>
      </c>
      <c r="R119" s="1">
        <v>12.7</v>
      </c>
      <c r="V119" s="1">
        <v>1.212</v>
      </c>
      <c r="W119" s="1">
        <v>34</v>
      </c>
      <c r="X119" s="1">
        <f t="shared" si="7"/>
        <v>0.7051074831011418</v>
      </c>
      <c r="Y119" s="1">
        <v>3.5999999999999997E-2</v>
      </c>
      <c r="Z119" s="1">
        <v>6</v>
      </c>
      <c r="AD119" s="1">
        <v>1800</v>
      </c>
      <c r="AE119" s="1">
        <v>8.02</v>
      </c>
      <c r="AG119" s="1">
        <v>9</v>
      </c>
      <c r="AK119" s="1">
        <v>54</v>
      </c>
      <c r="AR119" s="1">
        <v>70.199999999999989</v>
      </c>
      <c r="AT119" s="1">
        <v>6.0605000000000002</v>
      </c>
      <c r="AU119" s="1">
        <v>14.979799999999999</v>
      </c>
      <c r="AV119" s="1">
        <v>33.783850000000001</v>
      </c>
      <c r="AW119" s="1">
        <v>24.362280000000002</v>
      </c>
      <c r="AX119" s="1">
        <v>160.39089999999999</v>
      </c>
      <c r="AY119" s="1">
        <v>3.6</v>
      </c>
    </row>
    <row r="120" spans="4:51" x14ac:dyDescent="0.3">
      <c r="D120" s="2">
        <f t="shared" si="4"/>
        <v>1977</v>
      </c>
      <c r="E120" s="2">
        <f t="shared" si="5"/>
        <v>5</v>
      </c>
      <c r="F120" s="3" t="s">
        <v>178</v>
      </c>
      <c r="G120" s="4">
        <v>28257</v>
      </c>
      <c r="H120" s="1">
        <v>6606238</v>
      </c>
      <c r="I120" s="1">
        <v>661152</v>
      </c>
      <c r="J120" s="5" t="s">
        <v>176</v>
      </c>
      <c r="K120" s="1"/>
      <c r="L120" s="1" t="str">
        <f t="shared" si="6"/>
        <v xml:space="preserve">Oxundaån </v>
      </c>
      <c r="M120" s="1" t="s">
        <v>177</v>
      </c>
      <c r="N120" s="1">
        <v>0.5</v>
      </c>
      <c r="O120" s="1">
        <v>0.5</v>
      </c>
      <c r="Q120" s="1">
        <v>11.6</v>
      </c>
      <c r="R120" s="1">
        <v>13.1</v>
      </c>
      <c r="V120" s="1">
        <v>1.329</v>
      </c>
      <c r="W120" s="1">
        <v>36</v>
      </c>
      <c r="X120" s="1">
        <f t="shared" si="7"/>
        <v>3.8854662294763131</v>
      </c>
      <c r="Y120" s="1">
        <v>4.3999999999999997E-2</v>
      </c>
      <c r="Z120" s="1">
        <v>11</v>
      </c>
      <c r="AD120" s="1">
        <v>1440</v>
      </c>
      <c r="AE120" s="1">
        <v>8.76</v>
      </c>
      <c r="AG120" s="1">
        <v>10.199999999999999</v>
      </c>
      <c r="AK120" s="1">
        <v>36</v>
      </c>
      <c r="AR120" s="1">
        <v>68.600000000000009</v>
      </c>
      <c r="AT120" s="1">
        <v>7.3508000000000004</v>
      </c>
      <c r="AU120" s="1">
        <v>15.488</v>
      </c>
      <c r="AV120" s="1">
        <v>33.110300000000002</v>
      </c>
      <c r="AW120" s="1">
        <v>24.178760000000004</v>
      </c>
      <c r="AX120" s="1">
        <v>163.067285</v>
      </c>
      <c r="AY120" s="1">
        <v>2.2999999999999998</v>
      </c>
    </row>
    <row r="121" spans="4:51" x14ac:dyDescent="0.3">
      <c r="D121" s="2">
        <f t="shared" si="4"/>
        <v>1977</v>
      </c>
      <c r="E121" s="2">
        <f t="shared" si="5"/>
        <v>6</v>
      </c>
      <c r="F121" s="3"/>
      <c r="G121" s="4">
        <v>28291</v>
      </c>
      <c r="H121" s="1">
        <v>6606238</v>
      </c>
      <c r="I121" s="1">
        <v>661152</v>
      </c>
      <c r="J121" s="5" t="s">
        <v>176</v>
      </c>
      <c r="K121" s="1"/>
      <c r="L121" s="1" t="str">
        <f t="shared" si="6"/>
        <v xml:space="preserve">Oxundaån </v>
      </c>
      <c r="M121" s="1" t="s">
        <v>177</v>
      </c>
      <c r="N121" s="1">
        <v>0.5</v>
      </c>
      <c r="O121" s="1">
        <v>0.5</v>
      </c>
      <c r="Q121" s="1">
        <v>22</v>
      </c>
      <c r="R121" s="1">
        <v>8.1999999999999993</v>
      </c>
      <c r="V121" s="1">
        <v>1.58</v>
      </c>
      <c r="W121" s="1">
        <v>43</v>
      </c>
      <c r="X121" s="1">
        <f t="shared" si="7"/>
        <v>1.4110197265843341</v>
      </c>
      <c r="Y121" s="1">
        <v>6.6000000000000003E-2</v>
      </c>
      <c r="Z121" s="1">
        <v>11</v>
      </c>
      <c r="AD121" s="1">
        <v>600</v>
      </c>
      <c r="AE121" s="1">
        <v>7.87</v>
      </c>
      <c r="AG121" s="1">
        <v>3.5</v>
      </c>
      <c r="AK121" s="1">
        <v>51</v>
      </c>
      <c r="AR121" s="1">
        <v>70.199999999999989</v>
      </c>
      <c r="AT121" s="1">
        <v>7.3898999999999999</v>
      </c>
      <c r="AU121" s="1">
        <v>15.73</v>
      </c>
      <c r="AV121" s="1">
        <v>34.067450000000001</v>
      </c>
      <c r="AW121" s="1">
        <v>25.601040000000005</v>
      </c>
      <c r="AX121" s="1">
        <v>157.82983499999997</v>
      </c>
      <c r="AY121" s="1">
        <v>0.7</v>
      </c>
    </row>
    <row r="122" spans="4:51" x14ac:dyDescent="0.3">
      <c r="D122" s="2">
        <f t="shared" si="4"/>
        <v>1977</v>
      </c>
      <c r="E122" s="2">
        <f t="shared" si="5"/>
        <v>7</v>
      </c>
      <c r="F122" s="3" t="s">
        <v>179</v>
      </c>
      <c r="G122" s="4">
        <v>28320</v>
      </c>
      <c r="H122" s="1">
        <v>6606238</v>
      </c>
      <c r="I122" s="1">
        <v>661152</v>
      </c>
      <c r="J122" s="5" t="s">
        <v>176</v>
      </c>
      <c r="K122" s="1"/>
      <c r="L122" s="1" t="str">
        <f t="shared" si="6"/>
        <v xml:space="preserve">Oxundaån </v>
      </c>
      <c r="M122" s="1" t="s">
        <v>177</v>
      </c>
      <c r="N122" s="1">
        <v>0.5</v>
      </c>
      <c r="O122" s="1">
        <v>0.5</v>
      </c>
      <c r="Q122" s="1">
        <v>17.399999999999999</v>
      </c>
      <c r="R122" s="1">
        <v>8.6999999999999993</v>
      </c>
      <c r="V122" s="1">
        <v>1.722</v>
      </c>
      <c r="W122" s="1">
        <v>60</v>
      </c>
      <c r="X122" s="1">
        <f t="shared" si="7"/>
        <v>5.2759239113096426</v>
      </c>
      <c r="Y122" s="1">
        <v>3.5999999999999997E-2</v>
      </c>
      <c r="Z122" s="1">
        <v>13</v>
      </c>
      <c r="AD122" s="1">
        <v>600</v>
      </c>
      <c r="AE122" s="1">
        <v>8.4700000000000006</v>
      </c>
      <c r="AG122" s="1">
        <v>12.1</v>
      </c>
      <c r="AK122" s="1">
        <v>65</v>
      </c>
      <c r="AR122" s="1">
        <v>69.599999999999994</v>
      </c>
      <c r="AT122" s="1">
        <v>7.1162000000000001</v>
      </c>
      <c r="AU122" s="1">
        <v>14.3264</v>
      </c>
      <c r="AV122" s="1">
        <v>33.925650000000005</v>
      </c>
      <c r="AW122" s="1">
        <v>25.165179999999999</v>
      </c>
      <c r="AX122" s="1">
        <v>142.26163499999998</v>
      </c>
      <c r="AY122" s="1">
        <v>0.5</v>
      </c>
    </row>
    <row r="123" spans="4:51" x14ac:dyDescent="0.3">
      <c r="D123" s="2">
        <f t="shared" si="4"/>
        <v>1977</v>
      </c>
      <c r="E123" s="2">
        <f t="shared" si="5"/>
        <v>8</v>
      </c>
      <c r="F123" s="3" t="s">
        <v>179</v>
      </c>
      <c r="G123" s="4">
        <v>28352</v>
      </c>
      <c r="H123" s="1">
        <v>6606238</v>
      </c>
      <c r="I123" s="1">
        <v>661152</v>
      </c>
      <c r="J123" s="5" t="s">
        <v>176</v>
      </c>
      <c r="K123" s="1"/>
      <c r="L123" s="1" t="str">
        <f t="shared" si="6"/>
        <v xml:space="preserve">Oxundaån </v>
      </c>
      <c r="M123" s="1" t="s">
        <v>177</v>
      </c>
      <c r="N123" s="1">
        <v>0.5</v>
      </c>
      <c r="O123" s="1">
        <v>0.5</v>
      </c>
      <c r="Q123" s="1">
        <v>18.100000000000001</v>
      </c>
      <c r="R123" s="1">
        <v>5.3</v>
      </c>
      <c r="V123" s="1">
        <v>1.677</v>
      </c>
      <c r="W123" s="1">
        <v>108</v>
      </c>
      <c r="X123" s="1">
        <f t="shared" si="7"/>
        <v>1.21676052628895</v>
      </c>
      <c r="Y123" s="1">
        <v>3.6999999999999998E-2</v>
      </c>
      <c r="Z123" s="1">
        <v>36</v>
      </c>
      <c r="AD123" s="1">
        <v>70</v>
      </c>
      <c r="AE123" s="1">
        <v>7.52</v>
      </c>
      <c r="AG123" s="1">
        <v>10.1</v>
      </c>
      <c r="AK123" s="1">
        <v>100</v>
      </c>
      <c r="AR123" s="1">
        <v>65.8</v>
      </c>
      <c r="AT123" s="1">
        <v>6.4515000000000002</v>
      </c>
      <c r="AU123" s="1">
        <v>14.979799999999999</v>
      </c>
      <c r="AV123" s="1">
        <v>33.642049999999998</v>
      </c>
      <c r="AW123" s="1">
        <v>27.71152</v>
      </c>
      <c r="AX123" s="1">
        <v>157.54633999999999</v>
      </c>
      <c r="AY123" s="1">
        <v>1.4</v>
      </c>
    </row>
    <row r="124" spans="4:51" x14ac:dyDescent="0.3">
      <c r="D124" s="2">
        <f t="shared" si="4"/>
        <v>1977</v>
      </c>
      <c r="E124" s="2">
        <f t="shared" si="5"/>
        <v>9</v>
      </c>
      <c r="F124" s="3"/>
      <c r="G124" s="4">
        <v>28383</v>
      </c>
      <c r="H124" s="1">
        <v>6606238</v>
      </c>
      <c r="I124" s="1">
        <v>661152</v>
      </c>
      <c r="J124" s="5" t="s">
        <v>176</v>
      </c>
      <c r="K124" s="1"/>
      <c r="L124" s="1" t="str">
        <f t="shared" si="6"/>
        <v xml:space="preserve">Oxundaån </v>
      </c>
      <c r="M124" s="1" t="s">
        <v>177</v>
      </c>
      <c r="N124" s="1">
        <v>0.5</v>
      </c>
      <c r="O124" s="1">
        <v>0.5</v>
      </c>
      <c r="Q124" s="1">
        <v>12</v>
      </c>
      <c r="R124" s="1">
        <v>9</v>
      </c>
      <c r="V124" s="1">
        <v>1.75</v>
      </c>
      <c r="W124" s="1">
        <v>14</v>
      </c>
      <c r="X124" s="1">
        <f t="shared" si="7"/>
        <v>0.31086091495010093</v>
      </c>
      <c r="Y124" s="1">
        <v>4.9000000000000002E-2</v>
      </c>
      <c r="Z124" s="1">
        <v>23</v>
      </c>
      <c r="AD124" s="1">
        <v>19</v>
      </c>
      <c r="AE124" s="1">
        <v>8.02</v>
      </c>
      <c r="AG124" s="1">
        <v>8.8000000000000007</v>
      </c>
      <c r="AK124" s="1">
        <v>89</v>
      </c>
      <c r="AR124" s="1">
        <v>66.34</v>
      </c>
      <c r="AT124" s="1">
        <v>6.8815999999999997</v>
      </c>
      <c r="AU124" s="1">
        <v>15.1492</v>
      </c>
      <c r="AV124" s="1">
        <v>34.209250000000004</v>
      </c>
      <c r="AW124" s="1">
        <v>24.866960000000002</v>
      </c>
      <c r="AX124" s="1">
        <v>149.19524999999999</v>
      </c>
      <c r="AY124" s="1">
        <v>1.9</v>
      </c>
    </row>
    <row r="125" spans="4:51" x14ac:dyDescent="0.3">
      <c r="D125" s="2">
        <f t="shared" si="4"/>
        <v>1977</v>
      </c>
      <c r="E125" s="2">
        <f t="shared" si="5"/>
        <v>10</v>
      </c>
      <c r="F125" s="3" t="s">
        <v>180</v>
      </c>
      <c r="G125" s="4">
        <v>28415</v>
      </c>
      <c r="H125" s="1">
        <v>6606238</v>
      </c>
      <c r="I125" s="1">
        <v>661152</v>
      </c>
      <c r="J125" s="5" t="s">
        <v>176</v>
      </c>
      <c r="K125" s="1"/>
      <c r="L125" s="1" t="str">
        <f t="shared" si="6"/>
        <v xml:space="preserve">Oxundaån </v>
      </c>
      <c r="M125" s="1" t="s">
        <v>177</v>
      </c>
      <c r="N125" s="1">
        <v>0.5</v>
      </c>
      <c r="O125" s="1">
        <v>0.5</v>
      </c>
      <c r="Q125" s="1">
        <v>9.1999999999999993</v>
      </c>
      <c r="R125" s="1">
        <v>8.6</v>
      </c>
      <c r="V125" s="1">
        <v>1.7589999999999999</v>
      </c>
      <c r="W125" s="1">
        <v>146</v>
      </c>
      <c r="X125" s="1">
        <f t="shared" si="7"/>
        <v>1.3232722241734978</v>
      </c>
      <c r="Y125" s="1">
        <v>5.8999999999999997E-2</v>
      </c>
      <c r="Z125" s="1">
        <v>19</v>
      </c>
      <c r="AD125" s="1">
        <v>140</v>
      </c>
      <c r="AE125" s="1">
        <v>7.72</v>
      </c>
      <c r="AG125" s="1">
        <v>6.1</v>
      </c>
      <c r="AK125" s="1">
        <v>50</v>
      </c>
      <c r="AR125" s="1">
        <v>69.2</v>
      </c>
      <c r="AT125" s="1">
        <v>6.7252000000000001</v>
      </c>
      <c r="AU125" s="1">
        <v>13.769799999999998</v>
      </c>
      <c r="AV125" s="1">
        <v>34.91825</v>
      </c>
      <c r="AW125" s="1">
        <v>24.660499999999999</v>
      </c>
      <c r="AX125" s="1">
        <v>155.215915</v>
      </c>
      <c r="AY125" s="1">
        <v>2.2999999999999998</v>
      </c>
    </row>
    <row r="126" spans="4:51" x14ac:dyDescent="0.3">
      <c r="D126" s="2">
        <f t="shared" si="4"/>
        <v>1977</v>
      </c>
      <c r="E126" s="2">
        <f t="shared" si="5"/>
        <v>11</v>
      </c>
      <c r="F126" s="3" t="s">
        <v>180</v>
      </c>
      <c r="G126" s="4">
        <v>28444</v>
      </c>
      <c r="H126" s="1">
        <v>6606238</v>
      </c>
      <c r="I126" s="1">
        <v>661152</v>
      </c>
      <c r="J126" s="5" t="s">
        <v>176</v>
      </c>
      <c r="K126" s="1"/>
      <c r="L126" s="1" t="str">
        <f t="shared" si="6"/>
        <v xml:space="preserve">Oxundaån </v>
      </c>
      <c r="M126" s="1" t="s">
        <v>177</v>
      </c>
      <c r="N126" s="1">
        <v>0.5</v>
      </c>
      <c r="O126" s="1">
        <v>0.5</v>
      </c>
      <c r="Q126" s="1">
        <v>4.9000000000000004</v>
      </c>
      <c r="R126" s="1">
        <v>10.8</v>
      </c>
      <c r="V126" s="1">
        <v>1.675</v>
      </c>
      <c r="W126" s="1">
        <v>154</v>
      </c>
      <c r="X126" s="1">
        <f t="shared" si="7"/>
        <v>0.99184136606158668</v>
      </c>
      <c r="Y126" s="1">
        <v>3.6999999999999998E-2</v>
      </c>
      <c r="Z126" s="1">
        <v>29</v>
      </c>
      <c r="AD126" s="1">
        <v>360</v>
      </c>
      <c r="AE126" s="1">
        <v>7.72</v>
      </c>
      <c r="AG126" s="1">
        <v>5.4</v>
      </c>
      <c r="AK126" s="1">
        <v>78</v>
      </c>
      <c r="AR126" s="1">
        <v>70.8</v>
      </c>
      <c r="AT126" s="1">
        <v>6.8815999999999997</v>
      </c>
      <c r="AU126" s="1">
        <v>15.0282</v>
      </c>
      <c r="AV126" s="1">
        <v>34.032000000000004</v>
      </c>
      <c r="AW126" s="1">
        <v>24.912840000000003</v>
      </c>
      <c r="AX126" s="1">
        <v>163.192215</v>
      </c>
      <c r="AY126" s="1">
        <v>2.8</v>
      </c>
    </row>
    <row r="127" spans="4:51" x14ac:dyDescent="0.3">
      <c r="D127" s="2">
        <f t="shared" si="4"/>
        <v>1977</v>
      </c>
      <c r="E127" s="2">
        <f t="shared" si="5"/>
        <v>12</v>
      </c>
      <c r="F127" s="3" t="s">
        <v>175</v>
      </c>
      <c r="G127" s="4">
        <v>28474</v>
      </c>
      <c r="H127" s="1">
        <v>6606238</v>
      </c>
      <c r="I127" s="1">
        <v>661152</v>
      </c>
      <c r="J127" s="5" t="s">
        <v>176</v>
      </c>
      <c r="K127" s="1"/>
      <c r="L127" s="1" t="str">
        <f t="shared" si="6"/>
        <v xml:space="preserve">Oxundaån </v>
      </c>
      <c r="M127" s="1" t="s">
        <v>177</v>
      </c>
      <c r="N127" s="1">
        <v>0.5</v>
      </c>
      <c r="O127" s="1">
        <v>0.5</v>
      </c>
      <c r="Q127" s="1">
        <v>0.8</v>
      </c>
      <c r="R127" s="1">
        <v>10.3</v>
      </c>
      <c r="V127" s="1">
        <v>1.7989999999999999</v>
      </c>
      <c r="W127" s="1">
        <v>144</v>
      </c>
      <c r="X127" s="1">
        <f t="shared" si="7"/>
        <v>0.60439882874802753</v>
      </c>
      <c r="Z127" s="1">
        <v>25</v>
      </c>
      <c r="AD127" s="1">
        <v>620</v>
      </c>
      <c r="AE127" s="1">
        <v>7.68</v>
      </c>
      <c r="AG127" s="1">
        <v>1.8</v>
      </c>
      <c r="AK127" s="1">
        <v>41</v>
      </c>
      <c r="AR127" s="1">
        <v>71.399999999999991</v>
      </c>
      <c r="AT127" s="1">
        <v>7.5854000000000008</v>
      </c>
      <c r="AU127" s="1">
        <v>15.125</v>
      </c>
      <c r="AV127" s="1">
        <v>34.528300000000002</v>
      </c>
      <c r="AW127" s="1">
        <v>24.591680000000004</v>
      </c>
      <c r="AX127" s="1">
        <v>151.40554999999998</v>
      </c>
      <c r="AY127" s="1">
        <v>3.25</v>
      </c>
    </row>
    <row r="128" spans="4:51" x14ac:dyDescent="0.3">
      <c r="D128" s="2">
        <f t="shared" si="4"/>
        <v>1978</v>
      </c>
      <c r="E128" s="2">
        <f t="shared" si="5"/>
        <v>1</v>
      </c>
      <c r="F128" s="3" t="s">
        <v>175</v>
      </c>
      <c r="G128" s="4">
        <v>28506</v>
      </c>
      <c r="H128" s="1">
        <v>6606238</v>
      </c>
      <c r="I128" s="1">
        <v>661152</v>
      </c>
      <c r="J128" s="5" t="s">
        <v>176</v>
      </c>
      <c r="K128" s="1"/>
      <c r="L128" s="1" t="str">
        <f t="shared" si="6"/>
        <v xml:space="preserve">Oxundaån </v>
      </c>
      <c r="M128" s="1" t="s">
        <v>177</v>
      </c>
      <c r="N128" s="1">
        <v>0.5</v>
      </c>
      <c r="O128" s="1">
        <v>0.5</v>
      </c>
      <c r="Q128" s="1">
        <v>0.8</v>
      </c>
      <c r="R128" s="1">
        <v>10.46</v>
      </c>
      <c r="V128" s="1">
        <v>1.7969999999999999</v>
      </c>
      <c r="W128" s="1">
        <v>136</v>
      </c>
      <c r="X128" s="1">
        <f t="shared" si="7"/>
        <v>0.22264611714720622</v>
      </c>
      <c r="Y128" s="1">
        <v>4.2000000000000003E-2</v>
      </c>
      <c r="Z128" s="1">
        <v>17</v>
      </c>
      <c r="AD128" s="1">
        <v>1180</v>
      </c>
      <c r="AE128" s="1">
        <v>7.27</v>
      </c>
      <c r="AG128" s="1">
        <v>3.8</v>
      </c>
      <c r="AK128" s="1">
        <v>41</v>
      </c>
      <c r="AR128" s="1">
        <v>74.599999999999994</v>
      </c>
      <c r="AT128" s="1">
        <v>7.3117000000000001</v>
      </c>
      <c r="AU128" s="1">
        <v>15.488</v>
      </c>
      <c r="AV128" s="1">
        <v>34.741</v>
      </c>
      <c r="AW128" s="1">
        <v>25.417520000000003</v>
      </c>
      <c r="AX128" s="1">
        <v>152.89509999999999</v>
      </c>
      <c r="AY128" s="1">
        <v>4.5</v>
      </c>
    </row>
    <row r="129" spans="4:51" x14ac:dyDescent="0.3">
      <c r="D129" s="2">
        <f t="shared" si="4"/>
        <v>1978</v>
      </c>
      <c r="E129" s="2">
        <f t="shared" si="5"/>
        <v>2</v>
      </c>
      <c r="F129" s="3" t="s">
        <v>175</v>
      </c>
      <c r="G129" s="4">
        <v>28536</v>
      </c>
      <c r="H129" s="1">
        <v>6606238</v>
      </c>
      <c r="I129" s="1">
        <v>661152</v>
      </c>
      <c r="J129" s="5" t="s">
        <v>176</v>
      </c>
      <c r="K129" s="1"/>
      <c r="L129" s="1" t="str">
        <f t="shared" si="6"/>
        <v xml:space="preserve">Oxundaån </v>
      </c>
      <c r="M129" s="1" t="s">
        <v>177</v>
      </c>
      <c r="N129" s="1">
        <v>0.5</v>
      </c>
      <c r="O129" s="1">
        <v>0.5</v>
      </c>
      <c r="Q129" s="1">
        <v>1.3</v>
      </c>
      <c r="R129" s="1">
        <v>9.2899999999999991</v>
      </c>
      <c r="V129" s="1">
        <v>1.877</v>
      </c>
      <c r="W129" s="1">
        <v>79</v>
      </c>
      <c r="X129" s="1">
        <f t="shared" si="7"/>
        <v>0.14782775876917903</v>
      </c>
      <c r="Y129" s="1">
        <v>5.5E-2</v>
      </c>
      <c r="Z129" s="1">
        <v>17</v>
      </c>
      <c r="AD129" s="1">
        <v>925</v>
      </c>
      <c r="AE129" s="1">
        <v>7.31</v>
      </c>
      <c r="AG129" s="1">
        <v>1</v>
      </c>
      <c r="AK129" s="1">
        <v>39</v>
      </c>
      <c r="AR129" s="1">
        <v>74.52</v>
      </c>
      <c r="AT129" s="1">
        <v>7.2335000000000003</v>
      </c>
      <c r="AU129" s="1">
        <v>16.020399999999999</v>
      </c>
      <c r="AV129" s="1">
        <v>35.414550000000006</v>
      </c>
      <c r="AW129" s="1">
        <v>23.857600000000001</v>
      </c>
      <c r="AX129" s="1">
        <v>156.54689999999999</v>
      </c>
      <c r="AY129" s="1">
        <v>4.4000000000000004</v>
      </c>
    </row>
    <row r="130" spans="4:51" x14ac:dyDescent="0.3">
      <c r="D130" s="2">
        <f t="shared" ref="D130:D193" si="8">YEAR(G130)</f>
        <v>1978</v>
      </c>
      <c r="E130" s="2">
        <f t="shared" ref="E130:E193" si="9">MONTH(G130)</f>
        <v>3</v>
      </c>
      <c r="F130" s="3" t="s">
        <v>175</v>
      </c>
      <c r="G130" s="4">
        <v>28563</v>
      </c>
      <c r="H130" s="1">
        <v>6606238</v>
      </c>
      <c r="I130" s="1">
        <v>661152</v>
      </c>
      <c r="J130" s="5" t="s">
        <v>176</v>
      </c>
      <c r="K130" s="1"/>
      <c r="L130" s="1" t="str">
        <f t="shared" ref="L130:L193" si="10">CONCATENATE(J130," ",K130)</f>
        <v xml:space="preserve">Oxundaån </v>
      </c>
      <c r="M130" s="1" t="s">
        <v>177</v>
      </c>
      <c r="N130" s="1">
        <v>0.5</v>
      </c>
      <c r="O130" s="1">
        <v>0.5</v>
      </c>
      <c r="Q130" s="1">
        <v>1.4</v>
      </c>
      <c r="R130" s="1">
        <v>6.99</v>
      </c>
      <c r="V130" s="1">
        <v>2.0230000000000001</v>
      </c>
      <c r="W130" s="1">
        <v>75</v>
      </c>
      <c r="X130" s="1">
        <f t="shared" ref="X130:X193" si="11">W130 * (1/((10^((0.0901821 + (2729.92 /(273.15 + Q130)))-AE130)+1)))</f>
        <v>0.12048371083483582</v>
      </c>
      <c r="Y130" s="1">
        <v>2.1999999999999999E-2</v>
      </c>
      <c r="Z130" s="1">
        <v>32</v>
      </c>
      <c r="AD130" s="1">
        <v>875</v>
      </c>
      <c r="AE130" s="1">
        <v>7.24</v>
      </c>
      <c r="AG130" s="1">
        <v>5.0999999999999996</v>
      </c>
      <c r="AK130" s="1">
        <v>40</v>
      </c>
      <c r="AR130" s="1">
        <v>64.5</v>
      </c>
      <c r="AT130" s="1">
        <v>7.3508000000000004</v>
      </c>
      <c r="AU130" s="1">
        <v>11.9185</v>
      </c>
      <c r="AV130" s="1">
        <v>37.116149999999998</v>
      </c>
      <c r="AW130" s="1">
        <v>25.142240000000005</v>
      </c>
      <c r="AX130" s="1">
        <v>122.6236</v>
      </c>
      <c r="AY130" s="1">
        <v>3.25</v>
      </c>
    </row>
    <row r="131" spans="4:51" x14ac:dyDescent="0.3">
      <c r="D131" s="2">
        <f t="shared" si="8"/>
        <v>1978</v>
      </c>
      <c r="E131" s="2">
        <f t="shared" si="9"/>
        <v>4</v>
      </c>
      <c r="F131" s="3" t="s">
        <v>178</v>
      </c>
      <c r="G131" s="4">
        <v>28591</v>
      </c>
      <c r="H131" s="1">
        <v>6606238</v>
      </c>
      <c r="I131" s="1">
        <v>661152</v>
      </c>
      <c r="J131" s="5" t="s">
        <v>176</v>
      </c>
      <c r="K131" s="1"/>
      <c r="L131" s="1" t="str">
        <f t="shared" si="10"/>
        <v xml:space="preserve">Oxundaån </v>
      </c>
      <c r="M131" s="1" t="s">
        <v>177</v>
      </c>
      <c r="N131" s="1">
        <v>0.5</v>
      </c>
      <c r="O131" s="1">
        <v>0.5</v>
      </c>
      <c r="Q131" s="1">
        <v>5.4</v>
      </c>
      <c r="R131" s="1">
        <v>8.02</v>
      </c>
      <c r="V131" s="1">
        <v>0.99399999999999999</v>
      </c>
      <c r="W131" s="1">
        <v>164</v>
      </c>
      <c r="X131" s="1">
        <f t="shared" si="11"/>
        <v>0.17935761571845549</v>
      </c>
      <c r="Y131" s="1">
        <v>4.9000000000000002E-2</v>
      </c>
      <c r="Z131" s="1">
        <v>13</v>
      </c>
      <c r="AD131" s="1">
        <v>1600</v>
      </c>
      <c r="AE131" s="1">
        <v>6.93</v>
      </c>
      <c r="AG131" s="1">
        <v>15.5</v>
      </c>
      <c r="AK131" s="1">
        <v>66</v>
      </c>
      <c r="AR131" s="1">
        <v>43.8</v>
      </c>
      <c r="AT131" s="1">
        <v>4.8875000000000002</v>
      </c>
      <c r="AU131" s="1">
        <v>8.5909999999999993</v>
      </c>
      <c r="AV131" s="1">
        <v>19.001200000000004</v>
      </c>
      <c r="AW131" s="1">
        <v>13.44284</v>
      </c>
      <c r="AX131" s="1">
        <v>91.150849999999991</v>
      </c>
      <c r="AY131" s="1">
        <v>5.2</v>
      </c>
    </row>
    <row r="132" spans="4:51" x14ac:dyDescent="0.3">
      <c r="D132" s="2">
        <f t="shared" si="8"/>
        <v>1978</v>
      </c>
      <c r="E132" s="2">
        <f t="shared" si="9"/>
        <v>5</v>
      </c>
      <c r="F132" s="3" t="s">
        <v>178</v>
      </c>
      <c r="G132" s="4">
        <v>28626</v>
      </c>
      <c r="H132" s="1">
        <v>6606238</v>
      </c>
      <c r="I132" s="1">
        <v>661152</v>
      </c>
      <c r="J132" s="5" t="s">
        <v>176</v>
      </c>
      <c r="K132" s="1"/>
      <c r="L132" s="1" t="str">
        <f t="shared" si="10"/>
        <v xml:space="preserve">Oxundaån </v>
      </c>
      <c r="M132" s="1" t="s">
        <v>177</v>
      </c>
      <c r="N132" s="1">
        <v>0.5</v>
      </c>
      <c r="O132" s="1">
        <v>0.5</v>
      </c>
      <c r="Q132" s="1">
        <v>7.9</v>
      </c>
      <c r="R132" s="1">
        <v>9.8800000000000008</v>
      </c>
      <c r="V132" s="1">
        <v>1.74</v>
      </c>
      <c r="W132" s="1">
        <v>38</v>
      </c>
      <c r="X132" s="1">
        <f t="shared" si="11"/>
        <v>0.40889662230857832</v>
      </c>
      <c r="Y132" s="1">
        <v>3.6999999999999998E-2</v>
      </c>
      <c r="Z132" s="1">
        <v>5</v>
      </c>
      <c r="AD132" s="1">
        <v>445</v>
      </c>
      <c r="AE132" s="1">
        <v>7.84</v>
      </c>
      <c r="AG132" s="1">
        <v>7.3</v>
      </c>
      <c r="AK132" s="1">
        <v>61</v>
      </c>
      <c r="AR132" s="1">
        <v>60</v>
      </c>
      <c r="AT132" s="1">
        <v>5.7085999999999997</v>
      </c>
      <c r="AU132" s="1">
        <v>11.192500000000001</v>
      </c>
      <c r="AV132" s="1">
        <v>28.430900000000005</v>
      </c>
      <c r="AW132" s="1">
        <v>21.219500000000004</v>
      </c>
      <c r="AX132" s="1">
        <v>123.008</v>
      </c>
      <c r="AY132" s="1">
        <v>2.2999999999999998</v>
      </c>
    </row>
    <row r="133" spans="4:51" x14ac:dyDescent="0.3">
      <c r="D133" s="2">
        <f t="shared" si="8"/>
        <v>1978</v>
      </c>
      <c r="E133" s="2">
        <f t="shared" si="9"/>
        <v>6</v>
      </c>
      <c r="F133" s="3"/>
      <c r="G133" s="4">
        <v>28656</v>
      </c>
      <c r="H133" s="1">
        <v>6606238</v>
      </c>
      <c r="I133" s="1">
        <v>661152</v>
      </c>
      <c r="J133" s="5" t="s">
        <v>176</v>
      </c>
      <c r="K133" s="1"/>
      <c r="L133" s="1" t="str">
        <f t="shared" si="10"/>
        <v xml:space="preserve">Oxundaån </v>
      </c>
      <c r="M133" s="1" t="s">
        <v>177</v>
      </c>
      <c r="N133" s="1">
        <v>0.5</v>
      </c>
      <c r="O133" s="1">
        <v>0.5</v>
      </c>
      <c r="Q133" s="1">
        <v>13.9</v>
      </c>
      <c r="R133" s="1">
        <v>5.14</v>
      </c>
      <c r="V133" s="1">
        <v>1.873</v>
      </c>
      <c r="W133" s="1">
        <v>125</v>
      </c>
      <c r="X133" s="1">
        <f t="shared" si="11"/>
        <v>1.5882355939131059</v>
      </c>
      <c r="Y133" s="1">
        <v>3.5999999999999997E-2</v>
      </c>
      <c r="Z133" s="1">
        <v>26</v>
      </c>
      <c r="AD133" s="1">
        <v>58</v>
      </c>
      <c r="AE133" s="1">
        <v>7.71</v>
      </c>
      <c r="AG133" s="1">
        <v>6.3</v>
      </c>
      <c r="AK133" s="1">
        <v>60</v>
      </c>
      <c r="AR133" s="1">
        <v>57.5</v>
      </c>
      <c r="AT133" s="1">
        <v>5.8650000000000002</v>
      </c>
      <c r="AU133" s="1">
        <v>11.373999999999999</v>
      </c>
      <c r="AV133" s="1">
        <v>28.749950000000005</v>
      </c>
      <c r="AW133" s="1">
        <v>20.072500000000002</v>
      </c>
      <c r="AX133" s="1">
        <v>106.91125</v>
      </c>
      <c r="AY133" s="1">
        <v>1.4</v>
      </c>
    </row>
    <row r="134" spans="4:51" x14ac:dyDescent="0.3">
      <c r="D134" s="2">
        <f t="shared" si="8"/>
        <v>1978</v>
      </c>
      <c r="E134" s="2">
        <f t="shared" si="9"/>
        <v>7</v>
      </c>
      <c r="F134" s="3" t="s">
        <v>179</v>
      </c>
      <c r="G134" s="4">
        <v>28684</v>
      </c>
      <c r="H134" s="1">
        <v>6606238</v>
      </c>
      <c r="I134" s="1">
        <v>661152</v>
      </c>
      <c r="J134" s="5" t="s">
        <v>176</v>
      </c>
      <c r="K134" s="1"/>
      <c r="L134" s="1" t="str">
        <f t="shared" si="10"/>
        <v xml:space="preserve">Oxundaån </v>
      </c>
      <c r="M134" s="1" t="s">
        <v>177</v>
      </c>
      <c r="N134" s="1">
        <v>0.5</v>
      </c>
      <c r="O134" s="1">
        <v>0.5</v>
      </c>
      <c r="Q134" s="1">
        <v>17.8</v>
      </c>
      <c r="R134" s="1">
        <v>8.83</v>
      </c>
      <c r="V134" s="1">
        <v>1.91</v>
      </c>
      <c r="W134" s="1">
        <v>27</v>
      </c>
      <c r="X134" s="1">
        <f t="shared" si="11"/>
        <v>0.91909419710088414</v>
      </c>
      <c r="Y134" s="1">
        <v>4.2000000000000003E-2</v>
      </c>
      <c r="Z134" s="1">
        <v>29</v>
      </c>
      <c r="AD134" s="1">
        <v>40</v>
      </c>
      <c r="AE134" s="1">
        <v>8.02</v>
      </c>
      <c r="AG134" s="1">
        <v>5.5</v>
      </c>
      <c r="AK134" s="1">
        <v>80</v>
      </c>
      <c r="AR134" s="1">
        <v>60.5</v>
      </c>
      <c r="AT134" s="1">
        <v>6.2169000000000008</v>
      </c>
      <c r="AU134" s="1">
        <v>11.5192</v>
      </c>
      <c r="AV134" s="1">
        <v>30.061600000000002</v>
      </c>
      <c r="AW134" s="1">
        <v>21.219500000000004</v>
      </c>
      <c r="AX134" s="1">
        <v>107.39174999999999</v>
      </c>
      <c r="AY134" s="1">
        <v>0.55000000000000004</v>
      </c>
    </row>
    <row r="135" spans="4:51" x14ac:dyDescent="0.3">
      <c r="D135" s="2">
        <f t="shared" si="8"/>
        <v>1978</v>
      </c>
      <c r="E135" s="2">
        <f t="shared" si="9"/>
        <v>8</v>
      </c>
      <c r="F135" s="3" t="s">
        <v>179</v>
      </c>
      <c r="G135" s="4">
        <v>28717</v>
      </c>
      <c r="H135" s="1">
        <v>6606238</v>
      </c>
      <c r="I135" s="1">
        <v>661152</v>
      </c>
      <c r="J135" s="5" t="s">
        <v>176</v>
      </c>
      <c r="K135" s="1"/>
      <c r="L135" s="1" t="str">
        <f t="shared" si="10"/>
        <v xml:space="preserve">Oxundaån </v>
      </c>
      <c r="M135" s="1" t="s">
        <v>177</v>
      </c>
      <c r="N135" s="1">
        <v>0.5</v>
      </c>
      <c r="O135" s="1">
        <v>0.5</v>
      </c>
      <c r="Q135" s="1">
        <v>17.5</v>
      </c>
      <c r="R135" s="1">
        <v>7.01</v>
      </c>
      <c r="V135" s="1">
        <v>1.99</v>
      </c>
      <c r="W135" s="1">
        <v>11</v>
      </c>
      <c r="X135" s="1">
        <f t="shared" si="11"/>
        <v>0.2341008776207831</v>
      </c>
      <c r="Y135" s="1">
        <v>3.9E-2</v>
      </c>
      <c r="Z135" s="1">
        <v>62</v>
      </c>
      <c r="AD135" s="1">
        <v>23</v>
      </c>
      <c r="AE135" s="1">
        <v>7.82</v>
      </c>
      <c r="AG135" s="1">
        <v>4.8</v>
      </c>
      <c r="AK135" s="1">
        <v>124</v>
      </c>
      <c r="AR135" s="1">
        <v>59.080000000000005</v>
      </c>
      <c r="AT135" s="1">
        <v>6.0996000000000006</v>
      </c>
      <c r="AU135" s="1">
        <v>11.083600000000001</v>
      </c>
      <c r="AV135" s="1">
        <v>30.912400000000002</v>
      </c>
      <c r="AW135" s="1">
        <v>21.563600000000001</v>
      </c>
      <c r="AX135" s="1">
        <v>106.23854999999999</v>
      </c>
      <c r="AY135" s="1">
        <v>0.65</v>
      </c>
    </row>
    <row r="136" spans="4:51" x14ac:dyDescent="0.3">
      <c r="D136" s="2">
        <f t="shared" si="8"/>
        <v>1978</v>
      </c>
      <c r="E136" s="2">
        <f t="shared" si="9"/>
        <v>9</v>
      </c>
      <c r="F136" s="3"/>
      <c r="G136" s="4">
        <v>28747</v>
      </c>
      <c r="H136" s="1">
        <v>6606238</v>
      </c>
      <c r="I136" s="1">
        <v>661152</v>
      </c>
      <c r="J136" s="5" t="s">
        <v>176</v>
      </c>
      <c r="K136" s="1"/>
      <c r="L136" s="1" t="str">
        <f t="shared" si="10"/>
        <v xml:space="preserve">Oxundaån </v>
      </c>
      <c r="M136" s="1" t="s">
        <v>177</v>
      </c>
      <c r="N136" s="1">
        <v>0.5</v>
      </c>
      <c r="O136" s="1">
        <v>0.5</v>
      </c>
      <c r="Q136" s="1">
        <v>13.3</v>
      </c>
      <c r="R136" s="1">
        <v>10.02</v>
      </c>
      <c r="V136" s="1">
        <v>1.7949999999999999</v>
      </c>
      <c r="W136" s="1">
        <v>22</v>
      </c>
      <c r="X136" s="1">
        <f t="shared" si="11"/>
        <v>7.952215306765946E-2</v>
      </c>
      <c r="Y136" s="1">
        <v>3.6999999999999998E-2</v>
      </c>
      <c r="Z136" s="1">
        <v>90</v>
      </c>
      <c r="AD136" s="1">
        <v>18</v>
      </c>
      <c r="AE136" s="1">
        <v>7.18</v>
      </c>
      <c r="AG136" s="1">
        <v>3.8</v>
      </c>
      <c r="AK136" s="1">
        <v>224</v>
      </c>
      <c r="AR136" s="1">
        <v>58.84</v>
      </c>
      <c r="AT136" s="1">
        <v>6.0605000000000002</v>
      </c>
      <c r="AU136" s="1">
        <v>11.132</v>
      </c>
      <c r="AV136" s="1">
        <v>31.196000000000002</v>
      </c>
      <c r="AW136" s="1">
        <v>22.481200000000001</v>
      </c>
      <c r="AX136" s="1">
        <v>106.43074999999999</v>
      </c>
      <c r="AY136" s="1">
        <v>1.4</v>
      </c>
    </row>
    <row r="137" spans="4:51" x14ac:dyDescent="0.3">
      <c r="D137" s="2">
        <f t="shared" si="8"/>
        <v>1978</v>
      </c>
      <c r="E137" s="2">
        <f t="shared" si="9"/>
        <v>10</v>
      </c>
      <c r="F137" s="3" t="s">
        <v>180</v>
      </c>
      <c r="G137" s="4">
        <v>28779</v>
      </c>
      <c r="H137" s="1">
        <v>6606238</v>
      </c>
      <c r="I137" s="1">
        <v>661152</v>
      </c>
      <c r="J137" s="5" t="s">
        <v>176</v>
      </c>
      <c r="K137" s="1"/>
      <c r="L137" s="1" t="str">
        <f t="shared" si="10"/>
        <v xml:space="preserve">Oxundaån </v>
      </c>
      <c r="M137" s="1" t="s">
        <v>177</v>
      </c>
      <c r="N137" s="1">
        <v>0.5</v>
      </c>
      <c r="O137" s="1">
        <v>0.5</v>
      </c>
      <c r="Q137" s="1">
        <v>8.1999999999999993</v>
      </c>
      <c r="R137" s="1">
        <v>9.4600000000000009</v>
      </c>
      <c r="V137" s="1">
        <v>2.0049999999999999</v>
      </c>
      <c r="W137" s="1">
        <v>91</v>
      </c>
      <c r="X137" s="1">
        <f t="shared" si="11"/>
        <v>1.4420808300034531</v>
      </c>
      <c r="Y137" s="1">
        <v>4.1000000000000002E-2</v>
      </c>
      <c r="Z137" s="1">
        <v>20</v>
      </c>
      <c r="AD137" s="1">
        <v>35</v>
      </c>
      <c r="AE137" s="1">
        <v>8</v>
      </c>
      <c r="AG137" s="1">
        <v>3.9</v>
      </c>
      <c r="AK137" s="1">
        <v>50</v>
      </c>
      <c r="AR137" s="1">
        <v>61.68</v>
      </c>
      <c r="AT137" s="1">
        <v>6.8425000000000002</v>
      </c>
      <c r="AU137" s="1">
        <v>11.567599999999999</v>
      </c>
      <c r="AV137" s="1">
        <v>30.770600000000002</v>
      </c>
      <c r="AW137" s="1">
        <v>22.34356</v>
      </c>
      <c r="AX137" s="1">
        <v>105.37365</v>
      </c>
      <c r="AY137" s="1">
        <v>2.38</v>
      </c>
    </row>
    <row r="138" spans="4:51" x14ac:dyDescent="0.3">
      <c r="D138" s="2">
        <f t="shared" si="8"/>
        <v>1978</v>
      </c>
      <c r="E138" s="2">
        <f t="shared" si="9"/>
        <v>11</v>
      </c>
      <c r="F138" s="3" t="s">
        <v>180</v>
      </c>
      <c r="G138" s="4">
        <v>28809</v>
      </c>
      <c r="H138" s="1">
        <v>6606238</v>
      </c>
      <c r="I138" s="1">
        <v>661152</v>
      </c>
      <c r="J138" s="5" t="s">
        <v>176</v>
      </c>
      <c r="K138" s="1"/>
      <c r="L138" s="1" t="str">
        <f t="shared" si="10"/>
        <v xml:space="preserve">Oxundaån </v>
      </c>
      <c r="M138" s="1" t="s">
        <v>177</v>
      </c>
      <c r="N138" s="1">
        <v>0.5</v>
      </c>
      <c r="O138" s="1">
        <v>0.5</v>
      </c>
      <c r="Q138" s="1">
        <v>5.7</v>
      </c>
      <c r="R138" s="1">
        <v>10.58</v>
      </c>
      <c r="V138" s="1">
        <v>1.9139999999999999</v>
      </c>
      <c r="W138" s="1">
        <v>91</v>
      </c>
      <c r="X138" s="1">
        <f t="shared" si="11"/>
        <v>0.96451439489972557</v>
      </c>
      <c r="Y138" s="1">
        <v>4.7E-2</v>
      </c>
      <c r="Z138" s="1">
        <v>33</v>
      </c>
      <c r="AD138" s="1">
        <v>395</v>
      </c>
      <c r="AE138" s="1">
        <v>7.91</v>
      </c>
      <c r="AG138" s="1">
        <v>6.7</v>
      </c>
      <c r="AK138" s="1">
        <v>65</v>
      </c>
      <c r="AR138" s="1">
        <v>55.599999999999994</v>
      </c>
      <c r="AT138" s="1">
        <v>5.2003000000000004</v>
      </c>
      <c r="AU138" s="1">
        <v>9.5348000000000006</v>
      </c>
      <c r="AV138" s="1">
        <v>25.91395</v>
      </c>
      <c r="AW138" s="1">
        <v>18.856680000000001</v>
      </c>
      <c r="AX138" s="1">
        <v>88.075649999999996</v>
      </c>
      <c r="AY138" s="1">
        <v>2.88</v>
      </c>
    </row>
    <row r="139" spans="4:51" x14ac:dyDescent="0.3">
      <c r="D139" s="2">
        <f t="shared" si="8"/>
        <v>1978</v>
      </c>
      <c r="E139" s="2">
        <f t="shared" si="9"/>
        <v>12</v>
      </c>
      <c r="F139" s="3" t="s">
        <v>175</v>
      </c>
      <c r="G139" s="4">
        <v>28838</v>
      </c>
      <c r="H139" s="1">
        <v>6606238</v>
      </c>
      <c r="I139" s="1">
        <v>661152</v>
      </c>
      <c r="J139" s="5" t="s">
        <v>176</v>
      </c>
      <c r="K139" s="1"/>
      <c r="L139" s="1" t="str">
        <f t="shared" si="10"/>
        <v xml:space="preserve">Oxundaån </v>
      </c>
      <c r="M139" s="1" t="s">
        <v>177</v>
      </c>
      <c r="N139" s="1">
        <v>0.5</v>
      </c>
      <c r="O139" s="1">
        <v>0.5</v>
      </c>
      <c r="Q139" s="1">
        <v>1.1000000000000001</v>
      </c>
      <c r="R139" s="1">
        <v>11.1</v>
      </c>
      <c r="V139" s="1">
        <v>2.0659999999999998</v>
      </c>
      <c r="W139" s="1">
        <v>166</v>
      </c>
      <c r="X139" s="1">
        <f t="shared" si="11"/>
        <v>0.96221438208085619</v>
      </c>
      <c r="Y139" s="1">
        <v>2.8000000000000001E-2</v>
      </c>
      <c r="Z139" s="1">
        <v>28</v>
      </c>
      <c r="AD139" s="1">
        <v>330</v>
      </c>
      <c r="AE139" s="1">
        <v>7.81</v>
      </c>
      <c r="AG139" s="1">
        <v>2.6</v>
      </c>
      <c r="AK139" s="1">
        <v>45</v>
      </c>
      <c r="AR139" s="1">
        <v>62.32</v>
      </c>
      <c r="AT139" s="1">
        <v>6.4906000000000006</v>
      </c>
      <c r="AU139" s="1">
        <v>11.4224</v>
      </c>
      <c r="AV139" s="1">
        <v>32.826700000000002</v>
      </c>
      <c r="AW139" s="1">
        <v>23.490560000000002</v>
      </c>
      <c r="AX139" s="1">
        <v>103.2114</v>
      </c>
      <c r="AY139" s="1">
        <v>2.52</v>
      </c>
    </row>
    <row r="140" spans="4:51" x14ac:dyDescent="0.3">
      <c r="D140" s="2">
        <f t="shared" si="8"/>
        <v>1979</v>
      </c>
      <c r="E140" s="2">
        <f t="shared" si="9"/>
        <v>1</v>
      </c>
      <c r="F140" s="3" t="s">
        <v>175</v>
      </c>
      <c r="G140" s="4">
        <v>28870</v>
      </c>
      <c r="H140" s="1">
        <v>6606238</v>
      </c>
      <c r="I140" s="1">
        <v>661152</v>
      </c>
      <c r="J140" s="5" t="s">
        <v>176</v>
      </c>
      <c r="K140" s="1"/>
      <c r="L140" s="1" t="str">
        <f t="shared" si="10"/>
        <v xml:space="preserve">Oxundaån </v>
      </c>
      <c r="M140" s="1" t="s">
        <v>177</v>
      </c>
      <c r="N140" s="1">
        <v>0.5</v>
      </c>
      <c r="O140" s="1">
        <v>0.5</v>
      </c>
      <c r="Q140" s="1">
        <v>1.5</v>
      </c>
      <c r="R140" s="1">
        <v>8.66</v>
      </c>
      <c r="V140" s="1">
        <v>2.2610000000000001</v>
      </c>
      <c r="W140" s="1">
        <v>32</v>
      </c>
      <c r="X140" s="1">
        <f t="shared" si="11"/>
        <v>0.10811000766328871</v>
      </c>
      <c r="Y140" s="1">
        <v>3.6999999999999998E-2</v>
      </c>
      <c r="Z140" s="1">
        <v>33</v>
      </c>
      <c r="AD140" s="1">
        <v>500</v>
      </c>
      <c r="AE140" s="1">
        <v>7.56</v>
      </c>
      <c r="AG140" s="1">
        <v>2.5</v>
      </c>
      <c r="AK140" s="1">
        <v>43</v>
      </c>
      <c r="AR140" s="1">
        <v>64.760000000000005</v>
      </c>
      <c r="AT140" s="1">
        <v>6.8815999999999997</v>
      </c>
      <c r="AU140" s="1">
        <v>11.349799999999998</v>
      </c>
      <c r="AV140" s="1">
        <v>33.393900000000002</v>
      </c>
      <c r="AW140" s="1">
        <v>22.251799999999999</v>
      </c>
      <c r="AX140" s="1">
        <v>99.463499999999982</v>
      </c>
      <c r="AY140" s="1">
        <v>2.77</v>
      </c>
    </row>
    <row r="141" spans="4:51" x14ac:dyDescent="0.3">
      <c r="D141" s="2">
        <f t="shared" si="8"/>
        <v>1979</v>
      </c>
      <c r="E141" s="2">
        <f t="shared" si="9"/>
        <v>2</v>
      </c>
      <c r="F141" s="3" t="s">
        <v>175</v>
      </c>
      <c r="G141" s="4">
        <v>28905</v>
      </c>
      <c r="H141" s="1">
        <v>6606238</v>
      </c>
      <c r="I141" s="1">
        <v>661152</v>
      </c>
      <c r="J141" s="5" t="s">
        <v>176</v>
      </c>
      <c r="K141" s="1"/>
      <c r="L141" s="1" t="str">
        <f t="shared" si="10"/>
        <v xml:space="preserve">Oxundaån </v>
      </c>
      <c r="M141" s="1" t="s">
        <v>177</v>
      </c>
      <c r="N141" s="1">
        <v>0.5</v>
      </c>
      <c r="O141" s="1">
        <v>0.5</v>
      </c>
      <c r="Q141" s="1">
        <v>1.3</v>
      </c>
      <c r="R141" s="1">
        <v>5.0199999999999996</v>
      </c>
      <c r="V141" s="1">
        <v>2.3450000000000002</v>
      </c>
      <c r="W141" s="1">
        <v>18</v>
      </c>
      <c r="X141" s="1">
        <f t="shared" si="11"/>
        <v>3.8661706837115214E-2</v>
      </c>
      <c r="Y141" s="1">
        <v>3.1E-2</v>
      </c>
      <c r="Z141" s="1">
        <v>50</v>
      </c>
      <c r="AD141" s="1">
        <v>725</v>
      </c>
      <c r="AE141" s="1">
        <v>7.37</v>
      </c>
      <c r="AG141" s="1">
        <v>1.07</v>
      </c>
      <c r="AK141" s="1">
        <v>72</v>
      </c>
      <c r="AR141" s="1">
        <v>65.44</v>
      </c>
      <c r="AT141" s="1">
        <v>6.4906000000000006</v>
      </c>
      <c r="AU141" s="1">
        <v>10.914199999999999</v>
      </c>
      <c r="AV141" s="1">
        <v>34.847349999999999</v>
      </c>
      <c r="AW141" s="1">
        <v>23.857600000000001</v>
      </c>
      <c r="AX141" s="1">
        <v>98.742750000000001</v>
      </c>
      <c r="AY141" s="1">
        <v>2.63</v>
      </c>
    </row>
    <row r="142" spans="4:51" x14ac:dyDescent="0.3">
      <c r="D142" s="2">
        <f t="shared" si="8"/>
        <v>1979</v>
      </c>
      <c r="E142" s="2">
        <f t="shared" si="9"/>
        <v>3</v>
      </c>
      <c r="F142" s="3" t="s">
        <v>175</v>
      </c>
      <c r="G142" s="4">
        <v>28929</v>
      </c>
      <c r="H142" s="1">
        <v>6606238</v>
      </c>
      <c r="I142" s="1">
        <v>661152</v>
      </c>
      <c r="J142" s="5" t="s">
        <v>176</v>
      </c>
      <c r="K142" s="1"/>
      <c r="L142" s="1" t="str">
        <f t="shared" si="10"/>
        <v xml:space="preserve">Oxundaån </v>
      </c>
      <c r="M142" s="1" t="s">
        <v>177</v>
      </c>
      <c r="N142" s="1">
        <v>0.5</v>
      </c>
      <c r="O142" s="1">
        <v>0.5</v>
      </c>
      <c r="Q142" s="1">
        <v>2</v>
      </c>
      <c r="R142" s="1">
        <v>6.32</v>
      </c>
      <c r="V142" s="1">
        <v>2.0830000000000002</v>
      </c>
      <c r="W142" s="1">
        <v>29</v>
      </c>
      <c r="X142" s="1">
        <f t="shared" si="11"/>
        <v>6.9120914830872154E-2</v>
      </c>
      <c r="Y142" s="1">
        <v>3.6999999999999998E-2</v>
      </c>
      <c r="Z142" s="1">
        <v>46</v>
      </c>
      <c r="AD142" s="1">
        <v>1060</v>
      </c>
      <c r="AE142" s="1">
        <v>7.39</v>
      </c>
      <c r="AG142" s="1">
        <v>4.2</v>
      </c>
      <c r="AK142" s="1">
        <v>76</v>
      </c>
      <c r="AR142" s="1">
        <v>72.52</v>
      </c>
      <c r="AT142" s="1">
        <v>7.4290000000000003</v>
      </c>
      <c r="AU142" s="1">
        <v>13.431000000000001</v>
      </c>
      <c r="AV142" s="1">
        <v>39.136800000000008</v>
      </c>
      <c r="AW142" s="1">
        <v>26.610399999999998</v>
      </c>
      <c r="AX142" s="1">
        <v>133.38679999999999</v>
      </c>
      <c r="AY142" s="1">
        <v>3.34</v>
      </c>
    </row>
    <row r="143" spans="4:51" x14ac:dyDescent="0.3">
      <c r="D143" s="2">
        <f t="shared" si="8"/>
        <v>1979</v>
      </c>
      <c r="E143" s="2">
        <f t="shared" si="9"/>
        <v>4</v>
      </c>
      <c r="F143" s="3" t="s">
        <v>178</v>
      </c>
      <c r="G143" s="4">
        <v>28962</v>
      </c>
      <c r="H143" s="1">
        <v>6606238</v>
      </c>
      <c r="I143" s="1">
        <v>661152</v>
      </c>
      <c r="J143" s="5" t="s">
        <v>176</v>
      </c>
      <c r="K143" s="1"/>
      <c r="L143" s="1" t="str">
        <f t="shared" si="10"/>
        <v xml:space="preserve">Oxundaån </v>
      </c>
      <c r="M143" s="1" t="s">
        <v>177</v>
      </c>
      <c r="N143" s="1">
        <v>0.5</v>
      </c>
      <c r="O143" s="1">
        <v>0.5</v>
      </c>
      <c r="Q143" s="1">
        <v>4.7</v>
      </c>
      <c r="R143" s="1">
        <v>12.27</v>
      </c>
      <c r="V143" s="1">
        <v>1.5289999999999999</v>
      </c>
      <c r="W143" s="1">
        <v>110</v>
      </c>
      <c r="X143" s="1">
        <f t="shared" si="11"/>
        <v>0.38417905303352712</v>
      </c>
      <c r="Y143" s="1">
        <v>4.8000000000000001E-2</v>
      </c>
      <c r="Z143" s="1">
        <v>9</v>
      </c>
      <c r="AD143" s="1">
        <v>1800</v>
      </c>
      <c r="AE143" s="1">
        <v>7.46</v>
      </c>
      <c r="AG143" s="1">
        <v>14</v>
      </c>
      <c r="AK143" s="1">
        <v>58</v>
      </c>
      <c r="AR143" s="1">
        <v>52.519999999999996</v>
      </c>
      <c r="AT143" s="1">
        <v>5.4349000000000007</v>
      </c>
      <c r="AU143" s="1">
        <v>10.212399999999999</v>
      </c>
      <c r="AV143" s="1">
        <v>24.531400000000001</v>
      </c>
      <c r="AW143" s="1">
        <v>16.906780000000001</v>
      </c>
      <c r="AX143" s="1">
        <v>93.745549999999994</v>
      </c>
      <c r="AY143" s="1">
        <v>4.4800000000000004</v>
      </c>
    </row>
    <row r="144" spans="4:51" x14ac:dyDescent="0.3">
      <c r="D144" s="2">
        <f t="shared" si="8"/>
        <v>1979</v>
      </c>
      <c r="E144" s="2">
        <f t="shared" si="9"/>
        <v>5</v>
      </c>
      <c r="F144" s="3" t="s">
        <v>178</v>
      </c>
      <c r="G144" s="4">
        <v>28991</v>
      </c>
      <c r="H144" s="1">
        <v>6606238</v>
      </c>
      <c r="I144" s="1">
        <v>661152</v>
      </c>
      <c r="J144" s="5" t="s">
        <v>176</v>
      </c>
      <c r="K144" s="1"/>
      <c r="L144" s="1" t="str">
        <f t="shared" si="10"/>
        <v xml:space="preserve">Oxundaån </v>
      </c>
      <c r="M144" s="1" t="s">
        <v>177</v>
      </c>
      <c r="N144" s="1">
        <v>0.5</v>
      </c>
      <c r="O144" s="1">
        <v>0.5</v>
      </c>
      <c r="Q144" s="1">
        <v>11.5</v>
      </c>
      <c r="R144" s="1">
        <v>12.08</v>
      </c>
      <c r="V144" s="1">
        <v>1.7150000000000001</v>
      </c>
      <c r="W144" s="1">
        <v>11</v>
      </c>
      <c r="X144" s="1">
        <f t="shared" si="11"/>
        <v>0.42998099729709699</v>
      </c>
      <c r="Y144" s="1">
        <v>0.05</v>
      </c>
      <c r="Z144" s="1">
        <v>7</v>
      </c>
      <c r="AD144" s="1">
        <v>820</v>
      </c>
      <c r="AE144" s="1">
        <v>8.2899999999999991</v>
      </c>
      <c r="AG144" s="1">
        <v>8.6999999999999993</v>
      </c>
      <c r="AK144" s="1">
        <v>42</v>
      </c>
      <c r="AR144" s="1">
        <v>55.4</v>
      </c>
      <c r="AT144" s="1">
        <v>5.8650000000000002</v>
      </c>
      <c r="AU144" s="1">
        <v>10.1761</v>
      </c>
      <c r="AV144" s="1">
        <v>27.048350000000003</v>
      </c>
      <c r="AW144" s="1">
        <v>18.466700000000003</v>
      </c>
      <c r="AX144" s="1">
        <v>94.850699999999989</v>
      </c>
      <c r="AY144" s="1">
        <v>2.4</v>
      </c>
    </row>
    <row r="145" spans="4:51" x14ac:dyDescent="0.3">
      <c r="D145" s="2">
        <f t="shared" si="8"/>
        <v>1979</v>
      </c>
      <c r="E145" s="2">
        <f t="shared" si="9"/>
        <v>6</v>
      </c>
      <c r="F145" s="3"/>
      <c r="G145" s="4">
        <v>29020</v>
      </c>
      <c r="H145" s="1">
        <v>6606238</v>
      </c>
      <c r="I145" s="1">
        <v>661152</v>
      </c>
      <c r="J145" s="5" t="s">
        <v>176</v>
      </c>
      <c r="K145" s="1"/>
      <c r="L145" s="1" t="str">
        <f t="shared" si="10"/>
        <v xml:space="preserve">Oxundaån </v>
      </c>
      <c r="M145" s="1" t="s">
        <v>177</v>
      </c>
      <c r="N145" s="1">
        <v>0.5</v>
      </c>
      <c r="O145" s="1">
        <v>0.5</v>
      </c>
      <c r="Q145" s="1">
        <v>19.7</v>
      </c>
      <c r="R145" s="1">
        <v>8.65</v>
      </c>
      <c r="V145" s="1">
        <v>1.9259999999999999</v>
      </c>
      <c r="W145" s="1">
        <v>58</v>
      </c>
      <c r="X145" s="1">
        <f t="shared" si="11"/>
        <v>2.7555067660225849</v>
      </c>
      <c r="Y145" s="1">
        <v>0.05</v>
      </c>
      <c r="Z145" s="1">
        <v>11</v>
      </c>
      <c r="AD145" s="1">
        <v>205</v>
      </c>
      <c r="AE145" s="1">
        <v>8.11</v>
      </c>
      <c r="AG145" s="1">
        <v>3.9</v>
      </c>
      <c r="AK145" s="1">
        <v>58</v>
      </c>
      <c r="AR145" s="1">
        <v>57.5</v>
      </c>
      <c r="AT145" s="1">
        <v>5.0830000000000002</v>
      </c>
      <c r="AU145" s="1">
        <v>10.309199999999999</v>
      </c>
      <c r="AV145" s="1">
        <v>28.679050000000004</v>
      </c>
      <c r="AW145" s="1">
        <v>19.820160000000001</v>
      </c>
      <c r="AX145" s="1">
        <v>90.958649999999992</v>
      </c>
      <c r="AY145" s="1">
        <v>0.76</v>
      </c>
    </row>
    <row r="146" spans="4:51" x14ac:dyDescent="0.3">
      <c r="D146" s="2">
        <f t="shared" si="8"/>
        <v>1979</v>
      </c>
      <c r="E146" s="2">
        <f t="shared" si="9"/>
        <v>7</v>
      </c>
      <c r="F146" s="3" t="s">
        <v>179</v>
      </c>
      <c r="G146" s="4">
        <v>29052</v>
      </c>
      <c r="H146" s="1">
        <v>6606238</v>
      </c>
      <c r="I146" s="1">
        <v>661152</v>
      </c>
      <c r="J146" s="5" t="s">
        <v>176</v>
      </c>
      <c r="K146" s="1"/>
      <c r="L146" s="1" t="str">
        <f t="shared" si="10"/>
        <v xml:space="preserve">Oxundaån </v>
      </c>
      <c r="M146" s="1" t="s">
        <v>177</v>
      </c>
      <c r="N146" s="1">
        <v>0.5</v>
      </c>
      <c r="O146" s="1">
        <v>0.5</v>
      </c>
      <c r="Q146" s="1">
        <v>18.3</v>
      </c>
      <c r="R146" s="1">
        <v>8.27</v>
      </c>
      <c r="V146" s="1">
        <v>2.089</v>
      </c>
      <c r="W146" s="1">
        <v>13</v>
      </c>
      <c r="X146" s="1">
        <f t="shared" si="11"/>
        <v>0.79380594626480283</v>
      </c>
      <c r="Y146" s="1">
        <v>4.9000000000000002E-2</v>
      </c>
      <c r="Z146" s="1">
        <v>11</v>
      </c>
      <c r="AD146" s="1">
        <v>20</v>
      </c>
      <c r="AE146" s="1">
        <v>8.27</v>
      </c>
      <c r="AG146" s="1">
        <v>9.1</v>
      </c>
      <c r="AK146" s="1">
        <v>65</v>
      </c>
      <c r="AR146" s="1">
        <v>59.2</v>
      </c>
      <c r="AT146" s="1">
        <v>6.0996000000000006</v>
      </c>
      <c r="AU146" s="1">
        <v>10.115599999999999</v>
      </c>
      <c r="AV146" s="1">
        <v>29.175350000000002</v>
      </c>
      <c r="AW146" s="1">
        <v>21.104800000000001</v>
      </c>
      <c r="AX146" s="1">
        <v>82.501850000000005</v>
      </c>
      <c r="AY146" s="1">
        <v>0.25</v>
      </c>
    </row>
    <row r="147" spans="4:51" x14ac:dyDescent="0.3">
      <c r="D147" s="2">
        <f t="shared" si="8"/>
        <v>1979</v>
      </c>
      <c r="E147" s="2">
        <f t="shared" si="9"/>
        <v>8</v>
      </c>
      <c r="F147" s="3" t="s">
        <v>179</v>
      </c>
      <c r="G147" s="4">
        <v>29083</v>
      </c>
      <c r="H147" s="1">
        <v>6606238</v>
      </c>
      <c r="I147" s="1">
        <v>661152</v>
      </c>
      <c r="J147" s="5" t="s">
        <v>176</v>
      </c>
      <c r="K147" s="1"/>
      <c r="L147" s="1" t="str">
        <f t="shared" si="10"/>
        <v xml:space="preserve">Oxundaån </v>
      </c>
      <c r="M147" s="1" t="s">
        <v>177</v>
      </c>
      <c r="N147" s="1">
        <v>0.5</v>
      </c>
      <c r="O147" s="1">
        <v>0.5</v>
      </c>
      <c r="Q147" s="1">
        <v>21</v>
      </c>
      <c r="R147" s="1">
        <v>11.09</v>
      </c>
      <c r="V147" s="1">
        <v>2.149</v>
      </c>
      <c r="W147" s="1">
        <v>18</v>
      </c>
      <c r="X147" s="1">
        <f t="shared" si="11"/>
        <v>4.0228180958985806</v>
      </c>
      <c r="Y147" s="1">
        <v>4.5999999999999999E-2</v>
      </c>
      <c r="Z147" s="1">
        <v>23</v>
      </c>
      <c r="AD147" s="1">
        <v>9</v>
      </c>
      <c r="AE147" s="1">
        <v>8.83</v>
      </c>
      <c r="AG147" s="1">
        <v>8.8000000000000007</v>
      </c>
      <c r="AK147" s="1">
        <v>94</v>
      </c>
      <c r="AR147" s="1">
        <v>59.84</v>
      </c>
      <c r="AT147" s="1">
        <v>5.9432</v>
      </c>
      <c r="AU147" s="1">
        <v>9.4380000000000006</v>
      </c>
      <c r="AV147" s="1">
        <v>30.167950000000001</v>
      </c>
      <c r="AW147" s="1">
        <v>22.481200000000001</v>
      </c>
      <c r="AX147" s="1">
        <v>83.991399999999999</v>
      </c>
      <c r="AY147" s="1">
        <v>0.32</v>
      </c>
    </row>
    <row r="148" spans="4:51" x14ac:dyDescent="0.3">
      <c r="D148" s="2">
        <f t="shared" si="8"/>
        <v>1979</v>
      </c>
      <c r="E148" s="2">
        <f t="shared" si="9"/>
        <v>9</v>
      </c>
      <c r="F148" s="3"/>
      <c r="G148" s="4">
        <v>29111</v>
      </c>
      <c r="H148" s="1">
        <v>6606238</v>
      </c>
      <c r="I148" s="1">
        <v>661152</v>
      </c>
      <c r="J148" s="5" t="s">
        <v>176</v>
      </c>
      <c r="K148" s="1"/>
      <c r="L148" s="1" t="str">
        <f t="shared" si="10"/>
        <v xml:space="preserve">Oxundaån </v>
      </c>
      <c r="M148" s="1" t="s">
        <v>177</v>
      </c>
      <c r="N148" s="1">
        <v>0.5</v>
      </c>
      <c r="O148" s="1">
        <v>0.5</v>
      </c>
      <c r="Q148" s="1">
        <v>13.8</v>
      </c>
      <c r="R148" s="1">
        <v>7.34</v>
      </c>
      <c r="V148" s="1">
        <v>2.0430000000000001</v>
      </c>
      <c r="W148" s="1">
        <v>20</v>
      </c>
      <c r="X148" s="1">
        <f t="shared" si="11"/>
        <v>0.50827001913472925</v>
      </c>
      <c r="Y148" s="1">
        <v>3.5999999999999997E-2</v>
      </c>
      <c r="Z148" s="1">
        <v>40</v>
      </c>
      <c r="AD148" s="1">
        <v>9</v>
      </c>
      <c r="AE148" s="1">
        <v>8.02</v>
      </c>
      <c r="AG148" s="1">
        <v>5.0999999999999996</v>
      </c>
      <c r="AK148" s="1">
        <v>118</v>
      </c>
      <c r="AR148" s="1">
        <v>58.8</v>
      </c>
      <c r="AT148" s="1">
        <v>5.8650000000000002</v>
      </c>
      <c r="AU148" s="1">
        <v>9.68</v>
      </c>
      <c r="AV148" s="1">
        <v>29.317150000000002</v>
      </c>
      <c r="AW148" s="1">
        <v>21.013040000000004</v>
      </c>
      <c r="AX148" s="1">
        <v>84.808249999999987</v>
      </c>
      <c r="AY148" s="1">
        <v>1.45</v>
      </c>
    </row>
    <row r="149" spans="4:51" x14ac:dyDescent="0.3">
      <c r="D149" s="2">
        <f t="shared" si="8"/>
        <v>1979</v>
      </c>
      <c r="E149" s="2">
        <f t="shared" si="9"/>
        <v>10</v>
      </c>
      <c r="F149" s="3" t="s">
        <v>180</v>
      </c>
      <c r="G149" s="4">
        <v>29143</v>
      </c>
      <c r="H149" s="1">
        <v>6606238</v>
      </c>
      <c r="I149" s="1">
        <v>661152</v>
      </c>
      <c r="J149" s="5" t="s">
        <v>176</v>
      </c>
      <c r="K149" s="1"/>
      <c r="L149" s="1" t="str">
        <f t="shared" si="10"/>
        <v xml:space="preserve">Oxundaån </v>
      </c>
      <c r="M149" s="1" t="s">
        <v>177</v>
      </c>
      <c r="N149" s="1">
        <v>0.5</v>
      </c>
      <c r="O149" s="1">
        <v>0.5</v>
      </c>
      <c r="Q149" s="1">
        <v>10.4</v>
      </c>
      <c r="R149" s="1">
        <v>9.89</v>
      </c>
      <c r="V149" s="1">
        <v>2.14</v>
      </c>
      <c r="W149" s="1">
        <v>54</v>
      </c>
      <c r="X149" s="1">
        <f t="shared" si="11"/>
        <v>1.2152808941246014</v>
      </c>
      <c r="Y149" s="1">
        <v>4.2999999999999997E-2</v>
      </c>
      <c r="Z149" s="1">
        <v>33</v>
      </c>
      <c r="AD149" s="1">
        <v>24</v>
      </c>
      <c r="AE149" s="1">
        <v>8.08</v>
      </c>
      <c r="AG149" s="1">
        <v>3.6</v>
      </c>
      <c r="AK149" s="1">
        <v>66</v>
      </c>
      <c r="AR149" s="1">
        <v>59.900000000000006</v>
      </c>
      <c r="AT149" s="1">
        <v>5.9823000000000004</v>
      </c>
      <c r="AU149" s="1">
        <v>9.8977999999999984</v>
      </c>
      <c r="AV149" s="1">
        <v>31.550500000000003</v>
      </c>
      <c r="AW149" s="1">
        <v>21.563600000000001</v>
      </c>
      <c r="AX149" s="1">
        <v>88.844449999999995</v>
      </c>
      <c r="AY149" s="1">
        <v>2.2999999999999998</v>
      </c>
    </row>
    <row r="150" spans="4:51" x14ac:dyDescent="0.3">
      <c r="D150" s="2">
        <f t="shared" si="8"/>
        <v>1979</v>
      </c>
      <c r="E150" s="2">
        <f t="shared" si="9"/>
        <v>11</v>
      </c>
      <c r="F150" s="3" t="s">
        <v>180</v>
      </c>
      <c r="G150" s="4">
        <v>29174</v>
      </c>
      <c r="H150" s="1">
        <v>6606238</v>
      </c>
      <c r="I150" s="1">
        <v>661152</v>
      </c>
      <c r="J150" s="5" t="s">
        <v>176</v>
      </c>
      <c r="K150" s="1"/>
      <c r="L150" s="1" t="str">
        <f t="shared" si="10"/>
        <v xml:space="preserve">Oxundaån </v>
      </c>
      <c r="M150" s="1" t="s">
        <v>177</v>
      </c>
      <c r="N150" s="1">
        <v>0.5</v>
      </c>
      <c r="O150" s="1">
        <v>0.5</v>
      </c>
      <c r="Q150" s="1">
        <v>2.1</v>
      </c>
      <c r="R150" s="1">
        <v>10.49</v>
      </c>
      <c r="V150" s="1">
        <v>2.0640000000000001</v>
      </c>
      <c r="W150" s="1">
        <v>195</v>
      </c>
      <c r="X150" s="1">
        <f t="shared" si="11"/>
        <v>1.256261613165208</v>
      </c>
      <c r="Y150" s="1">
        <v>3.1E-2</v>
      </c>
      <c r="Z150" s="1">
        <v>29</v>
      </c>
      <c r="AD150" s="1">
        <v>275</v>
      </c>
      <c r="AE150" s="1">
        <v>7.82</v>
      </c>
      <c r="AG150" s="1">
        <v>2.9</v>
      </c>
      <c r="AK150" s="1">
        <v>64</v>
      </c>
      <c r="AR150" s="1">
        <v>64</v>
      </c>
      <c r="AT150" s="1">
        <v>5.9823000000000004</v>
      </c>
      <c r="AU150" s="1">
        <v>10.309199999999999</v>
      </c>
      <c r="AV150" s="1">
        <v>32.436750000000004</v>
      </c>
      <c r="AW150" s="1">
        <v>23.490560000000002</v>
      </c>
      <c r="AX150" s="1">
        <v>97.301249999999996</v>
      </c>
      <c r="AY150" s="1">
        <v>2.35</v>
      </c>
    </row>
    <row r="151" spans="4:51" x14ac:dyDescent="0.3">
      <c r="D151" s="2">
        <f t="shared" si="8"/>
        <v>1979</v>
      </c>
      <c r="E151" s="2">
        <f t="shared" si="9"/>
        <v>12</v>
      </c>
      <c r="F151" s="3" t="s">
        <v>175</v>
      </c>
      <c r="G151" s="4">
        <v>29206</v>
      </c>
      <c r="H151" s="1">
        <v>6606238</v>
      </c>
      <c r="I151" s="1">
        <v>661152</v>
      </c>
      <c r="J151" s="5" t="s">
        <v>176</v>
      </c>
      <c r="K151" s="1"/>
      <c r="L151" s="1" t="str">
        <f t="shared" si="10"/>
        <v xml:space="preserve">Oxundaån </v>
      </c>
      <c r="M151" s="1" t="s">
        <v>177</v>
      </c>
      <c r="N151" s="1">
        <v>0.5</v>
      </c>
      <c r="O151" s="1">
        <v>0.5</v>
      </c>
      <c r="Q151" s="1">
        <v>0.9</v>
      </c>
      <c r="R151" s="1">
        <v>11.14</v>
      </c>
      <c r="V151" s="1">
        <v>1.9219999999999999</v>
      </c>
      <c r="W151" s="1">
        <v>39</v>
      </c>
      <c r="X151" s="1">
        <f t="shared" si="11"/>
        <v>0.19827821074870414</v>
      </c>
      <c r="Y151" s="1">
        <v>5.8999999999999997E-2</v>
      </c>
      <c r="Z151" s="1">
        <v>31</v>
      </c>
      <c r="AD151" s="1">
        <v>1070</v>
      </c>
      <c r="AE151" s="1">
        <v>7.76</v>
      </c>
      <c r="AG151" s="1">
        <v>17.399999999999999</v>
      </c>
      <c r="AK151" s="1">
        <v>72</v>
      </c>
      <c r="AR151" s="1">
        <v>64.099999999999994</v>
      </c>
      <c r="AT151" s="1">
        <v>6.4906000000000006</v>
      </c>
      <c r="AU151" s="1">
        <v>11.132</v>
      </c>
      <c r="AV151" s="1">
        <v>30.345200000000002</v>
      </c>
      <c r="AW151" s="1">
        <v>21.334200000000003</v>
      </c>
      <c r="AX151" s="1">
        <v>106.7671</v>
      </c>
      <c r="AY151" s="1">
        <v>3.9</v>
      </c>
    </row>
    <row r="152" spans="4:51" x14ac:dyDescent="0.3">
      <c r="D152" s="2">
        <f t="shared" si="8"/>
        <v>1980</v>
      </c>
      <c r="E152" s="2">
        <f t="shared" si="9"/>
        <v>1</v>
      </c>
      <c r="F152" s="3" t="s">
        <v>175</v>
      </c>
      <c r="G152" s="4">
        <v>29235</v>
      </c>
      <c r="H152" s="1">
        <v>6606238</v>
      </c>
      <c r="I152" s="1">
        <v>661152</v>
      </c>
      <c r="J152" s="5" t="s">
        <v>176</v>
      </c>
      <c r="K152" s="1"/>
      <c r="L152" s="1" t="str">
        <f t="shared" si="10"/>
        <v xml:space="preserve">Oxundaån </v>
      </c>
      <c r="M152" s="1" t="s">
        <v>177</v>
      </c>
      <c r="N152" s="1">
        <v>0.5</v>
      </c>
      <c r="O152" s="1">
        <v>0.5</v>
      </c>
      <c r="Q152" s="1">
        <v>0.9</v>
      </c>
      <c r="R152" s="1">
        <v>10.1</v>
      </c>
      <c r="V152" s="1">
        <v>2.032</v>
      </c>
      <c r="W152" s="1">
        <v>284</v>
      </c>
      <c r="X152" s="1">
        <f t="shared" si="11"/>
        <v>0.85199588744091914</v>
      </c>
      <c r="Y152" s="1">
        <v>4.9000000000000002E-2</v>
      </c>
      <c r="Z152" s="1">
        <v>33</v>
      </c>
      <c r="AD152" s="1">
        <v>1050</v>
      </c>
      <c r="AE152" s="1">
        <v>7.53</v>
      </c>
      <c r="AG152" s="1">
        <v>10.5</v>
      </c>
      <c r="AK152" s="1">
        <v>66</v>
      </c>
      <c r="AR152" s="1">
        <v>62.1</v>
      </c>
      <c r="AT152" s="1">
        <v>6.4906000000000006</v>
      </c>
      <c r="AU152" s="1">
        <v>11.253</v>
      </c>
      <c r="AV152" s="1">
        <v>30.912400000000002</v>
      </c>
      <c r="AW152" s="1">
        <v>21.517720000000001</v>
      </c>
      <c r="AX152" s="1">
        <v>101.62575000000001</v>
      </c>
      <c r="AY152" s="1">
        <v>4.2</v>
      </c>
    </row>
    <row r="153" spans="4:51" x14ac:dyDescent="0.3">
      <c r="D153" s="2">
        <f t="shared" si="8"/>
        <v>1980</v>
      </c>
      <c r="E153" s="2">
        <f t="shared" si="9"/>
        <v>2</v>
      </c>
      <c r="F153" s="3" t="s">
        <v>175</v>
      </c>
      <c r="G153" s="4">
        <v>29265</v>
      </c>
      <c r="H153" s="1">
        <v>6606238</v>
      </c>
      <c r="I153" s="1">
        <v>661152</v>
      </c>
      <c r="J153" s="5" t="s">
        <v>176</v>
      </c>
      <c r="K153" s="1"/>
      <c r="L153" s="1" t="str">
        <f t="shared" si="10"/>
        <v xml:space="preserve">Oxundaån </v>
      </c>
      <c r="M153" s="1" t="s">
        <v>177</v>
      </c>
      <c r="N153" s="1">
        <v>0.5</v>
      </c>
      <c r="O153" s="1">
        <v>0.5</v>
      </c>
      <c r="Q153" s="1">
        <v>0.7</v>
      </c>
      <c r="R153" s="1">
        <v>7.89</v>
      </c>
      <c r="V153" s="1">
        <v>2.2149999999999999</v>
      </c>
      <c r="W153" s="1">
        <v>72</v>
      </c>
      <c r="X153" s="1">
        <f t="shared" si="11"/>
        <v>0.15051250895828294</v>
      </c>
      <c r="Y153" s="1">
        <v>4.5999999999999999E-2</v>
      </c>
      <c r="Z153" s="1">
        <v>34</v>
      </c>
      <c r="AD153" s="1">
        <v>960</v>
      </c>
      <c r="AE153" s="1">
        <v>7.38</v>
      </c>
      <c r="AG153" s="1">
        <v>7</v>
      </c>
      <c r="AK153" s="1">
        <v>66</v>
      </c>
      <c r="AR153" s="1">
        <v>68</v>
      </c>
      <c r="AT153" s="1">
        <v>6.8425000000000002</v>
      </c>
      <c r="AU153" s="1">
        <v>12.1</v>
      </c>
      <c r="AV153" s="1">
        <v>32.968500000000006</v>
      </c>
      <c r="AW153" s="1">
        <v>23.536440000000002</v>
      </c>
      <c r="AX153" s="1">
        <v>109.50594999999998</v>
      </c>
      <c r="AY153" s="1">
        <v>4.5999999999999996</v>
      </c>
    </row>
    <row r="154" spans="4:51" x14ac:dyDescent="0.3">
      <c r="D154" s="2">
        <f t="shared" si="8"/>
        <v>1980</v>
      </c>
      <c r="E154" s="2">
        <f t="shared" si="9"/>
        <v>3</v>
      </c>
      <c r="F154" s="3" t="s">
        <v>175</v>
      </c>
      <c r="G154" s="4">
        <v>29297</v>
      </c>
      <c r="H154" s="1">
        <v>6606238</v>
      </c>
      <c r="I154" s="1">
        <v>661152</v>
      </c>
      <c r="J154" s="5" t="s">
        <v>176</v>
      </c>
      <c r="K154" s="1"/>
      <c r="L154" s="1" t="str">
        <f t="shared" si="10"/>
        <v xml:space="preserve">Oxundaån </v>
      </c>
      <c r="M154" s="1" t="s">
        <v>177</v>
      </c>
      <c r="N154" s="1">
        <v>0.5</v>
      </c>
      <c r="O154" s="1">
        <v>0.5</v>
      </c>
      <c r="Q154" s="1">
        <v>2.9</v>
      </c>
      <c r="R154" s="1">
        <v>8.26</v>
      </c>
      <c r="V154" s="1">
        <v>2.335</v>
      </c>
      <c r="W154" s="1">
        <v>48</v>
      </c>
      <c r="X154" s="1">
        <f t="shared" si="11"/>
        <v>0.14807928461707118</v>
      </c>
      <c r="Y154" s="1">
        <v>5.5E-2</v>
      </c>
      <c r="Z154" s="1">
        <v>27</v>
      </c>
      <c r="AD154" s="1">
        <v>1020</v>
      </c>
      <c r="AE154" s="1">
        <v>7.47</v>
      </c>
      <c r="AG154" s="1">
        <v>7.9</v>
      </c>
      <c r="AK154" s="1">
        <v>96</v>
      </c>
      <c r="AR154" s="1">
        <v>69.7</v>
      </c>
      <c r="AT154" s="1">
        <v>6.3342000000000001</v>
      </c>
      <c r="AU154" s="1">
        <v>11.4224</v>
      </c>
      <c r="AV154" s="1">
        <v>34.067450000000001</v>
      </c>
      <c r="AW154" s="1">
        <v>24.270520000000001</v>
      </c>
      <c r="AX154" s="1">
        <v>100.61669999999999</v>
      </c>
      <c r="AY154" s="1">
        <v>4.0999999999999996</v>
      </c>
    </row>
    <row r="155" spans="4:51" x14ac:dyDescent="0.3">
      <c r="D155" s="2">
        <f t="shared" si="8"/>
        <v>1980</v>
      </c>
      <c r="E155" s="2">
        <f t="shared" si="9"/>
        <v>4</v>
      </c>
      <c r="F155" s="3" t="s">
        <v>178</v>
      </c>
      <c r="G155" s="4">
        <v>29326</v>
      </c>
      <c r="H155" s="1">
        <v>6606238</v>
      </c>
      <c r="I155" s="1">
        <v>661152</v>
      </c>
      <c r="J155" s="5" t="s">
        <v>176</v>
      </c>
      <c r="K155" s="1"/>
      <c r="L155" s="1" t="str">
        <f t="shared" si="10"/>
        <v xml:space="preserve">Oxundaån </v>
      </c>
      <c r="M155" s="1" t="s">
        <v>177</v>
      </c>
      <c r="N155" s="1">
        <v>0.5</v>
      </c>
      <c r="O155" s="1">
        <v>0.5</v>
      </c>
      <c r="Q155" s="1">
        <v>7.2</v>
      </c>
      <c r="R155" s="1">
        <v>17.59</v>
      </c>
      <c r="V155" s="1">
        <v>1.413</v>
      </c>
      <c r="W155" s="1">
        <v>6</v>
      </c>
      <c r="X155" s="1">
        <f t="shared" si="11"/>
        <v>9.409403017426296E-2</v>
      </c>
      <c r="Y155" s="1">
        <v>5.8999999999999997E-2</v>
      </c>
      <c r="Z155" s="1">
        <v>168</v>
      </c>
      <c r="AD155" s="1">
        <v>1030</v>
      </c>
      <c r="AE155" s="1">
        <v>8.0299999999999994</v>
      </c>
      <c r="AG155" s="1">
        <v>19.7</v>
      </c>
      <c r="AK155" s="1">
        <v>624</v>
      </c>
      <c r="AR155" s="1">
        <v>45.5</v>
      </c>
      <c r="AT155" s="1">
        <v>6.0605000000000002</v>
      </c>
      <c r="AU155" s="1">
        <v>6.0015999999999998</v>
      </c>
      <c r="AV155" s="1">
        <v>24.070550000000004</v>
      </c>
      <c r="AW155" s="1">
        <v>16.883839999999999</v>
      </c>
      <c r="AX155" s="1">
        <v>68.086849999999998</v>
      </c>
      <c r="AY155" s="1">
        <v>1.6</v>
      </c>
    </row>
    <row r="156" spans="4:51" x14ac:dyDescent="0.3">
      <c r="D156" s="2">
        <f t="shared" si="8"/>
        <v>1980</v>
      </c>
      <c r="E156" s="2">
        <f t="shared" si="9"/>
        <v>5</v>
      </c>
      <c r="F156" s="3" t="s">
        <v>178</v>
      </c>
      <c r="G156" s="4">
        <v>29354</v>
      </c>
      <c r="H156" s="1">
        <v>6606238</v>
      </c>
      <c r="I156" s="1">
        <v>661152</v>
      </c>
      <c r="J156" s="5" t="s">
        <v>176</v>
      </c>
      <c r="K156" s="1"/>
      <c r="L156" s="1" t="str">
        <f t="shared" si="10"/>
        <v xml:space="preserve">Oxundaån </v>
      </c>
      <c r="M156" s="1" t="s">
        <v>177</v>
      </c>
      <c r="N156" s="1">
        <v>0.5</v>
      </c>
      <c r="O156" s="1">
        <v>0.5</v>
      </c>
      <c r="Q156" s="1">
        <v>11.2</v>
      </c>
      <c r="R156" s="1">
        <v>12.94</v>
      </c>
      <c r="V156" s="1">
        <v>1.907</v>
      </c>
      <c r="W156" s="1">
        <v>6</v>
      </c>
      <c r="X156" s="1">
        <f t="shared" si="11"/>
        <v>0.74150888255836567</v>
      </c>
      <c r="Y156" s="1">
        <v>5.2999999999999999E-2</v>
      </c>
      <c r="Z156" s="1">
        <v>7</v>
      </c>
      <c r="AD156" s="1">
        <v>550</v>
      </c>
      <c r="AE156" s="1">
        <v>8.84</v>
      </c>
      <c r="AG156" s="1">
        <v>5.9</v>
      </c>
      <c r="AK156" s="1">
        <v>60</v>
      </c>
      <c r="AR156" s="1">
        <v>56</v>
      </c>
      <c r="AT156" s="1">
        <v>5.4740000000000011</v>
      </c>
      <c r="AU156" s="1">
        <v>9.4863999999999997</v>
      </c>
      <c r="AV156" s="1">
        <v>29.67165</v>
      </c>
      <c r="AW156" s="1">
        <v>21.747119999999999</v>
      </c>
      <c r="AX156" s="1">
        <v>82.790149999999997</v>
      </c>
      <c r="AY156" s="1">
        <v>0.45</v>
      </c>
    </row>
    <row r="157" spans="4:51" x14ac:dyDescent="0.3">
      <c r="D157" s="2">
        <f t="shared" si="8"/>
        <v>1980</v>
      </c>
      <c r="E157" s="2">
        <f t="shared" si="9"/>
        <v>6</v>
      </c>
      <c r="F157" s="3"/>
      <c r="G157" s="4">
        <v>29388</v>
      </c>
      <c r="H157" s="1">
        <v>6606238</v>
      </c>
      <c r="I157" s="1">
        <v>661152</v>
      </c>
      <c r="J157" s="5" t="s">
        <v>176</v>
      </c>
      <c r="K157" s="1"/>
      <c r="L157" s="1" t="str">
        <f t="shared" si="10"/>
        <v xml:space="preserve">Oxundaån </v>
      </c>
      <c r="M157" s="1" t="s">
        <v>177</v>
      </c>
      <c r="N157" s="1">
        <v>0.5</v>
      </c>
      <c r="O157" s="1">
        <v>0.5</v>
      </c>
      <c r="Q157" s="1">
        <v>21.7</v>
      </c>
      <c r="R157" s="1">
        <v>6.89</v>
      </c>
      <c r="V157" s="1">
        <v>1.984</v>
      </c>
      <c r="W157" s="1">
        <v>24</v>
      </c>
      <c r="X157" s="1">
        <f t="shared" si="11"/>
        <v>4.8283921489014032</v>
      </c>
      <c r="Y157" s="1">
        <v>4.2000000000000003E-2</v>
      </c>
      <c r="Z157" s="1">
        <v>8</v>
      </c>
      <c r="AD157" s="1">
        <v>13</v>
      </c>
      <c r="AE157" s="1">
        <v>8.75</v>
      </c>
      <c r="AG157" s="1">
        <v>5.7</v>
      </c>
      <c r="AK157" s="1">
        <v>76</v>
      </c>
      <c r="AR157" s="1">
        <v>53.7</v>
      </c>
      <c r="AT157" s="1">
        <v>6.2560000000000002</v>
      </c>
      <c r="AU157" s="1">
        <v>9.6316000000000006</v>
      </c>
      <c r="AV157" s="1">
        <v>30.345200000000002</v>
      </c>
      <c r="AW157" s="1">
        <v>20.875400000000003</v>
      </c>
      <c r="AX157" s="1">
        <v>84.039450000000002</v>
      </c>
      <c r="AY157" s="1">
        <v>0.4</v>
      </c>
    </row>
    <row r="158" spans="4:51" x14ac:dyDescent="0.3">
      <c r="D158" s="2">
        <f t="shared" si="8"/>
        <v>1980</v>
      </c>
      <c r="E158" s="2">
        <f t="shared" si="9"/>
        <v>7</v>
      </c>
      <c r="F158" s="3" t="s">
        <v>179</v>
      </c>
      <c r="G158" s="4">
        <v>29417</v>
      </c>
      <c r="H158" s="1">
        <v>6606238</v>
      </c>
      <c r="I158" s="1">
        <v>661152</v>
      </c>
      <c r="J158" s="5" t="s">
        <v>176</v>
      </c>
      <c r="K158" s="1"/>
      <c r="L158" s="1" t="str">
        <f t="shared" si="10"/>
        <v xml:space="preserve">Oxundaån </v>
      </c>
      <c r="M158" s="1" t="s">
        <v>177</v>
      </c>
      <c r="N158" s="1">
        <v>0.5</v>
      </c>
      <c r="O158" s="1">
        <v>0.5</v>
      </c>
      <c r="Q158" s="1">
        <v>21.2</v>
      </c>
      <c r="R158" s="1">
        <v>8.61</v>
      </c>
      <c r="V158" s="1">
        <v>2.0950000000000002</v>
      </c>
      <c r="W158" s="1">
        <v>10</v>
      </c>
      <c r="X158" s="1">
        <f t="shared" si="11"/>
        <v>1.0201958272092762</v>
      </c>
      <c r="Y158" s="1">
        <v>3.5999999999999997E-2</v>
      </c>
      <c r="Z158" s="1">
        <v>225</v>
      </c>
      <c r="AD158" s="1">
        <v>14</v>
      </c>
      <c r="AE158" s="1">
        <v>8.42</v>
      </c>
      <c r="AG158" s="1">
        <v>5.9</v>
      </c>
      <c r="AK158" s="1">
        <v>560</v>
      </c>
      <c r="AR158" s="1">
        <v>54.1</v>
      </c>
      <c r="AT158" s="1">
        <v>5.7477</v>
      </c>
      <c r="AU158" s="1">
        <v>9.2444000000000006</v>
      </c>
      <c r="AV158" s="1">
        <v>31.621400000000005</v>
      </c>
      <c r="AW158" s="1">
        <v>22.022400000000001</v>
      </c>
      <c r="AX158" s="1">
        <v>78.17734999999999</v>
      </c>
      <c r="AY158" s="1">
        <v>0.33</v>
      </c>
    </row>
    <row r="159" spans="4:51" x14ac:dyDescent="0.3">
      <c r="D159" s="2">
        <f t="shared" si="8"/>
        <v>1980</v>
      </c>
      <c r="E159" s="2">
        <f t="shared" si="9"/>
        <v>8</v>
      </c>
      <c r="F159" s="3" t="s">
        <v>179</v>
      </c>
      <c r="G159" s="4">
        <v>29446</v>
      </c>
      <c r="H159" s="1">
        <v>6606238</v>
      </c>
      <c r="I159" s="1">
        <v>661152</v>
      </c>
      <c r="J159" s="5" t="s">
        <v>176</v>
      </c>
      <c r="K159" s="1"/>
      <c r="L159" s="1" t="str">
        <f t="shared" si="10"/>
        <v xml:space="preserve">Oxundaån </v>
      </c>
      <c r="M159" s="1" t="s">
        <v>177</v>
      </c>
      <c r="N159" s="1">
        <v>0.5</v>
      </c>
      <c r="O159" s="1">
        <v>0.5</v>
      </c>
      <c r="Q159" s="1">
        <v>18.100000000000001</v>
      </c>
      <c r="R159" s="1">
        <v>5.07</v>
      </c>
      <c r="V159" s="1">
        <v>2.0270000000000001</v>
      </c>
      <c r="W159" s="1">
        <v>114</v>
      </c>
      <c r="X159" s="1">
        <f t="shared" si="11"/>
        <v>1.889506047397951</v>
      </c>
      <c r="Y159" s="1">
        <v>5.6000000000000001E-2</v>
      </c>
      <c r="Z159" s="1">
        <v>110</v>
      </c>
      <c r="AD159" s="1">
        <v>35</v>
      </c>
      <c r="AE159" s="1">
        <v>7.69</v>
      </c>
      <c r="AG159" s="1">
        <v>5</v>
      </c>
      <c r="AK159" s="1">
        <v>152</v>
      </c>
      <c r="AR159" s="1">
        <v>51.900000000000006</v>
      </c>
      <c r="AT159" s="1">
        <v>5.9040999999999997</v>
      </c>
      <c r="AU159" s="1">
        <v>8.7362000000000002</v>
      </c>
      <c r="AV159" s="1">
        <v>29.9907</v>
      </c>
      <c r="AW159" s="1">
        <v>21.104800000000001</v>
      </c>
      <c r="AX159" s="1">
        <v>69.816649999999996</v>
      </c>
      <c r="AY159" s="1">
        <v>1.35</v>
      </c>
    </row>
    <row r="160" spans="4:51" x14ac:dyDescent="0.3">
      <c r="D160" s="2">
        <f t="shared" si="8"/>
        <v>1980</v>
      </c>
      <c r="E160" s="2">
        <f t="shared" si="9"/>
        <v>9</v>
      </c>
      <c r="F160" s="3"/>
      <c r="G160" s="4">
        <v>29480</v>
      </c>
      <c r="H160" s="1">
        <v>6606238</v>
      </c>
      <c r="I160" s="1">
        <v>661152</v>
      </c>
      <c r="J160" s="5" t="s">
        <v>176</v>
      </c>
      <c r="K160" s="1"/>
      <c r="L160" s="1" t="str">
        <f t="shared" si="10"/>
        <v xml:space="preserve">Oxundaån </v>
      </c>
      <c r="M160" s="1" t="s">
        <v>177</v>
      </c>
      <c r="N160" s="1">
        <v>0.5</v>
      </c>
      <c r="O160" s="1">
        <v>0.5</v>
      </c>
      <c r="Q160" s="1">
        <v>15.1</v>
      </c>
      <c r="R160" s="1">
        <v>7.84</v>
      </c>
      <c r="V160" s="1">
        <v>2.1280000000000001</v>
      </c>
      <c r="W160" s="1">
        <v>24</v>
      </c>
      <c r="X160" s="1">
        <f t="shared" si="11"/>
        <v>1.0019390372502261</v>
      </c>
      <c r="Y160" s="1">
        <v>4.8000000000000001E-2</v>
      </c>
      <c r="Z160" s="1">
        <v>72</v>
      </c>
      <c r="AD160" s="1">
        <v>27</v>
      </c>
      <c r="AE160" s="1">
        <v>8.1999999999999993</v>
      </c>
      <c r="AG160" s="1">
        <v>3.2</v>
      </c>
      <c r="AK160" s="1">
        <v>172</v>
      </c>
      <c r="AR160" s="1">
        <v>51.900000000000006</v>
      </c>
      <c r="AT160" s="1">
        <v>5.9040999999999997</v>
      </c>
      <c r="AU160" s="1">
        <v>8.4699999999999989</v>
      </c>
      <c r="AV160" s="1">
        <v>30.4161</v>
      </c>
      <c r="AW160" s="1">
        <v>21.196560000000002</v>
      </c>
      <c r="AX160" s="1">
        <v>68.567350000000005</v>
      </c>
      <c r="AY160" s="1">
        <v>2.35</v>
      </c>
    </row>
    <row r="161" spans="4:51" x14ac:dyDescent="0.3">
      <c r="D161" s="2">
        <f t="shared" si="8"/>
        <v>1980</v>
      </c>
      <c r="E161" s="2">
        <f t="shared" si="9"/>
        <v>10</v>
      </c>
      <c r="F161" s="3" t="s">
        <v>180</v>
      </c>
      <c r="G161" s="4">
        <v>29510</v>
      </c>
      <c r="H161" s="1">
        <v>6606238</v>
      </c>
      <c r="I161" s="1">
        <v>661152</v>
      </c>
      <c r="J161" s="5" t="s">
        <v>176</v>
      </c>
      <c r="K161" s="1"/>
      <c r="L161" s="1" t="str">
        <f t="shared" si="10"/>
        <v xml:space="preserve">Oxundaån </v>
      </c>
      <c r="M161" s="1" t="s">
        <v>177</v>
      </c>
      <c r="N161" s="1">
        <v>0.5</v>
      </c>
      <c r="O161" s="1">
        <v>0.5</v>
      </c>
      <c r="Q161" s="1">
        <v>9.1</v>
      </c>
      <c r="R161" s="1">
        <v>7.81</v>
      </c>
      <c r="V161" s="1">
        <v>2.0009999999999999</v>
      </c>
      <c r="W161" s="1">
        <v>133</v>
      </c>
      <c r="X161" s="1">
        <f t="shared" si="11"/>
        <v>1.3103180831871268</v>
      </c>
      <c r="Y161" s="1">
        <v>7.5999999999999998E-2</v>
      </c>
      <c r="Z161" s="1">
        <v>48</v>
      </c>
      <c r="AD161" s="1">
        <v>230</v>
      </c>
      <c r="AE161" s="1">
        <v>7.76</v>
      </c>
      <c r="AG161" s="1">
        <v>7.2</v>
      </c>
      <c r="AK161" s="1">
        <v>97</v>
      </c>
      <c r="AR161" s="1">
        <v>52.800000000000004</v>
      </c>
      <c r="AT161" s="1">
        <v>5.9823000000000004</v>
      </c>
      <c r="AU161" s="1">
        <v>9.68</v>
      </c>
      <c r="AV161" s="1">
        <v>30.203400000000002</v>
      </c>
      <c r="AW161" s="1">
        <v>22.572960000000002</v>
      </c>
      <c r="AX161" s="1">
        <v>85.096549999999993</v>
      </c>
      <c r="AY161" s="1">
        <v>3.4</v>
      </c>
    </row>
    <row r="162" spans="4:51" x14ac:dyDescent="0.3">
      <c r="D162" s="2">
        <f t="shared" si="8"/>
        <v>1980</v>
      </c>
      <c r="E162" s="2">
        <f t="shared" si="9"/>
        <v>11</v>
      </c>
      <c r="F162" s="3" t="s">
        <v>180</v>
      </c>
      <c r="G162" s="4">
        <v>29542</v>
      </c>
      <c r="H162" s="1">
        <v>6606238</v>
      </c>
      <c r="I162" s="1">
        <v>661152</v>
      </c>
      <c r="J162" s="5" t="s">
        <v>176</v>
      </c>
      <c r="K162" s="1"/>
      <c r="L162" s="1" t="str">
        <f t="shared" si="10"/>
        <v xml:space="preserve">Oxundaån </v>
      </c>
      <c r="M162" s="1" t="s">
        <v>177</v>
      </c>
      <c r="N162" s="1">
        <v>0.5</v>
      </c>
      <c r="O162" s="1">
        <v>0.5</v>
      </c>
      <c r="Q162" s="1">
        <v>2.1</v>
      </c>
      <c r="R162" s="1">
        <v>8.77</v>
      </c>
      <c r="V162" s="1">
        <v>1.8069999999999999</v>
      </c>
      <c r="W162" s="1">
        <v>353</v>
      </c>
      <c r="X162" s="1">
        <f t="shared" si="11"/>
        <v>0.99632176035297371</v>
      </c>
      <c r="Y162" s="1">
        <v>9.5000000000000001E-2</v>
      </c>
      <c r="Z162" s="1">
        <v>41</v>
      </c>
      <c r="AD162" s="1">
        <v>870</v>
      </c>
      <c r="AE162" s="1">
        <v>7.46</v>
      </c>
      <c r="AG162" s="1">
        <v>9.4</v>
      </c>
      <c r="AK162" s="1">
        <v>132</v>
      </c>
      <c r="AR162" s="1">
        <v>54.400000000000006</v>
      </c>
      <c r="AT162" s="1">
        <v>5.6303999999999998</v>
      </c>
      <c r="AU162" s="1">
        <v>9.3895999999999997</v>
      </c>
      <c r="AV162" s="1">
        <v>26.020300000000002</v>
      </c>
      <c r="AW162" s="1">
        <v>20.278960000000001</v>
      </c>
      <c r="AX162" s="1">
        <v>87.40294999999999</v>
      </c>
      <c r="AY162" s="1">
        <v>6.2</v>
      </c>
    </row>
    <row r="163" spans="4:51" x14ac:dyDescent="0.3">
      <c r="D163" s="2">
        <f t="shared" si="8"/>
        <v>1980</v>
      </c>
      <c r="E163" s="2">
        <f t="shared" si="9"/>
        <v>12</v>
      </c>
      <c r="F163" s="3" t="s">
        <v>175</v>
      </c>
      <c r="G163" s="4">
        <v>29570</v>
      </c>
      <c r="H163" s="1">
        <v>6606238</v>
      </c>
      <c r="I163" s="1">
        <v>661152</v>
      </c>
      <c r="J163" s="5" t="s">
        <v>176</v>
      </c>
      <c r="K163" s="1"/>
      <c r="L163" s="1" t="str">
        <f t="shared" si="10"/>
        <v xml:space="preserve">Oxundaån </v>
      </c>
      <c r="M163" s="1" t="s">
        <v>177</v>
      </c>
      <c r="N163" s="1">
        <v>0.5</v>
      </c>
      <c r="O163" s="1">
        <v>0.5</v>
      </c>
      <c r="Q163" s="1">
        <v>2.2000000000000002</v>
      </c>
      <c r="R163" s="1">
        <v>7.5</v>
      </c>
      <c r="V163" s="1">
        <v>1.853</v>
      </c>
      <c r="W163" s="1">
        <v>300</v>
      </c>
      <c r="X163" s="1">
        <f t="shared" si="11"/>
        <v>0.45910337787801458</v>
      </c>
      <c r="Y163" s="1">
        <v>0.14599999999999999</v>
      </c>
      <c r="Z163" s="1">
        <v>75</v>
      </c>
      <c r="AD163" s="1">
        <v>1220</v>
      </c>
      <c r="AE163" s="1">
        <v>7.19</v>
      </c>
      <c r="AG163" s="1">
        <v>9.6</v>
      </c>
      <c r="AK163" s="1">
        <v>115</v>
      </c>
      <c r="AR163" s="1">
        <v>51.6</v>
      </c>
      <c r="AT163" s="1">
        <v>5.0048000000000004</v>
      </c>
      <c r="AU163" s="1">
        <v>8.4215999999999998</v>
      </c>
      <c r="AV163" s="1">
        <v>22.475300000000001</v>
      </c>
      <c r="AW163" s="1">
        <v>18.352</v>
      </c>
      <c r="AX163" s="1">
        <v>76.687799999999996</v>
      </c>
      <c r="AY163" s="1">
        <v>5.52</v>
      </c>
    </row>
    <row r="164" spans="4:51" x14ac:dyDescent="0.3">
      <c r="D164" s="2">
        <f t="shared" si="8"/>
        <v>1981</v>
      </c>
      <c r="E164" s="2">
        <f t="shared" si="9"/>
        <v>1</v>
      </c>
      <c r="F164" s="3" t="s">
        <v>175</v>
      </c>
      <c r="G164" s="4">
        <v>29601</v>
      </c>
      <c r="H164" s="1">
        <v>6606238</v>
      </c>
      <c r="I164" s="1">
        <v>661152</v>
      </c>
      <c r="J164" s="5" t="s">
        <v>176</v>
      </c>
      <c r="K164" s="1"/>
      <c r="L164" s="1" t="str">
        <f t="shared" si="10"/>
        <v xml:space="preserve">Oxundaån </v>
      </c>
      <c r="M164" s="1" t="s">
        <v>177</v>
      </c>
      <c r="N164" s="1">
        <v>0.5</v>
      </c>
      <c r="O164" s="1">
        <v>0.5</v>
      </c>
      <c r="Q164" s="1">
        <v>1.2</v>
      </c>
      <c r="R164" s="1">
        <v>8.0399999999999991</v>
      </c>
      <c r="V164" s="1">
        <v>1.839</v>
      </c>
      <c r="W164" s="1">
        <v>359</v>
      </c>
      <c r="X164" s="1">
        <f t="shared" si="11"/>
        <v>0.50559073004775013</v>
      </c>
      <c r="Y164" s="1">
        <v>8.5999999999999993E-2</v>
      </c>
      <c r="Z164" s="1">
        <v>42</v>
      </c>
      <c r="AD164" s="1">
        <v>1320</v>
      </c>
      <c r="AE164" s="1">
        <v>7.19</v>
      </c>
      <c r="AG164" s="1">
        <v>17.399999999999999</v>
      </c>
      <c r="AK164" s="1">
        <v>100</v>
      </c>
      <c r="AR164" s="1">
        <v>54.1</v>
      </c>
      <c r="AT164" s="1">
        <v>5.3176000000000005</v>
      </c>
      <c r="AU164" s="1">
        <v>8.4094999999999995</v>
      </c>
      <c r="AV164" s="1">
        <v>22.15625</v>
      </c>
      <c r="AW164" s="1">
        <v>16.172699999999999</v>
      </c>
      <c r="AX164" s="1">
        <v>74.093099999999993</v>
      </c>
      <c r="AY164" s="1">
        <v>6.4</v>
      </c>
    </row>
    <row r="165" spans="4:51" x14ac:dyDescent="0.3">
      <c r="D165" s="2">
        <f t="shared" si="8"/>
        <v>1981</v>
      </c>
      <c r="E165" s="2">
        <f t="shared" si="9"/>
        <v>2</v>
      </c>
      <c r="F165" s="3" t="s">
        <v>175</v>
      </c>
      <c r="G165" s="4">
        <v>29633</v>
      </c>
      <c r="H165" s="1">
        <v>6606238</v>
      </c>
      <c r="I165" s="1">
        <v>661152</v>
      </c>
      <c r="J165" s="5" t="s">
        <v>176</v>
      </c>
      <c r="K165" s="1"/>
      <c r="L165" s="1" t="str">
        <f t="shared" si="10"/>
        <v xml:space="preserve">Oxundaån </v>
      </c>
      <c r="M165" s="1" t="s">
        <v>177</v>
      </c>
      <c r="N165" s="1">
        <v>0.5</v>
      </c>
      <c r="O165" s="1">
        <v>0.5</v>
      </c>
      <c r="Q165" s="1">
        <v>1.2</v>
      </c>
      <c r="R165" s="1">
        <v>7.1</v>
      </c>
      <c r="V165" s="1">
        <v>1.907</v>
      </c>
      <c r="W165" s="1">
        <v>282</v>
      </c>
      <c r="X165" s="1">
        <f t="shared" si="11"/>
        <v>0.31555827668566544</v>
      </c>
      <c r="Y165" s="1">
        <v>6.5000000000000002E-2</v>
      </c>
      <c r="Z165" s="1">
        <v>35</v>
      </c>
      <c r="AD165" s="1">
        <v>1200</v>
      </c>
      <c r="AE165" s="1">
        <v>7.09</v>
      </c>
      <c r="AG165" s="1">
        <v>13.6</v>
      </c>
      <c r="AK165" s="1">
        <v>88</v>
      </c>
      <c r="AR165" s="1">
        <v>51.2</v>
      </c>
      <c r="AT165" s="1">
        <v>5.7085999999999997</v>
      </c>
      <c r="AU165" s="1">
        <v>8.4699999999999989</v>
      </c>
      <c r="AV165" s="1">
        <v>22.971600000000002</v>
      </c>
      <c r="AW165" s="1">
        <v>16.746200000000002</v>
      </c>
      <c r="AX165" s="1">
        <v>74.429449999999989</v>
      </c>
      <c r="AY165" s="1">
        <v>5.2</v>
      </c>
    </row>
    <row r="166" spans="4:51" x14ac:dyDescent="0.3">
      <c r="D166" s="2">
        <f t="shared" si="8"/>
        <v>1981</v>
      </c>
      <c r="E166" s="2">
        <f t="shared" si="9"/>
        <v>3</v>
      </c>
      <c r="F166" s="3" t="s">
        <v>175</v>
      </c>
      <c r="G166" s="4">
        <v>29661</v>
      </c>
      <c r="H166" s="1">
        <v>6606238</v>
      </c>
      <c r="I166" s="1">
        <v>661152</v>
      </c>
      <c r="J166" s="5" t="s">
        <v>176</v>
      </c>
      <c r="K166" s="1"/>
      <c r="L166" s="1" t="str">
        <f t="shared" si="10"/>
        <v xml:space="preserve">Oxundaån </v>
      </c>
      <c r="M166" s="1" t="s">
        <v>177</v>
      </c>
      <c r="N166" s="1">
        <v>0.5</v>
      </c>
      <c r="O166" s="1">
        <v>0.5</v>
      </c>
      <c r="Q166" s="1">
        <v>2</v>
      </c>
      <c r="R166" s="1">
        <v>6.22</v>
      </c>
      <c r="V166" s="1">
        <v>1.796</v>
      </c>
      <c r="W166" s="1">
        <v>116</v>
      </c>
      <c r="X166" s="1">
        <f t="shared" si="11"/>
        <v>0.13873502383935812</v>
      </c>
      <c r="Y166" s="1">
        <v>7.0999999999999994E-2</v>
      </c>
      <c r="Z166" s="1">
        <v>32</v>
      </c>
      <c r="AD166" s="1">
        <v>1080</v>
      </c>
      <c r="AE166" s="1">
        <v>7.09</v>
      </c>
      <c r="AG166" s="1">
        <v>10.8</v>
      </c>
      <c r="AK166" s="1">
        <v>102</v>
      </c>
      <c r="AR166" s="1">
        <v>46.5</v>
      </c>
      <c r="AT166" s="1">
        <v>5.5130999999999997</v>
      </c>
      <c r="AU166" s="1">
        <v>7.7923999999999998</v>
      </c>
      <c r="AV166" s="1">
        <v>23.786950000000004</v>
      </c>
      <c r="AW166" s="1">
        <v>16.92972</v>
      </c>
      <c r="AX166" s="1">
        <v>71.930850000000007</v>
      </c>
      <c r="AY166" s="1">
        <v>5</v>
      </c>
    </row>
    <row r="167" spans="4:51" x14ac:dyDescent="0.3">
      <c r="D167" s="2">
        <f t="shared" si="8"/>
        <v>1981</v>
      </c>
      <c r="E167" s="2">
        <f t="shared" si="9"/>
        <v>4</v>
      </c>
      <c r="F167" s="3" t="s">
        <v>178</v>
      </c>
      <c r="G167" s="4">
        <v>29690</v>
      </c>
      <c r="H167" s="1">
        <v>6606238</v>
      </c>
      <c r="I167" s="1">
        <v>661152</v>
      </c>
      <c r="J167" s="5" t="s">
        <v>176</v>
      </c>
      <c r="K167" s="1"/>
      <c r="L167" s="1" t="str">
        <f t="shared" si="10"/>
        <v xml:space="preserve">Oxundaån </v>
      </c>
      <c r="M167" s="1" t="s">
        <v>177</v>
      </c>
      <c r="N167" s="1">
        <v>0.5</v>
      </c>
      <c r="O167" s="1">
        <v>0.5</v>
      </c>
      <c r="Q167" s="1">
        <v>5.5</v>
      </c>
      <c r="R167" s="1">
        <v>10.130000000000001</v>
      </c>
      <c r="V167" s="1">
        <v>1.6379999999999999</v>
      </c>
      <c r="W167" s="1">
        <v>180</v>
      </c>
      <c r="X167" s="1">
        <f t="shared" si="11"/>
        <v>0.65547547007212237</v>
      </c>
      <c r="Y167" s="1">
        <v>7.1999999999999995E-2</v>
      </c>
      <c r="Z167" s="1">
        <v>24</v>
      </c>
      <c r="AD167" s="1">
        <v>580</v>
      </c>
      <c r="AE167" s="1">
        <v>7.45</v>
      </c>
      <c r="AG167" s="1">
        <v>16.2</v>
      </c>
      <c r="AK167" s="1">
        <v>137</v>
      </c>
      <c r="AR167" s="1">
        <v>39.4</v>
      </c>
      <c r="AT167" s="1">
        <v>5.0048000000000004</v>
      </c>
      <c r="AU167" s="1">
        <v>6.6550000000000002</v>
      </c>
      <c r="AV167" s="1">
        <v>19.462050000000001</v>
      </c>
      <c r="AW167" s="1">
        <v>13.970460000000001</v>
      </c>
      <c r="AX167" s="1">
        <v>54.921149999999997</v>
      </c>
      <c r="AY167" s="1">
        <v>4</v>
      </c>
    </row>
    <row r="168" spans="4:51" x14ac:dyDescent="0.3">
      <c r="D168" s="2">
        <f t="shared" si="8"/>
        <v>1981</v>
      </c>
      <c r="E168" s="2">
        <f t="shared" si="9"/>
        <v>5</v>
      </c>
      <c r="F168" s="3" t="s">
        <v>178</v>
      </c>
      <c r="G168" s="4">
        <v>29720</v>
      </c>
      <c r="H168" s="1">
        <v>6606238</v>
      </c>
      <c r="I168" s="1">
        <v>661152</v>
      </c>
      <c r="J168" s="5" t="s">
        <v>176</v>
      </c>
      <c r="K168" s="1"/>
      <c r="L168" s="1" t="str">
        <f t="shared" si="10"/>
        <v xml:space="preserve">Oxundaån </v>
      </c>
      <c r="M168" s="1" t="s">
        <v>177</v>
      </c>
      <c r="N168" s="1">
        <v>0.5</v>
      </c>
      <c r="O168" s="1">
        <v>0.5</v>
      </c>
      <c r="Q168" s="1">
        <v>14.2</v>
      </c>
      <c r="R168" s="1">
        <v>13.41</v>
      </c>
      <c r="V168" s="1">
        <v>1.8620000000000001</v>
      </c>
      <c r="W168" s="1">
        <v>11</v>
      </c>
      <c r="X168" s="1">
        <f t="shared" si="11"/>
        <v>2.0101926386116564</v>
      </c>
      <c r="Y168" s="1">
        <v>6.4000000000000001E-2</v>
      </c>
      <c r="Z168" s="1">
        <v>5</v>
      </c>
      <c r="AD168" s="1">
        <v>60</v>
      </c>
      <c r="AE168" s="1">
        <v>8.94</v>
      </c>
      <c r="AG168" s="1">
        <v>9</v>
      </c>
      <c r="AK168" s="1">
        <v>52</v>
      </c>
      <c r="AR168" s="1">
        <v>45.599999999999994</v>
      </c>
      <c r="AT168" s="1">
        <v>4.7310999999999996</v>
      </c>
      <c r="AU168" s="1">
        <v>6.8727999999999989</v>
      </c>
      <c r="AV168" s="1">
        <v>23.751500000000004</v>
      </c>
      <c r="AW168" s="1">
        <v>15.713900000000002</v>
      </c>
      <c r="AX168" s="1">
        <v>55.209449999999997</v>
      </c>
      <c r="AY168" s="1">
        <v>0.35</v>
      </c>
    </row>
    <row r="169" spans="4:51" x14ac:dyDescent="0.3">
      <c r="D169" s="2">
        <f t="shared" si="8"/>
        <v>1981</v>
      </c>
      <c r="E169" s="2">
        <f t="shared" si="9"/>
        <v>6</v>
      </c>
      <c r="F169" s="3"/>
      <c r="G169" s="4">
        <v>29753</v>
      </c>
      <c r="H169" s="1">
        <v>6606238</v>
      </c>
      <c r="I169" s="1">
        <v>661152</v>
      </c>
      <c r="J169" s="5" t="s">
        <v>176</v>
      </c>
      <c r="K169" s="1"/>
      <c r="L169" s="1" t="str">
        <f t="shared" si="10"/>
        <v xml:space="preserve">Oxundaån </v>
      </c>
      <c r="M169" s="1" t="s">
        <v>177</v>
      </c>
      <c r="N169" s="1">
        <v>0.5</v>
      </c>
      <c r="O169" s="1">
        <v>0.5</v>
      </c>
      <c r="Q169" s="1">
        <v>17.100000000000001</v>
      </c>
      <c r="R169" s="1">
        <v>8.86</v>
      </c>
      <c r="V169" s="1">
        <v>1.982</v>
      </c>
      <c r="W169" s="1">
        <v>61</v>
      </c>
      <c r="X169" s="1">
        <f t="shared" si="11"/>
        <v>2.4650406804052429</v>
      </c>
      <c r="Y169" s="1">
        <v>6.4000000000000001E-2</v>
      </c>
      <c r="Z169" s="1">
        <v>29</v>
      </c>
      <c r="AD169" s="1">
        <v>80</v>
      </c>
      <c r="AE169" s="1">
        <v>8.1199999999999992</v>
      </c>
      <c r="AG169" s="1">
        <v>8.8000000000000007</v>
      </c>
      <c r="AK169" s="1">
        <v>84</v>
      </c>
      <c r="AR169" s="1">
        <v>47.400000000000006</v>
      </c>
      <c r="AT169" s="1">
        <v>5.2003000000000004</v>
      </c>
      <c r="AU169" s="1">
        <v>7.4293999999999993</v>
      </c>
      <c r="AV169" s="1">
        <v>24.6023</v>
      </c>
      <c r="AW169" s="1">
        <v>17.067360000000001</v>
      </c>
      <c r="AX169" s="1">
        <v>57.179499999999997</v>
      </c>
      <c r="AY169" s="1">
        <v>0.5</v>
      </c>
    </row>
    <row r="170" spans="4:51" x14ac:dyDescent="0.3">
      <c r="D170" s="2">
        <f t="shared" si="8"/>
        <v>1981</v>
      </c>
      <c r="E170" s="2">
        <f t="shared" si="9"/>
        <v>7</v>
      </c>
      <c r="F170" s="3" t="s">
        <v>179</v>
      </c>
      <c r="G170" s="4">
        <v>29781</v>
      </c>
      <c r="H170" s="1">
        <v>6606238</v>
      </c>
      <c r="I170" s="1">
        <v>661152</v>
      </c>
      <c r="J170" s="5" t="s">
        <v>176</v>
      </c>
      <c r="K170" s="1"/>
      <c r="L170" s="1" t="str">
        <f t="shared" si="10"/>
        <v xml:space="preserve">Oxundaån </v>
      </c>
      <c r="M170" s="1" t="s">
        <v>177</v>
      </c>
      <c r="N170" s="1">
        <v>0.5</v>
      </c>
      <c r="O170" s="1">
        <v>0.5</v>
      </c>
      <c r="Q170" s="1">
        <v>21.3</v>
      </c>
      <c r="R170" s="1">
        <v>5.41</v>
      </c>
      <c r="V170" s="1">
        <v>2.1339999999999999</v>
      </c>
      <c r="W170" s="1">
        <v>76</v>
      </c>
      <c r="X170" s="1">
        <f t="shared" si="11"/>
        <v>2.0305732797291176</v>
      </c>
      <c r="Y170" s="1">
        <v>4.2000000000000003E-2</v>
      </c>
      <c r="Z170" s="1">
        <v>81</v>
      </c>
      <c r="AD170" s="1">
        <v>22</v>
      </c>
      <c r="AE170" s="1">
        <v>7.8</v>
      </c>
      <c r="AG170" s="1">
        <v>8.1</v>
      </c>
      <c r="AK170" s="1">
        <v>111</v>
      </c>
      <c r="AR170" s="1">
        <v>50.32</v>
      </c>
      <c r="AT170" s="1">
        <v>5.5522</v>
      </c>
      <c r="AU170" s="1">
        <v>8.4699999999999989</v>
      </c>
      <c r="AV170" s="1">
        <v>25.878500000000003</v>
      </c>
      <c r="AW170" s="1">
        <v>16.9756</v>
      </c>
      <c r="AX170" s="1">
        <v>55.161399999999993</v>
      </c>
      <c r="AY170" s="1">
        <v>0.5</v>
      </c>
    </row>
    <row r="171" spans="4:51" x14ac:dyDescent="0.3">
      <c r="D171" s="2">
        <f t="shared" si="8"/>
        <v>1981</v>
      </c>
      <c r="E171" s="2">
        <f t="shared" si="9"/>
        <v>8</v>
      </c>
      <c r="F171" s="3" t="s">
        <v>179</v>
      </c>
      <c r="G171" s="4">
        <v>29815</v>
      </c>
      <c r="H171" s="1">
        <v>6606238</v>
      </c>
      <c r="I171" s="1">
        <v>661152</v>
      </c>
      <c r="J171" s="5" t="s">
        <v>176</v>
      </c>
      <c r="K171" s="1"/>
      <c r="L171" s="1" t="str">
        <f t="shared" si="10"/>
        <v xml:space="preserve">Oxundaån </v>
      </c>
      <c r="M171" s="1" t="s">
        <v>177</v>
      </c>
      <c r="N171" s="1">
        <v>0.5</v>
      </c>
      <c r="O171" s="1">
        <v>0.5</v>
      </c>
      <c r="Q171" s="1">
        <v>17.899999999999999</v>
      </c>
      <c r="R171" s="1">
        <v>7.34</v>
      </c>
      <c r="V171" s="1">
        <v>1.889</v>
      </c>
      <c r="W171" s="1">
        <v>67</v>
      </c>
      <c r="X171" s="1">
        <f t="shared" si="11"/>
        <v>2.9303111505293771</v>
      </c>
      <c r="Y171" s="1">
        <v>6.5000000000000002E-2</v>
      </c>
      <c r="Z171" s="1">
        <v>41</v>
      </c>
      <c r="AD171" s="1">
        <v>155</v>
      </c>
      <c r="AE171" s="1">
        <v>8.1300000000000008</v>
      </c>
      <c r="AG171" s="1">
        <v>12.7</v>
      </c>
      <c r="AK171" s="1">
        <v>114</v>
      </c>
      <c r="AR171" s="1">
        <v>44</v>
      </c>
      <c r="AT171" s="1">
        <v>3.91</v>
      </c>
      <c r="AU171" s="1">
        <v>5.5902000000000003</v>
      </c>
      <c r="AV171" s="1">
        <v>17.5123</v>
      </c>
      <c r="AW171" s="1">
        <v>12.387600000000001</v>
      </c>
      <c r="AX171" s="1">
        <v>44.254049999999999</v>
      </c>
      <c r="AY171" s="1">
        <v>1.8</v>
      </c>
    </row>
    <row r="172" spans="4:51" x14ac:dyDescent="0.3">
      <c r="D172" s="2">
        <f t="shared" si="8"/>
        <v>1981</v>
      </c>
      <c r="E172" s="2">
        <f t="shared" si="9"/>
        <v>9</v>
      </c>
      <c r="F172" s="3"/>
      <c r="G172" s="4">
        <v>29845</v>
      </c>
      <c r="H172" s="1">
        <v>6606238</v>
      </c>
      <c r="I172" s="1">
        <v>661152</v>
      </c>
      <c r="J172" s="5" t="s">
        <v>176</v>
      </c>
      <c r="K172" s="1"/>
      <c r="L172" s="1" t="str">
        <f t="shared" si="10"/>
        <v xml:space="preserve">Oxundaån </v>
      </c>
      <c r="M172" s="1" t="s">
        <v>177</v>
      </c>
      <c r="N172" s="1">
        <v>0.5</v>
      </c>
      <c r="O172" s="1">
        <v>0.5</v>
      </c>
      <c r="Q172" s="1">
        <v>13.3</v>
      </c>
      <c r="R172" s="1">
        <v>6.87</v>
      </c>
      <c r="V172" s="1">
        <v>2.3010000000000002</v>
      </c>
      <c r="W172" s="1">
        <v>17</v>
      </c>
      <c r="X172" s="1">
        <f t="shared" si="11"/>
        <v>0.32486833652755731</v>
      </c>
      <c r="Y172" s="1">
        <v>0.04</v>
      </c>
      <c r="Z172" s="1">
        <v>90</v>
      </c>
      <c r="AD172" s="1">
        <v>10</v>
      </c>
      <c r="AE172" s="1">
        <v>7.91</v>
      </c>
      <c r="AG172" s="1">
        <v>2.7</v>
      </c>
      <c r="AK172" s="1">
        <v>150</v>
      </c>
      <c r="AR172" s="1">
        <v>51</v>
      </c>
      <c r="AT172" s="1">
        <v>5.5130999999999997</v>
      </c>
      <c r="AU172" s="1">
        <v>7.26</v>
      </c>
      <c r="AV172" s="1">
        <v>27.154700000000002</v>
      </c>
      <c r="AW172" s="1">
        <v>18.9255</v>
      </c>
      <c r="AX172" s="1">
        <v>54.104299999999995</v>
      </c>
      <c r="AY172" s="1">
        <v>2.25</v>
      </c>
    </row>
    <row r="173" spans="4:51" x14ac:dyDescent="0.3">
      <c r="D173" s="2">
        <f t="shared" si="8"/>
        <v>1981</v>
      </c>
      <c r="E173" s="2">
        <f t="shared" si="9"/>
        <v>10</v>
      </c>
      <c r="F173" s="3" t="s">
        <v>180</v>
      </c>
      <c r="G173" s="4">
        <v>29872</v>
      </c>
      <c r="H173" s="1">
        <v>6606238</v>
      </c>
      <c r="I173" s="1">
        <v>661152</v>
      </c>
      <c r="J173" s="5" t="s">
        <v>176</v>
      </c>
      <c r="K173" s="1"/>
      <c r="L173" s="1" t="str">
        <f t="shared" si="10"/>
        <v xml:space="preserve">Oxundaån </v>
      </c>
      <c r="M173" s="1" t="s">
        <v>177</v>
      </c>
      <c r="N173" s="1">
        <v>0.5</v>
      </c>
      <c r="O173" s="1">
        <v>0.5</v>
      </c>
      <c r="Q173" s="1">
        <v>11.2</v>
      </c>
      <c r="R173" s="1">
        <v>9.08</v>
      </c>
      <c r="V173" s="1">
        <v>2.2869999999999999</v>
      </c>
      <c r="W173" s="1">
        <v>20</v>
      </c>
      <c r="X173" s="1">
        <f t="shared" si="11"/>
        <v>0.5473118334286633</v>
      </c>
      <c r="Y173" s="1">
        <v>5.3999999999999999E-2</v>
      </c>
      <c r="Z173" s="1">
        <v>76</v>
      </c>
      <c r="AD173" s="1">
        <v>15</v>
      </c>
      <c r="AE173" s="1">
        <v>8.14</v>
      </c>
      <c r="AG173" s="1">
        <v>2.7</v>
      </c>
      <c r="AK173" s="1">
        <v>105</v>
      </c>
      <c r="AR173" s="1">
        <v>51.7</v>
      </c>
      <c r="AT173" s="1">
        <v>5.5912999999999995</v>
      </c>
      <c r="AU173" s="1">
        <v>7.9859999999999998</v>
      </c>
      <c r="AV173" s="1">
        <v>28.643600000000003</v>
      </c>
      <c r="AW173" s="1">
        <v>19.957800000000002</v>
      </c>
      <c r="AX173" s="1">
        <v>60.1586</v>
      </c>
      <c r="AY173" s="1">
        <v>2.35</v>
      </c>
    </row>
    <row r="174" spans="4:51" x14ac:dyDescent="0.3">
      <c r="D174" s="2">
        <f t="shared" si="8"/>
        <v>1981</v>
      </c>
      <c r="E174" s="2">
        <f t="shared" si="9"/>
        <v>11</v>
      </c>
      <c r="F174" s="3" t="s">
        <v>180</v>
      </c>
      <c r="G174" s="4">
        <v>29906</v>
      </c>
      <c r="H174" s="1">
        <v>6606238</v>
      </c>
      <c r="I174" s="1">
        <v>661152</v>
      </c>
      <c r="J174" s="5" t="s">
        <v>176</v>
      </c>
      <c r="K174" s="1"/>
      <c r="L174" s="1" t="str">
        <f t="shared" si="10"/>
        <v xml:space="preserve">Oxundaån </v>
      </c>
      <c r="M174" s="1" t="s">
        <v>177</v>
      </c>
      <c r="N174" s="1">
        <v>0.5</v>
      </c>
      <c r="O174" s="1">
        <v>0.5</v>
      </c>
      <c r="Q174" s="1">
        <v>2.8</v>
      </c>
      <c r="R174" s="1">
        <v>10.46</v>
      </c>
      <c r="V174" s="1">
        <v>2.1909999999999998</v>
      </c>
      <c r="W174" s="1">
        <v>58</v>
      </c>
      <c r="X174" s="1">
        <f t="shared" si="11"/>
        <v>0.43369021396151175</v>
      </c>
      <c r="Y174" s="1">
        <v>5.1999999999999998E-2</v>
      </c>
      <c r="Z174" s="1">
        <v>47</v>
      </c>
      <c r="AD174" s="1">
        <v>270</v>
      </c>
      <c r="AE174" s="1">
        <v>7.86</v>
      </c>
      <c r="AG174" s="1">
        <v>5.4</v>
      </c>
      <c r="AK174" s="1">
        <v>83</v>
      </c>
      <c r="AR174" s="1">
        <v>53.3</v>
      </c>
      <c r="AT174" s="1">
        <v>5.3958000000000004</v>
      </c>
      <c r="AU174" s="1">
        <v>8.2279999999999998</v>
      </c>
      <c r="AV174" s="1">
        <v>28.714500000000005</v>
      </c>
      <c r="AW174" s="1">
        <v>19.040199999999999</v>
      </c>
      <c r="AX174" s="1">
        <v>64.290899999999993</v>
      </c>
      <c r="AY174" s="1">
        <v>2.2999999999999998</v>
      </c>
    </row>
    <row r="175" spans="4:51" x14ac:dyDescent="0.3">
      <c r="D175" s="2">
        <f t="shared" si="8"/>
        <v>1981</v>
      </c>
      <c r="E175" s="2">
        <f t="shared" si="9"/>
        <v>12</v>
      </c>
      <c r="F175" s="3" t="s">
        <v>175</v>
      </c>
      <c r="G175" s="4">
        <v>29935</v>
      </c>
      <c r="H175" s="1">
        <v>6606238</v>
      </c>
      <c r="I175" s="1">
        <v>661152</v>
      </c>
      <c r="J175" s="5" t="s">
        <v>176</v>
      </c>
      <c r="K175" s="1"/>
      <c r="L175" s="1" t="str">
        <f t="shared" si="10"/>
        <v xml:space="preserve">Oxundaån </v>
      </c>
      <c r="M175" s="1" t="s">
        <v>177</v>
      </c>
      <c r="N175" s="1">
        <v>0.5</v>
      </c>
      <c r="O175" s="1">
        <v>0.5</v>
      </c>
      <c r="Q175" s="1">
        <v>1.2</v>
      </c>
      <c r="R175" s="1">
        <v>10.23</v>
      </c>
      <c r="V175" s="1">
        <v>1.7390000000000001</v>
      </c>
      <c r="W175" s="1">
        <v>252</v>
      </c>
      <c r="X175" s="1">
        <f t="shared" si="11"/>
        <v>0.64506596779909187</v>
      </c>
      <c r="Y175" s="1">
        <v>8.2000000000000003E-2</v>
      </c>
      <c r="Z175" s="1">
        <v>52</v>
      </c>
      <c r="AD175" s="1">
        <v>1200</v>
      </c>
      <c r="AE175" s="1">
        <v>7.45</v>
      </c>
      <c r="AG175" s="1">
        <v>17.899999999999999</v>
      </c>
      <c r="AK175" s="1">
        <v>79</v>
      </c>
      <c r="AR175" s="1">
        <v>51.6</v>
      </c>
      <c r="AT175" s="1">
        <v>5.7477</v>
      </c>
      <c r="AU175" s="1">
        <v>8.5305</v>
      </c>
      <c r="AV175" s="1">
        <v>25.382200000000001</v>
      </c>
      <c r="AW175" s="1">
        <v>17.663800000000002</v>
      </c>
      <c r="AX175" s="1">
        <v>80.099350000000001</v>
      </c>
      <c r="AY175" s="1">
        <v>4.75</v>
      </c>
    </row>
    <row r="176" spans="4:51" x14ac:dyDescent="0.3">
      <c r="D176" s="2">
        <f t="shared" si="8"/>
        <v>1982</v>
      </c>
      <c r="E176" s="2">
        <f t="shared" si="9"/>
        <v>1</v>
      </c>
      <c r="F176" s="3" t="s">
        <v>175</v>
      </c>
      <c r="G176" s="4">
        <v>29965</v>
      </c>
      <c r="H176" s="1">
        <v>6606238</v>
      </c>
      <c r="I176" s="1">
        <v>661152</v>
      </c>
      <c r="J176" s="5" t="s">
        <v>176</v>
      </c>
      <c r="K176" s="1"/>
      <c r="L176" s="1" t="str">
        <f t="shared" si="10"/>
        <v xml:space="preserve">Oxundaån </v>
      </c>
      <c r="M176" s="1" t="s">
        <v>177</v>
      </c>
      <c r="N176" s="1">
        <v>0.5</v>
      </c>
      <c r="O176" s="1">
        <v>0.5</v>
      </c>
      <c r="Q176" s="1">
        <v>0.6</v>
      </c>
      <c r="R176" s="1">
        <v>8.8000000000000007</v>
      </c>
      <c r="V176" s="1">
        <v>1.889</v>
      </c>
      <c r="W176" s="1">
        <v>274</v>
      </c>
      <c r="X176" s="1">
        <f t="shared" si="11"/>
        <v>0.58121357473884527</v>
      </c>
      <c r="Y176" s="1">
        <v>6.6000000000000003E-2</v>
      </c>
      <c r="Z176" s="1">
        <v>53</v>
      </c>
      <c r="AD176" s="1">
        <v>1140</v>
      </c>
      <c r="AE176" s="1">
        <v>7.39</v>
      </c>
      <c r="AG176" s="1">
        <v>10.3</v>
      </c>
      <c r="AK176" s="1">
        <v>85</v>
      </c>
      <c r="AR176" s="1">
        <v>54.800000000000004</v>
      </c>
      <c r="AT176" s="1">
        <v>5.6303999999999998</v>
      </c>
      <c r="AU176" s="1">
        <v>9.0749999999999993</v>
      </c>
      <c r="AV176" s="1">
        <v>25.843050000000002</v>
      </c>
      <c r="AW176" s="1">
        <v>18.122600000000002</v>
      </c>
      <c r="AX176" s="1">
        <v>75.822900000000004</v>
      </c>
      <c r="AY176" s="1">
        <v>4.3499999999999996</v>
      </c>
    </row>
    <row r="177" spans="4:51" x14ac:dyDescent="0.3">
      <c r="D177" s="2">
        <f t="shared" si="8"/>
        <v>1982</v>
      </c>
      <c r="E177" s="2">
        <f t="shared" si="9"/>
        <v>2</v>
      </c>
      <c r="F177" s="3" t="s">
        <v>175</v>
      </c>
      <c r="G177" s="4">
        <v>29997</v>
      </c>
      <c r="H177" s="1">
        <v>6606238</v>
      </c>
      <c r="I177" s="1">
        <v>661152</v>
      </c>
      <c r="J177" s="5" t="s">
        <v>176</v>
      </c>
      <c r="K177" s="1"/>
      <c r="L177" s="1" t="str">
        <f t="shared" si="10"/>
        <v xml:space="preserve">Oxundaån </v>
      </c>
      <c r="M177" s="1" t="s">
        <v>177</v>
      </c>
      <c r="N177" s="1">
        <v>0.5</v>
      </c>
      <c r="O177" s="1">
        <v>0.5</v>
      </c>
      <c r="Q177" s="1">
        <v>0.7</v>
      </c>
      <c r="R177" s="1">
        <v>5.73</v>
      </c>
      <c r="V177" s="1">
        <v>2.052</v>
      </c>
      <c r="W177" s="1">
        <v>91</v>
      </c>
      <c r="X177" s="1">
        <f t="shared" si="11"/>
        <v>0.15117091955240983</v>
      </c>
      <c r="Y177" s="1">
        <v>7.0000000000000007E-2</v>
      </c>
      <c r="Z177" s="1">
        <v>62</v>
      </c>
      <c r="AD177" s="1">
        <v>1080</v>
      </c>
      <c r="AE177" s="1">
        <v>7.28</v>
      </c>
      <c r="AG177" s="1">
        <v>4.5</v>
      </c>
      <c r="AK177" s="1">
        <v>88</v>
      </c>
      <c r="AR177" s="1">
        <v>54.800000000000004</v>
      </c>
      <c r="AT177" s="1">
        <v>5.7085999999999997</v>
      </c>
      <c r="AU177" s="1">
        <v>9.0145</v>
      </c>
      <c r="AV177" s="1">
        <v>26.835650000000001</v>
      </c>
      <c r="AW177" s="1">
        <v>18.030840000000001</v>
      </c>
      <c r="AX177" s="1">
        <v>74.861899999999991</v>
      </c>
      <c r="AY177" s="1">
        <v>4.3</v>
      </c>
    </row>
    <row r="178" spans="4:51" x14ac:dyDescent="0.3">
      <c r="D178" s="2">
        <f t="shared" si="8"/>
        <v>1982</v>
      </c>
      <c r="E178" s="2">
        <f t="shared" si="9"/>
        <v>3</v>
      </c>
      <c r="F178" s="3" t="s">
        <v>175</v>
      </c>
      <c r="G178" s="4">
        <v>30025</v>
      </c>
      <c r="H178" s="1">
        <v>6606238</v>
      </c>
      <c r="I178" s="1">
        <v>661152</v>
      </c>
      <c r="J178" s="5" t="s">
        <v>176</v>
      </c>
      <c r="K178" s="1"/>
      <c r="L178" s="1" t="str">
        <f t="shared" si="10"/>
        <v xml:space="preserve">Oxundaån </v>
      </c>
      <c r="M178" s="1" t="s">
        <v>177</v>
      </c>
      <c r="N178" s="1">
        <v>0.5</v>
      </c>
      <c r="O178" s="1">
        <v>0.5</v>
      </c>
      <c r="Q178" s="1">
        <v>1.3</v>
      </c>
      <c r="R178" s="1">
        <v>5.34</v>
      </c>
      <c r="V178" s="1">
        <v>2.262</v>
      </c>
      <c r="W178" s="1">
        <v>18</v>
      </c>
      <c r="X178" s="1">
        <f t="shared" si="11"/>
        <v>2.8024517762810973E-2</v>
      </c>
      <c r="Y178" s="1">
        <v>5.5E-2</v>
      </c>
      <c r="Z178" s="1">
        <v>39</v>
      </c>
      <c r="AD178" s="1">
        <v>1160</v>
      </c>
      <c r="AE178" s="1">
        <v>7.23</v>
      </c>
      <c r="AG178" s="1">
        <v>7.8</v>
      </c>
      <c r="AK178" s="1">
        <v>80</v>
      </c>
      <c r="AR178" s="1">
        <v>59.400000000000006</v>
      </c>
      <c r="AT178" s="1">
        <v>5.5130999999999997</v>
      </c>
      <c r="AU178" s="1">
        <v>9.1355000000000004</v>
      </c>
      <c r="AV178" s="1">
        <v>28.501800000000003</v>
      </c>
      <c r="AW178" s="1">
        <v>19.17784</v>
      </c>
      <c r="AX178" s="1">
        <v>72.171099999999996</v>
      </c>
      <c r="AY178" s="1">
        <v>4</v>
      </c>
    </row>
    <row r="179" spans="4:51" x14ac:dyDescent="0.3">
      <c r="D179" s="2">
        <f t="shared" si="8"/>
        <v>1982</v>
      </c>
      <c r="E179" s="2">
        <f t="shared" si="9"/>
        <v>4</v>
      </c>
      <c r="F179" s="3" t="s">
        <v>178</v>
      </c>
      <c r="G179" s="4">
        <v>30056</v>
      </c>
      <c r="H179" s="1">
        <v>6606238</v>
      </c>
      <c r="I179" s="1">
        <v>661152</v>
      </c>
      <c r="J179" s="5" t="s">
        <v>176</v>
      </c>
      <c r="K179" s="1"/>
      <c r="L179" s="1" t="str">
        <f t="shared" si="10"/>
        <v xml:space="preserve">Oxundaån </v>
      </c>
      <c r="M179" s="1" t="s">
        <v>177</v>
      </c>
      <c r="N179" s="1">
        <v>0.5</v>
      </c>
      <c r="O179" s="1">
        <v>0.5</v>
      </c>
      <c r="Q179" s="1">
        <v>3.8</v>
      </c>
      <c r="R179" s="1">
        <v>10</v>
      </c>
      <c r="V179" s="1">
        <v>1.492</v>
      </c>
      <c r="W179" s="1">
        <v>56</v>
      </c>
      <c r="X179" s="1">
        <f t="shared" si="11"/>
        <v>0.11482287456098489</v>
      </c>
      <c r="Y179" s="1">
        <v>8.1000000000000003E-2</v>
      </c>
      <c r="Z179" s="1">
        <v>25</v>
      </c>
      <c r="AD179" s="1">
        <v>1330</v>
      </c>
      <c r="AE179" s="1">
        <v>7.26</v>
      </c>
      <c r="AG179" s="1">
        <v>9.6999999999999993</v>
      </c>
      <c r="AK179" s="1">
        <v>75</v>
      </c>
      <c r="AR179" s="1">
        <v>44.800000000000004</v>
      </c>
      <c r="AT179" s="1">
        <v>4.3010000000000002</v>
      </c>
      <c r="AU179" s="1">
        <v>7.0179999999999989</v>
      </c>
      <c r="AV179" s="1">
        <v>19.922900000000002</v>
      </c>
      <c r="AW179" s="1">
        <v>13.488720000000001</v>
      </c>
      <c r="AX179" s="1">
        <v>64.387</v>
      </c>
      <c r="AY179" s="1">
        <v>4.75</v>
      </c>
    </row>
    <row r="180" spans="4:51" x14ac:dyDescent="0.3">
      <c r="D180" s="2">
        <f t="shared" si="8"/>
        <v>1982</v>
      </c>
      <c r="E180" s="2">
        <f t="shared" si="9"/>
        <v>5</v>
      </c>
      <c r="F180" s="3" t="s">
        <v>178</v>
      </c>
      <c r="G180" s="4">
        <v>30084</v>
      </c>
      <c r="H180" s="1">
        <v>6606238</v>
      </c>
      <c r="I180" s="1">
        <v>661152</v>
      </c>
      <c r="J180" s="5" t="s">
        <v>176</v>
      </c>
      <c r="K180" s="1"/>
      <c r="L180" s="1" t="str">
        <f t="shared" si="10"/>
        <v xml:space="preserve">Oxundaån </v>
      </c>
      <c r="M180" s="1" t="s">
        <v>177</v>
      </c>
      <c r="N180" s="1">
        <v>0.5</v>
      </c>
      <c r="O180" s="1">
        <v>0.5</v>
      </c>
      <c r="Q180" s="1">
        <v>10.9</v>
      </c>
      <c r="R180" s="1">
        <v>9.74</v>
      </c>
      <c r="V180" s="1">
        <v>1.907</v>
      </c>
      <c r="W180" s="1">
        <v>45</v>
      </c>
      <c r="X180" s="1">
        <f t="shared" si="11"/>
        <v>1.1509998159438732</v>
      </c>
      <c r="Y180" s="1">
        <v>4.2999999999999997E-2</v>
      </c>
      <c r="Z180" s="1">
        <v>12</v>
      </c>
      <c r="AD180" s="1">
        <v>800</v>
      </c>
      <c r="AE180" s="1">
        <v>8.1199999999999992</v>
      </c>
      <c r="AG180" s="1">
        <v>8.1999999999999993</v>
      </c>
      <c r="AK180" s="1">
        <v>60</v>
      </c>
      <c r="AR180" s="1">
        <v>47.300000000000004</v>
      </c>
      <c r="AT180" s="1">
        <v>4.4965000000000002</v>
      </c>
      <c r="AU180" s="1">
        <v>7.4414999999999996</v>
      </c>
      <c r="AV180" s="1">
        <v>22.439850000000003</v>
      </c>
      <c r="AW180" s="1">
        <v>14.956880000000002</v>
      </c>
      <c r="AX180" s="1">
        <v>59.870299999999993</v>
      </c>
      <c r="AY180" s="1">
        <v>2.6</v>
      </c>
    </row>
    <row r="181" spans="4:51" x14ac:dyDescent="0.3">
      <c r="D181" s="2">
        <f t="shared" si="8"/>
        <v>1982</v>
      </c>
      <c r="E181" s="2">
        <f t="shared" si="9"/>
        <v>6</v>
      </c>
      <c r="F181" s="3"/>
      <c r="G181" s="4">
        <v>30117</v>
      </c>
      <c r="H181" s="1">
        <v>6606238</v>
      </c>
      <c r="I181" s="1">
        <v>661152</v>
      </c>
      <c r="J181" s="5" t="s">
        <v>176</v>
      </c>
      <c r="K181" s="1"/>
      <c r="L181" s="1" t="str">
        <f t="shared" si="10"/>
        <v xml:space="preserve">Oxundaån </v>
      </c>
      <c r="M181" s="1" t="s">
        <v>177</v>
      </c>
      <c r="N181" s="1">
        <v>0.5</v>
      </c>
      <c r="O181" s="1">
        <v>0.5</v>
      </c>
      <c r="Q181" s="1">
        <v>15.5</v>
      </c>
      <c r="R181" s="1">
        <v>7.3</v>
      </c>
      <c r="V181" s="1">
        <v>1.97</v>
      </c>
      <c r="W181" s="1">
        <v>73</v>
      </c>
      <c r="X181" s="1">
        <f t="shared" si="11"/>
        <v>1.5358970579009168</v>
      </c>
      <c r="Y181" s="1">
        <v>4.2999999999999997E-2</v>
      </c>
      <c r="Z181" s="1">
        <v>32</v>
      </c>
      <c r="AD181" s="1">
        <v>125</v>
      </c>
      <c r="AE181" s="1">
        <v>7.88</v>
      </c>
      <c r="AG181" s="1">
        <v>7.8</v>
      </c>
      <c r="AK181" s="1">
        <v>84</v>
      </c>
      <c r="AR181" s="1">
        <v>49.1</v>
      </c>
      <c r="AT181" s="1">
        <v>4.9266000000000005</v>
      </c>
      <c r="AU181" s="1">
        <v>7.4051999999999998</v>
      </c>
      <c r="AV181" s="1">
        <v>23.432450000000003</v>
      </c>
      <c r="AW181" s="1">
        <v>16.425039999999999</v>
      </c>
      <c r="AX181" s="1">
        <v>60.975449999999995</v>
      </c>
      <c r="AY181" s="1">
        <v>0.52</v>
      </c>
    </row>
    <row r="182" spans="4:51" x14ac:dyDescent="0.3">
      <c r="D182" s="2">
        <f t="shared" si="8"/>
        <v>1982</v>
      </c>
      <c r="E182" s="2">
        <f t="shared" si="9"/>
        <v>7</v>
      </c>
      <c r="F182" s="3" t="s">
        <v>179</v>
      </c>
      <c r="G182" s="4">
        <v>30147</v>
      </c>
      <c r="H182" s="1">
        <v>6606238</v>
      </c>
      <c r="I182" s="1">
        <v>661152</v>
      </c>
      <c r="J182" s="5" t="s">
        <v>176</v>
      </c>
      <c r="K182" s="1"/>
      <c r="L182" s="1" t="str">
        <f t="shared" si="10"/>
        <v xml:space="preserve">Oxundaån </v>
      </c>
      <c r="M182" s="1" t="s">
        <v>177</v>
      </c>
      <c r="N182" s="1">
        <v>0.5</v>
      </c>
      <c r="O182" s="1">
        <v>0.5</v>
      </c>
      <c r="Q182" s="1">
        <v>22.8</v>
      </c>
      <c r="R182" s="1">
        <v>12.42</v>
      </c>
      <c r="V182" s="1">
        <v>1.8859999999999999</v>
      </c>
      <c r="W182" s="1">
        <v>9</v>
      </c>
      <c r="X182" s="1">
        <f t="shared" si="11"/>
        <v>2.671944031079073</v>
      </c>
      <c r="Y182" s="1">
        <v>4.8000000000000001E-2</v>
      </c>
      <c r="Z182" s="1">
        <v>8</v>
      </c>
      <c r="AD182" s="1">
        <v>360</v>
      </c>
      <c r="AE182" s="1">
        <v>8.94</v>
      </c>
      <c r="AG182" s="1">
        <v>8.1999999999999993</v>
      </c>
      <c r="AK182" s="1">
        <v>90</v>
      </c>
      <c r="AR182" s="1">
        <v>48</v>
      </c>
      <c r="AT182" s="1">
        <v>4.6920000000000002</v>
      </c>
      <c r="AU182" s="1">
        <v>7.0905999999999993</v>
      </c>
      <c r="AV182" s="1">
        <v>24.035100000000003</v>
      </c>
      <c r="AW182" s="1">
        <v>17.342639999999999</v>
      </c>
      <c r="AX182" s="1">
        <v>61.455949999999994</v>
      </c>
      <c r="AY182" s="1">
        <v>0.8</v>
      </c>
    </row>
    <row r="183" spans="4:51" x14ac:dyDescent="0.3">
      <c r="D183" s="2">
        <f t="shared" si="8"/>
        <v>1982</v>
      </c>
      <c r="E183" s="2">
        <f t="shared" si="9"/>
        <v>8</v>
      </c>
      <c r="F183" s="3" t="s">
        <v>179</v>
      </c>
      <c r="G183" s="4">
        <v>30179</v>
      </c>
      <c r="H183" s="1">
        <v>6606238</v>
      </c>
      <c r="I183" s="1">
        <v>661152</v>
      </c>
      <c r="J183" s="5" t="s">
        <v>176</v>
      </c>
      <c r="K183" s="1"/>
      <c r="L183" s="1" t="str">
        <f t="shared" si="10"/>
        <v xml:space="preserve">Oxundaån </v>
      </c>
      <c r="M183" s="1" t="s">
        <v>177</v>
      </c>
      <c r="N183" s="1">
        <v>0.5</v>
      </c>
      <c r="O183" s="1">
        <v>0.5</v>
      </c>
      <c r="Q183" s="1">
        <v>18.2</v>
      </c>
      <c r="R183" s="1">
        <v>3.67</v>
      </c>
      <c r="V183" s="1">
        <v>1.8009999999999999</v>
      </c>
      <c r="W183" s="1">
        <v>143</v>
      </c>
      <c r="X183" s="1">
        <f t="shared" si="11"/>
        <v>2.1806278601505533</v>
      </c>
      <c r="Y183" s="1">
        <v>4.8000000000000001E-2</v>
      </c>
      <c r="Z183" s="1">
        <v>140</v>
      </c>
      <c r="AD183" s="1">
        <v>15</v>
      </c>
      <c r="AE183" s="1">
        <v>7.65</v>
      </c>
      <c r="AG183" s="1">
        <v>5.9</v>
      </c>
      <c r="AK183" s="1">
        <v>224</v>
      </c>
      <c r="AR183" s="1">
        <v>43.6</v>
      </c>
      <c r="AT183" s="1">
        <v>5.0439000000000007</v>
      </c>
      <c r="AU183" s="1">
        <v>7.1873999999999993</v>
      </c>
      <c r="AV183" s="1">
        <v>24.92135</v>
      </c>
      <c r="AW183" s="1">
        <v>17.755560000000003</v>
      </c>
      <c r="AX183" s="1">
        <v>54.488699999999994</v>
      </c>
      <c r="AY183" s="1">
        <v>1.8</v>
      </c>
    </row>
    <row r="184" spans="4:51" x14ac:dyDescent="0.3">
      <c r="D184" s="2">
        <f t="shared" si="8"/>
        <v>1982</v>
      </c>
      <c r="E184" s="2">
        <f t="shared" si="9"/>
        <v>9</v>
      </c>
      <c r="F184" s="3"/>
      <c r="G184" s="4">
        <v>30209</v>
      </c>
      <c r="H184" s="1">
        <v>6606238</v>
      </c>
      <c r="I184" s="1">
        <v>661152</v>
      </c>
      <c r="J184" s="5" t="s">
        <v>176</v>
      </c>
      <c r="K184" s="1"/>
      <c r="L184" s="1" t="str">
        <f t="shared" si="10"/>
        <v xml:space="preserve">Oxundaån </v>
      </c>
      <c r="M184" s="1" t="s">
        <v>177</v>
      </c>
      <c r="N184" s="1">
        <v>0.5</v>
      </c>
      <c r="O184" s="1">
        <v>0.5</v>
      </c>
      <c r="Q184" s="1">
        <v>13.7</v>
      </c>
      <c r="R184" s="1">
        <v>8</v>
      </c>
      <c r="V184" s="1">
        <v>1.8759999999999999</v>
      </c>
      <c r="W184" s="1">
        <v>42</v>
      </c>
      <c r="X184" s="1">
        <f t="shared" si="11"/>
        <v>0.70601565003750555</v>
      </c>
      <c r="Y184" s="1">
        <v>7.0000000000000007E-2</v>
      </c>
      <c r="Z184" s="1">
        <v>32</v>
      </c>
      <c r="AD184" s="1">
        <v>215</v>
      </c>
      <c r="AE184" s="1">
        <v>7.84</v>
      </c>
      <c r="AG184" s="1">
        <v>6.8</v>
      </c>
      <c r="AK184" s="1">
        <v>100</v>
      </c>
      <c r="AR184" s="1">
        <v>41.5</v>
      </c>
      <c r="AT184" s="1">
        <v>3.3235000000000006</v>
      </c>
      <c r="AU184" s="1">
        <v>5.2271999999999998</v>
      </c>
      <c r="AV184" s="1">
        <v>15.739800000000001</v>
      </c>
      <c r="AW184" s="1">
        <v>11.837040000000002</v>
      </c>
      <c r="AX184" s="1">
        <v>40.938599999999994</v>
      </c>
      <c r="AY184" s="1">
        <v>1.5</v>
      </c>
    </row>
    <row r="185" spans="4:51" x14ac:dyDescent="0.3">
      <c r="D185" s="2">
        <f t="shared" si="8"/>
        <v>1982</v>
      </c>
      <c r="E185" s="2">
        <f t="shared" si="9"/>
        <v>10</v>
      </c>
      <c r="F185" s="3" t="s">
        <v>180</v>
      </c>
      <c r="G185" s="4">
        <v>30238</v>
      </c>
      <c r="H185" s="1">
        <v>6606238</v>
      </c>
      <c r="I185" s="1">
        <v>661152</v>
      </c>
      <c r="J185" s="5" t="s">
        <v>176</v>
      </c>
      <c r="K185" s="1"/>
      <c r="L185" s="1" t="str">
        <f t="shared" si="10"/>
        <v xml:space="preserve">Oxundaån </v>
      </c>
      <c r="M185" s="1" t="s">
        <v>177</v>
      </c>
      <c r="N185" s="1">
        <v>0.5</v>
      </c>
      <c r="O185" s="1">
        <v>0.5</v>
      </c>
      <c r="Q185" s="1">
        <v>9.9</v>
      </c>
      <c r="R185" s="1">
        <v>5.46</v>
      </c>
      <c r="V185" s="1">
        <v>1.986</v>
      </c>
      <c r="W185" s="1">
        <v>260</v>
      </c>
      <c r="X185" s="1">
        <f t="shared" si="11"/>
        <v>1.8921808384806875</v>
      </c>
      <c r="Y185" s="1">
        <v>0.05</v>
      </c>
      <c r="Z185" s="1">
        <v>88</v>
      </c>
      <c r="AD185" s="1">
        <v>95</v>
      </c>
      <c r="AE185" s="1">
        <v>7.6</v>
      </c>
      <c r="AG185" s="1">
        <v>8.3000000000000007</v>
      </c>
      <c r="AK185" s="1">
        <v>166</v>
      </c>
      <c r="AR185" s="1">
        <v>49</v>
      </c>
      <c r="AT185" s="1">
        <v>5.4349000000000007</v>
      </c>
      <c r="AU185" s="1">
        <v>7.7198000000000002</v>
      </c>
      <c r="AV185" s="1">
        <v>27.296500000000002</v>
      </c>
      <c r="AW185" s="1">
        <v>19.499000000000002</v>
      </c>
      <c r="AX185" s="1">
        <v>63.426000000000002</v>
      </c>
      <c r="AY185" s="1">
        <v>3.1</v>
      </c>
    </row>
    <row r="186" spans="4:51" x14ac:dyDescent="0.3">
      <c r="D186" s="2">
        <f t="shared" si="8"/>
        <v>1982</v>
      </c>
      <c r="E186" s="2">
        <f t="shared" si="9"/>
        <v>11</v>
      </c>
      <c r="F186" s="3" t="s">
        <v>180</v>
      </c>
      <c r="G186" s="4">
        <v>30270</v>
      </c>
      <c r="H186" s="1">
        <v>6606238</v>
      </c>
      <c r="I186" s="1">
        <v>661152</v>
      </c>
      <c r="J186" s="5" t="s">
        <v>176</v>
      </c>
      <c r="K186" s="1"/>
      <c r="L186" s="1" t="str">
        <f t="shared" si="10"/>
        <v xml:space="preserve">Oxundaån </v>
      </c>
      <c r="M186" s="1" t="s">
        <v>177</v>
      </c>
      <c r="N186" s="1">
        <v>0.5</v>
      </c>
      <c r="O186" s="1">
        <v>0.5</v>
      </c>
      <c r="Q186" s="1">
        <v>4.4000000000000004</v>
      </c>
      <c r="R186" s="1">
        <v>9.5399999999999991</v>
      </c>
      <c r="V186" s="1">
        <v>2.0619999999999998</v>
      </c>
      <c r="W186" s="1">
        <v>205</v>
      </c>
      <c r="X186" s="1">
        <f t="shared" si="11"/>
        <v>1.5936941375506892</v>
      </c>
      <c r="Y186" s="1">
        <v>4.8000000000000001E-2</v>
      </c>
      <c r="Z186" s="1">
        <v>60</v>
      </c>
      <c r="AD186" s="1">
        <v>180</v>
      </c>
      <c r="AE186" s="1">
        <v>7.82</v>
      </c>
      <c r="AG186" s="1">
        <v>5.2</v>
      </c>
      <c r="AK186" s="1">
        <v>110</v>
      </c>
      <c r="AR186" s="1">
        <v>51</v>
      </c>
      <c r="AT186" s="1">
        <v>5.1612</v>
      </c>
      <c r="AU186" s="1">
        <v>7.8650000000000002</v>
      </c>
      <c r="AV186" s="1">
        <v>27.899150000000002</v>
      </c>
      <c r="AW186" s="1">
        <v>19.68252</v>
      </c>
      <c r="AX186" s="1">
        <v>62.224749999999993</v>
      </c>
      <c r="AY186" s="1">
        <v>3.3</v>
      </c>
    </row>
    <row r="187" spans="4:51" x14ac:dyDescent="0.3">
      <c r="D187" s="2">
        <f t="shared" si="8"/>
        <v>1982</v>
      </c>
      <c r="E187" s="2">
        <f t="shared" si="9"/>
        <v>12</v>
      </c>
      <c r="F187" s="3" t="s">
        <v>175</v>
      </c>
      <c r="G187" s="4">
        <v>30300</v>
      </c>
      <c r="H187" s="1">
        <v>6606238</v>
      </c>
      <c r="I187" s="1">
        <v>661152</v>
      </c>
      <c r="J187" s="5" t="s">
        <v>176</v>
      </c>
      <c r="K187" s="1"/>
      <c r="L187" s="1" t="str">
        <f t="shared" si="10"/>
        <v xml:space="preserve">Oxundaån </v>
      </c>
      <c r="M187" s="1" t="s">
        <v>177</v>
      </c>
      <c r="N187" s="1">
        <v>0.5</v>
      </c>
      <c r="O187" s="1">
        <v>0.5</v>
      </c>
      <c r="Q187" s="1">
        <v>1.1000000000000001</v>
      </c>
      <c r="R187" s="1">
        <v>10.52</v>
      </c>
      <c r="V187" s="1">
        <v>2.0710000000000002</v>
      </c>
      <c r="W187" s="1">
        <v>78</v>
      </c>
      <c r="X187" s="1">
        <f t="shared" si="11"/>
        <v>0.4625937122133072</v>
      </c>
      <c r="Y187" s="1">
        <v>3.4000000000000002E-2</v>
      </c>
      <c r="Z187" s="1">
        <v>48</v>
      </c>
      <c r="AD187" s="1">
        <v>390</v>
      </c>
      <c r="AE187" s="1">
        <v>7.82</v>
      </c>
      <c r="AG187" s="1">
        <v>2.6</v>
      </c>
      <c r="AK187" s="1">
        <v>79</v>
      </c>
      <c r="AR187" s="1">
        <v>52.800000000000004</v>
      </c>
      <c r="AT187" s="1">
        <v>5.2394000000000007</v>
      </c>
      <c r="AU187" s="1">
        <v>8.0586000000000002</v>
      </c>
      <c r="AV187" s="1">
        <v>29.139900000000001</v>
      </c>
      <c r="AW187" s="1">
        <v>20.55424</v>
      </c>
      <c r="AX187" s="1">
        <v>61.600099999999998</v>
      </c>
      <c r="AY187" s="1">
        <v>3.05</v>
      </c>
    </row>
    <row r="188" spans="4:51" x14ac:dyDescent="0.3">
      <c r="D188" s="2">
        <f t="shared" si="8"/>
        <v>1983</v>
      </c>
      <c r="E188" s="2">
        <f t="shared" si="9"/>
        <v>1</v>
      </c>
      <c r="F188" s="3" t="s">
        <v>175</v>
      </c>
      <c r="G188" s="4">
        <v>30329</v>
      </c>
      <c r="H188" s="1">
        <v>6606238</v>
      </c>
      <c r="I188" s="1">
        <v>661152</v>
      </c>
      <c r="J188" s="5" t="s">
        <v>176</v>
      </c>
      <c r="K188" s="1"/>
      <c r="L188" s="1" t="str">
        <f t="shared" si="10"/>
        <v xml:space="preserve">Oxundaån </v>
      </c>
      <c r="M188" s="1" t="s">
        <v>177</v>
      </c>
      <c r="N188" s="1">
        <v>0.5</v>
      </c>
      <c r="O188" s="1">
        <v>0.5</v>
      </c>
      <c r="Q188" s="1">
        <v>1.8</v>
      </c>
      <c r="R188" s="1">
        <v>10.47</v>
      </c>
      <c r="V188" s="1">
        <v>2.1349999999999998</v>
      </c>
      <c r="W188" s="1">
        <v>11</v>
      </c>
      <c r="X188" s="1">
        <f t="shared" si="11"/>
        <v>5.2522442148062683E-2</v>
      </c>
      <c r="Y188" s="1">
        <v>3.5000000000000003E-2</v>
      </c>
      <c r="Z188" s="1">
        <v>39</v>
      </c>
      <c r="AD188" s="1">
        <v>465</v>
      </c>
      <c r="AE188" s="1">
        <v>7.7</v>
      </c>
      <c r="AG188" s="1">
        <v>1.6</v>
      </c>
      <c r="AK188" s="1">
        <v>75</v>
      </c>
      <c r="AR188" s="1">
        <v>53.8</v>
      </c>
      <c r="AT188" s="1">
        <v>5.1221000000000005</v>
      </c>
      <c r="AU188" s="1">
        <v>7.5746000000000002</v>
      </c>
      <c r="AV188" s="1">
        <v>29.281700000000001</v>
      </c>
      <c r="AW188" s="1">
        <v>20.55424</v>
      </c>
      <c r="AX188" s="1">
        <v>65.996674999999996</v>
      </c>
      <c r="AY188" s="1">
        <v>2.95</v>
      </c>
    </row>
    <row r="189" spans="4:51" x14ac:dyDescent="0.3">
      <c r="D189" s="2">
        <f t="shared" si="8"/>
        <v>1983</v>
      </c>
      <c r="E189" s="2">
        <f t="shared" si="9"/>
        <v>2</v>
      </c>
      <c r="F189" s="3" t="s">
        <v>175</v>
      </c>
      <c r="G189" s="4">
        <v>30362</v>
      </c>
      <c r="H189" s="1">
        <v>6606238</v>
      </c>
      <c r="I189" s="1">
        <v>661152</v>
      </c>
      <c r="J189" s="5" t="s">
        <v>176</v>
      </c>
      <c r="K189" s="1"/>
      <c r="L189" s="1" t="str">
        <f t="shared" si="10"/>
        <v xml:space="preserve">Oxundaån </v>
      </c>
      <c r="M189" s="1" t="s">
        <v>177</v>
      </c>
      <c r="N189" s="1">
        <v>0.5</v>
      </c>
      <c r="O189" s="1">
        <v>0.5</v>
      </c>
      <c r="Q189" s="1">
        <v>1.3</v>
      </c>
      <c r="R189" s="1">
        <v>9.8000000000000007</v>
      </c>
      <c r="V189" s="1">
        <v>2.1859999999999999</v>
      </c>
      <c r="W189" s="1">
        <v>75</v>
      </c>
      <c r="X189" s="1">
        <f t="shared" si="11"/>
        <v>0.19358921041075153</v>
      </c>
      <c r="Y189" s="1">
        <v>3.7999999999999999E-2</v>
      </c>
      <c r="Z189" s="1">
        <v>58</v>
      </c>
      <c r="AD189" s="1">
        <v>930</v>
      </c>
      <c r="AE189" s="1">
        <v>7.45</v>
      </c>
      <c r="AG189" s="1">
        <v>5</v>
      </c>
      <c r="AK189" s="1">
        <v>87</v>
      </c>
      <c r="AR189" s="1">
        <v>58.7</v>
      </c>
      <c r="AT189" s="1">
        <v>5.7867999999999995</v>
      </c>
      <c r="AU189" s="1">
        <v>9.1959999999999997</v>
      </c>
      <c r="AV189" s="1">
        <v>31.160550000000004</v>
      </c>
      <c r="AW189" s="1">
        <v>21.701239999999999</v>
      </c>
      <c r="AX189" s="1">
        <v>83.736734999999996</v>
      </c>
      <c r="AY189" s="1">
        <v>3.35</v>
      </c>
    </row>
    <row r="190" spans="4:51" x14ac:dyDescent="0.3">
      <c r="D190" s="2">
        <f t="shared" si="8"/>
        <v>1983</v>
      </c>
      <c r="E190" s="2">
        <f t="shared" si="9"/>
        <v>3</v>
      </c>
      <c r="F190" s="3" t="s">
        <v>175</v>
      </c>
      <c r="G190" s="4">
        <v>30390</v>
      </c>
      <c r="H190" s="1">
        <v>6606238</v>
      </c>
      <c r="I190" s="1">
        <v>661152</v>
      </c>
      <c r="J190" s="5" t="s">
        <v>176</v>
      </c>
      <c r="K190" s="1"/>
      <c r="L190" s="1" t="str">
        <f t="shared" si="10"/>
        <v xml:space="preserve">Oxundaån </v>
      </c>
      <c r="M190" s="1" t="s">
        <v>177</v>
      </c>
      <c r="N190" s="1">
        <v>0.5</v>
      </c>
      <c r="O190" s="1">
        <v>0.5</v>
      </c>
      <c r="Q190" s="1">
        <v>2.5</v>
      </c>
      <c r="R190" s="1">
        <v>7.16</v>
      </c>
      <c r="V190" s="1">
        <v>2.5430000000000001</v>
      </c>
      <c r="W190" s="1">
        <v>20</v>
      </c>
      <c r="X190" s="1">
        <f t="shared" si="11"/>
        <v>6.3956325532219721E-2</v>
      </c>
      <c r="Y190" s="1">
        <v>3.9E-2</v>
      </c>
      <c r="Z190" s="1">
        <v>74</v>
      </c>
      <c r="AD190" s="1">
        <v>840</v>
      </c>
      <c r="AE190" s="1">
        <v>7.5</v>
      </c>
      <c r="AG190" s="1">
        <v>4.4000000000000004</v>
      </c>
      <c r="AK190" s="1">
        <v>102</v>
      </c>
      <c r="AR190" s="1">
        <v>61.7</v>
      </c>
      <c r="AT190" s="1">
        <v>5.8650000000000002</v>
      </c>
      <c r="AU190" s="1">
        <v>8.5425999999999984</v>
      </c>
      <c r="AV190" s="1">
        <v>31.621400000000005</v>
      </c>
      <c r="AW190" s="1">
        <v>21.747119999999999</v>
      </c>
      <c r="AX190" s="1">
        <v>74.506329999999991</v>
      </c>
      <c r="AY190" s="1">
        <v>2.95</v>
      </c>
    </row>
    <row r="191" spans="4:51" x14ac:dyDescent="0.3">
      <c r="D191" s="2">
        <f t="shared" si="8"/>
        <v>1983</v>
      </c>
      <c r="E191" s="2">
        <f t="shared" si="9"/>
        <v>4</v>
      </c>
      <c r="F191" s="3" t="s">
        <v>178</v>
      </c>
      <c r="G191" s="4">
        <v>30420</v>
      </c>
      <c r="H191" s="1">
        <v>6606238</v>
      </c>
      <c r="I191" s="1">
        <v>661152</v>
      </c>
      <c r="J191" s="5" t="s">
        <v>176</v>
      </c>
      <c r="K191" s="1"/>
      <c r="L191" s="1" t="str">
        <f t="shared" si="10"/>
        <v xml:space="preserve">Oxundaån </v>
      </c>
      <c r="M191" s="1" t="s">
        <v>177</v>
      </c>
      <c r="N191" s="1">
        <v>0.5</v>
      </c>
      <c r="O191" s="1">
        <v>0.5</v>
      </c>
      <c r="Q191" s="1">
        <v>3.2</v>
      </c>
      <c r="R191" s="1">
        <v>11.97</v>
      </c>
      <c r="V191" s="1">
        <v>1.569</v>
      </c>
      <c r="W191" s="1">
        <v>103</v>
      </c>
      <c r="X191" s="1">
        <f t="shared" si="11"/>
        <v>0.23614071854089438</v>
      </c>
      <c r="Y191" s="1">
        <v>5.8000000000000003E-2</v>
      </c>
      <c r="Z191" s="1">
        <v>8</v>
      </c>
      <c r="AD191" s="1">
        <v>1840</v>
      </c>
      <c r="AE191" s="1">
        <v>7.33</v>
      </c>
      <c r="AG191" s="1">
        <v>15.6</v>
      </c>
      <c r="AK191" s="1">
        <v>42</v>
      </c>
      <c r="AR191" s="1">
        <v>50.8</v>
      </c>
      <c r="AT191" s="1">
        <v>4.1837</v>
      </c>
      <c r="AU191" s="1">
        <v>9.5831999999999997</v>
      </c>
      <c r="AV191" s="1">
        <v>22.936150000000001</v>
      </c>
      <c r="AW191" s="1">
        <v>18.535520000000002</v>
      </c>
      <c r="AX191" s="1">
        <v>93.039214999999984</v>
      </c>
      <c r="AY191" s="1">
        <v>5.2</v>
      </c>
    </row>
    <row r="192" spans="4:51" x14ac:dyDescent="0.3">
      <c r="D192" s="2">
        <f t="shared" si="8"/>
        <v>1983</v>
      </c>
      <c r="E192" s="2">
        <f t="shared" si="9"/>
        <v>5</v>
      </c>
      <c r="F192" s="3" t="s">
        <v>178</v>
      </c>
      <c r="G192" s="4">
        <v>30452</v>
      </c>
      <c r="H192" s="1">
        <v>6606238</v>
      </c>
      <c r="I192" s="1">
        <v>661152</v>
      </c>
      <c r="J192" s="5" t="s">
        <v>176</v>
      </c>
      <c r="K192" s="1"/>
      <c r="L192" s="1" t="str">
        <f t="shared" si="10"/>
        <v xml:space="preserve">Oxundaån </v>
      </c>
      <c r="M192" s="1" t="s">
        <v>177</v>
      </c>
      <c r="N192" s="1">
        <v>0.5</v>
      </c>
      <c r="O192" s="1">
        <v>0.5</v>
      </c>
      <c r="Q192" s="1">
        <v>14.5</v>
      </c>
      <c r="R192" s="1">
        <v>11.21</v>
      </c>
      <c r="V192" s="1">
        <v>1.738</v>
      </c>
      <c r="W192" s="1">
        <v>16</v>
      </c>
      <c r="X192" s="1">
        <f t="shared" si="11"/>
        <v>0.57239270122967956</v>
      </c>
      <c r="Y192" s="1">
        <v>0.04</v>
      </c>
      <c r="Z192" s="1">
        <v>3</v>
      </c>
      <c r="AD192" s="1">
        <v>525</v>
      </c>
      <c r="AE192" s="1">
        <v>8.15</v>
      </c>
      <c r="AG192" s="1">
        <v>7.4</v>
      </c>
      <c r="AK192" s="1">
        <v>55</v>
      </c>
      <c r="AR192" s="1">
        <v>57.300000000000004</v>
      </c>
      <c r="AT192" s="1">
        <v>4.5356000000000005</v>
      </c>
      <c r="AU192" s="1">
        <v>9.8493999999999993</v>
      </c>
      <c r="AV192" s="1">
        <v>26.942000000000004</v>
      </c>
      <c r="AW192" s="1">
        <v>19.361360000000001</v>
      </c>
      <c r="AX192" s="1">
        <v>99.722970000000004</v>
      </c>
      <c r="AY192" s="1">
        <v>2.4</v>
      </c>
    </row>
    <row r="193" spans="4:51" x14ac:dyDescent="0.3">
      <c r="D193" s="2">
        <f t="shared" si="8"/>
        <v>1983</v>
      </c>
      <c r="E193" s="2">
        <f t="shared" si="9"/>
        <v>6</v>
      </c>
      <c r="F193" s="3"/>
      <c r="G193" s="4">
        <v>30481</v>
      </c>
      <c r="H193" s="1">
        <v>6606238</v>
      </c>
      <c r="I193" s="1">
        <v>661152</v>
      </c>
      <c r="J193" s="5" t="s">
        <v>176</v>
      </c>
      <c r="K193" s="1"/>
      <c r="L193" s="1" t="str">
        <f t="shared" si="10"/>
        <v xml:space="preserve">Oxundaån </v>
      </c>
      <c r="M193" s="1" t="s">
        <v>177</v>
      </c>
      <c r="N193" s="1">
        <v>0.5</v>
      </c>
      <c r="O193" s="1">
        <v>0.5</v>
      </c>
      <c r="Q193" s="1">
        <v>18.899999999999999</v>
      </c>
      <c r="R193" s="1">
        <v>8.93</v>
      </c>
      <c r="V193" s="1">
        <v>1.909</v>
      </c>
      <c r="W193" s="1">
        <v>67</v>
      </c>
      <c r="X193" s="1">
        <f t="shared" si="11"/>
        <v>2.3079598049789434</v>
      </c>
      <c r="Y193" s="1">
        <v>4.1000000000000002E-2</v>
      </c>
      <c r="Z193" s="1">
        <v>22</v>
      </c>
      <c r="AD193" s="1">
        <v>175</v>
      </c>
      <c r="AE193" s="1">
        <v>7.99</v>
      </c>
      <c r="AG193" s="1">
        <v>5</v>
      </c>
      <c r="AK193" s="1">
        <v>83</v>
      </c>
      <c r="AR193" s="1">
        <v>56</v>
      </c>
      <c r="AT193" s="1">
        <v>4.5356000000000005</v>
      </c>
      <c r="AU193" s="1">
        <v>9.2202000000000002</v>
      </c>
      <c r="AV193" s="1">
        <v>26.871100000000002</v>
      </c>
      <c r="AW193" s="1">
        <v>18.443760000000001</v>
      </c>
      <c r="AX193" s="1">
        <v>89.891939999999991</v>
      </c>
      <c r="AY193" s="1">
        <v>0.75</v>
      </c>
    </row>
    <row r="194" spans="4:51" x14ac:dyDescent="0.3">
      <c r="D194" s="2">
        <f t="shared" ref="D194:D257" si="12">YEAR(G194)</f>
        <v>1983</v>
      </c>
      <c r="E194" s="2">
        <f t="shared" ref="E194:E257" si="13">MONTH(G194)</f>
        <v>7</v>
      </c>
      <c r="F194" s="3" t="s">
        <v>179</v>
      </c>
      <c r="G194" s="4">
        <v>30510</v>
      </c>
      <c r="H194" s="1">
        <v>6606238</v>
      </c>
      <c r="I194" s="1">
        <v>661152</v>
      </c>
      <c r="J194" s="5" t="s">
        <v>176</v>
      </c>
      <c r="K194" s="1"/>
      <c r="L194" s="1" t="str">
        <f t="shared" ref="L194:L257" si="14">CONCATENATE(J194," ",K194)</f>
        <v xml:space="preserve">Oxundaån </v>
      </c>
      <c r="M194" s="1" t="s">
        <v>177</v>
      </c>
      <c r="N194" s="1">
        <v>0.5</v>
      </c>
      <c r="O194" s="1">
        <v>0.5</v>
      </c>
      <c r="Q194" s="1">
        <v>22.2</v>
      </c>
      <c r="R194" s="1">
        <v>7.29</v>
      </c>
      <c r="V194" s="1">
        <v>2.1859999999999999</v>
      </c>
      <c r="W194" s="1">
        <v>21</v>
      </c>
      <c r="X194" s="1">
        <f t="shared" ref="X194:X257" si="15">W194 * (1/((10^((0.0901821 + (2729.92 /(273.15 + Q194)))-AE194)+1)))</f>
        <v>1.0628713032896149</v>
      </c>
      <c r="Y194" s="1">
        <v>4.3999999999999997E-2</v>
      </c>
      <c r="AD194" s="1">
        <v>40</v>
      </c>
      <c r="AE194" s="1">
        <v>8.06</v>
      </c>
      <c r="AG194" s="1">
        <v>7.2</v>
      </c>
      <c r="AK194" s="1">
        <v>99</v>
      </c>
      <c r="AR194" s="1">
        <v>58</v>
      </c>
      <c r="AT194" s="1">
        <v>4.7310999999999996</v>
      </c>
      <c r="AU194" s="1">
        <v>10.164</v>
      </c>
      <c r="AV194" s="1">
        <v>27.048350000000003</v>
      </c>
      <c r="AW194" s="1">
        <v>19.407240000000002</v>
      </c>
      <c r="AX194" s="1">
        <v>86.201700000000002</v>
      </c>
      <c r="AY194" s="1">
        <v>1.65</v>
      </c>
    </row>
    <row r="195" spans="4:51" x14ac:dyDescent="0.3">
      <c r="D195" s="2">
        <f t="shared" si="12"/>
        <v>1983</v>
      </c>
      <c r="E195" s="2">
        <f t="shared" si="13"/>
        <v>8</v>
      </c>
      <c r="F195" s="3" t="s">
        <v>179</v>
      </c>
      <c r="G195" s="4">
        <v>30544</v>
      </c>
      <c r="H195" s="1">
        <v>6606238</v>
      </c>
      <c r="I195" s="1">
        <v>661152</v>
      </c>
      <c r="J195" s="5" t="s">
        <v>176</v>
      </c>
      <c r="K195" s="1"/>
      <c r="L195" s="1" t="str">
        <f t="shared" si="14"/>
        <v xml:space="preserve">Oxundaån </v>
      </c>
      <c r="M195" s="1" t="s">
        <v>177</v>
      </c>
      <c r="N195" s="1">
        <v>0.5</v>
      </c>
      <c r="O195" s="1">
        <v>0.5</v>
      </c>
      <c r="Q195" s="1">
        <v>18.3</v>
      </c>
      <c r="R195" s="1">
        <v>5.77</v>
      </c>
      <c r="V195" s="1">
        <v>2.1880000000000002</v>
      </c>
      <c r="W195" s="1">
        <v>46</v>
      </c>
      <c r="X195" s="1">
        <f t="shared" si="15"/>
        <v>1.1099019931904806</v>
      </c>
      <c r="Y195" s="1">
        <v>4.9000000000000002E-2</v>
      </c>
      <c r="Z195" s="1">
        <v>90</v>
      </c>
      <c r="AD195" s="1">
        <v>12</v>
      </c>
      <c r="AE195" s="1">
        <v>7.85</v>
      </c>
      <c r="AG195" s="1">
        <v>3.1</v>
      </c>
      <c r="AK195" s="1">
        <v>104</v>
      </c>
      <c r="AR195" s="1">
        <v>53.7</v>
      </c>
      <c r="AT195" s="1">
        <v>4.7310999999999996</v>
      </c>
      <c r="AU195" s="1">
        <v>9.7284000000000006</v>
      </c>
      <c r="AV195" s="1">
        <v>25.736700000000003</v>
      </c>
      <c r="AW195" s="1">
        <v>17.984960000000001</v>
      </c>
      <c r="AX195" s="1">
        <v>74.775409999999994</v>
      </c>
      <c r="AY195" s="1">
        <v>1.8</v>
      </c>
    </row>
    <row r="196" spans="4:51" x14ac:dyDescent="0.3">
      <c r="D196" s="2">
        <f t="shared" si="12"/>
        <v>1983</v>
      </c>
      <c r="E196" s="2">
        <f t="shared" si="13"/>
        <v>9</v>
      </c>
      <c r="F196" s="3"/>
      <c r="G196" s="4">
        <v>30574</v>
      </c>
      <c r="H196" s="1">
        <v>6606238</v>
      </c>
      <c r="I196" s="1">
        <v>661152</v>
      </c>
      <c r="J196" s="5" t="s">
        <v>176</v>
      </c>
      <c r="K196" s="1"/>
      <c r="L196" s="1" t="str">
        <f t="shared" si="14"/>
        <v xml:space="preserve">Oxundaån </v>
      </c>
      <c r="M196" s="1" t="s">
        <v>177</v>
      </c>
      <c r="N196" s="1">
        <v>0.5</v>
      </c>
      <c r="O196" s="1">
        <v>0.5</v>
      </c>
      <c r="Q196" s="1">
        <v>14.7</v>
      </c>
      <c r="R196" s="1">
        <v>5.45</v>
      </c>
      <c r="V196" s="1">
        <v>2.351</v>
      </c>
      <c r="W196" s="1">
        <v>98</v>
      </c>
      <c r="X196" s="1">
        <f t="shared" si="15"/>
        <v>1.2073464604205624</v>
      </c>
      <c r="Y196" s="1">
        <v>3.6999999999999998E-2</v>
      </c>
      <c r="Z196" s="1">
        <v>100</v>
      </c>
      <c r="AD196" s="1">
        <v>75</v>
      </c>
      <c r="AE196" s="1">
        <v>7.67</v>
      </c>
      <c r="AG196" s="1">
        <v>1.4</v>
      </c>
      <c r="AK196" s="1">
        <v>119</v>
      </c>
      <c r="AR196" s="1">
        <v>60</v>
      </c>
      <c r="AT196" s="1">
        <v>5.0048000000000004</v>
      </c>
      <c r="AU196" s="1">
        <v>10.164</v>
      </c>
      <c r="AV196" s="1">
        <v>29.494400000000002</v>
      </c>
      <c r="AW196" s="1">
        <v>21.104800000000001</v>
      </c>
      <c r="AX196" s="1">
        <v>81.704219999999992</v>
      </c>
      <c r="AY196" s="1">
        <v>2.4</v>
      </c>
    </row>
    <row r="197" spans="4:51" x14ac:dyDescent="0.3">
      <c r="D197" s="2">
        <f t="shared" si="12"/>
        <v>1983</v>
      </c>
      <c r="E197" s="2">
        <f t="shared" si="13"/>
        <v>10</v>
      </c>
      <c r="F197" s="3" t="s">
        <v>180</v>
      </c>
      <c r="G197" s="4">
        <v>30606</v>
      </c>
      <c r="H197" s="1">
        <v>6606238</v>
      </c>
      <c r="I197" s="1">
        <v>661152</v>
      </c>
      <c r="J197" s="5" t="s">
        <v>176</v>
      </c>
      <c r="K197" s="1"/>
      <c r="L197" s="1" t="str">
        <f t="shared" si="14"/>
        <v xml:space="preserve">Oxundaån </v>
      </c>
      <c r="M197" s="1" t="s">
        <v>177</v>
      </c>
      <c r="N197" s="1">
        <v>0.5</v>
      </c>
      <c r="O197" s="1">
        <v>0.5</v>
      </c>
      <c r="Q197" s="1">
        <v>8.8000000000000007</v>
      </c>
      <c r="R197" s="1">
        <v>8.7799999999999994</v>
      </c>
      <c r="V197" s="1">
        <v>2.2320000000000002</v>
      </c>
      <c r="W197" s="1">
        <v>65</v>
      </c>
      <c r="X197" s="1">
        <f t="shared" si="15"/>
        <v>0.94212031047864753</v>
      </c>
      <c r="Y197" s="1">
        <v>4.4999999999999998E-2</v>
      </c>
      <c r="Z197" s="1">
        <v>57</v>
      </c>
      <c r="AD197" s="1">
        <v>90</v>
      </c>
      <c r="AE197" s="1">
        <v>7.94</v>
      </c>
      <c r="AG197" s="1">
        <v>2.1</v>
      </c>
      <c r="AK197" s="1">
        <v>90</v>
      </c>
      <c r="AR197" s="1">
        <v>58</v>
      </c>
      <c r="AT197" s="1">
        <v>4.6138000000000003</v>
      </c>
      <c r="AU197" s="1">
        <v>9.8010000000000002</v>
      </c>
      <c r="AV197" s="1">
        <v>28.891750000000002</v>
      </c>
      <c r="AW197" s="1">
        <v>20.829520000000002</v>
      </c>
      <c r="AX197" s="1">
        <v>84.745784999999998</v>
      </c>
      <c r="AY197" s="1">
        <v>2</v>
      </c>
    </row>
    <row r="198" spans="4:51" x14ac:dyDescent="0.3">
      <c r="D198" s="2">
        <f t="shared" si="12"/>
        <v>1983</v>
      </c>
      <c r="E198" s="2">
        <f t="shared" si="13"/>
        <v>11</v>
      </c>
      <c r="F198" s="3" t="s">
        <v>180</v>
      </c>
      <c r="G198" s="4">
        <v>30634</v>
      </c>
      <c r="H198" s="1">
        <v>6606238</v>
      </c>
      <c r="I198" s="1">
        <v>661152</v>
      </c>
      <c r="J198" s="5" t="s">
        <v>176</v>
      </c>
      <c r="K198" s="1"/>
      <c r="L198" s="1" t="str">
        <f t="shared" si="14"/>
        <v xml:space="preserve">Oxundaån </v>
      </c>
      <c r="M198" s="1" t="s">
        <v>177</v>
      </c>
      <c r="N198" s="1">
        <v>0.5</v>
      </c>
      <c r="O198" s="1">
        <v>0.5</v>
      </c>
      <c r="Q198" s="1">
        <v>3.5</v>
      </c>
      <c r="R198" s="1">
        <v>10.3</v>
      </c>
      <c r="V198" s="1">
        <v>2.1030000000000002</v>
      </c>
      <c r="W198" s="1">
        <v>43</v>
      </c>
      <c r="X198" s="1">
        <f t="shared" si="15"/>
        <v>0.29682664430908456</v>
      </c>
      <c r="Y198" s="1">
        <v>3.5999999999999997E-2</v>
      </c>
      <c r="Z198" s="1">
        <v>37</v>
      </c>
      <c r="AD198" s="1">
        <v>215</v>
      </c>
      <c r="AE198" s="1">
        <v>7.8</v>
      </c>
      <c r="AG198" s="1">
        <v>3.4</v>
      </c>
      <c r="AK198" s="1">
        <v>77</v>
      </c>
      <c r="AR198" s="1">
        <v>57.5</v>
      </c>
      <c r="AT198" s="1">
        <v>5.0048000000000004</v>
      </c>
      <c r="AU198" s="1">
        <v>10.5875</v>
      </c>
      <c r="AV198" s="1">
        <v>31.089650000000002</v>
      </c>
      <c r="AW198" s="1">
        <v>22.022400000000001</v>
      </c>
      <c r="AX198" s="1">
        <v>88.671469999999985</v>
      </c>
      <c r="AY198" s="1">
        <v>1.7</v>
      </c>
    </row>
    <row r="199" spans="4:51" x14ac:dyDescent="0.3">
      <c r="D199" s="2">
        <f t="shared" si="12"/>
        <v>1983</v>
      </c>
      <c r="E199" s="2">
        <f t="shared" si="13"/>
        <v>12</v>
      </c>
      <c r="F199" s="3" t="s">
        <v>175</v>
      </c>
      <c r="G199" s="4">
        <v>30665</v>
      </c>
      <c r="H199" s="1">
        <v>6606238</v>
      </c>
      <c r="I199" s="1">
        <v>661152</v>
      </c>
      <c r="J199" s="5" t="s">
        <v>176</v>
      </c>
      <c r="K199" s="1"/>
      <c r="L199" s="1" t="str">
        <f t="shared" si="14"/>
        <v xml:space="preserve">Oxundaån </v>
      </c>
      <c r="M199" s="1" t="s">
        <v>177</v>
      </c>
      <c r="N199" s="1">
        <v>0.5</v>
      </c>
      <c r="O199" s="1">
        <v>0.5</v>
      </c>
      <c r="Q199" s="1">
        <v>0.6</v>
      </c>
      <c r="R199" s="1">
        <v>10.93</v>
      </c>
      <c r="V199" s="1">
        <v>2.306</v>
      </c>
      <c r="W199" s="1">
        <v>26</v>
      </c>
      <c r="X199" s="1">
        <f t="shared" si="15"/>
        <v>0.1736085568419608</v>
      </c>
      <c r="Y199" s="1">
        <v>0.05</v>
      </c>
      <c r="Z199" s="1">
        <v>35</v>
      </c>
      <c r="AD199" s="1">
        <v>175</v>
      </c>
      <c r="AE199" s="1">
        <v>7.89</v>
      </c>
      <c r="AG199" s="1">
        <v>2</v>
      </c>
      <c r="AK199" s="1">
        <v>57</v>
      </c>
      <c r="AR199" s="1">
        <v>66.7</v>
      </c>
      <c r="AT199" s="1">
        <v>5.2394000000000007</v>
      </c>
      <c r="AU199" s="1">
        <v>10.769</v>
      </c>
      <c r="AV199" s="1">
        <v>31.905000000000005</v>
      </c>
      <c r="AW199" s="1">
        <v>23.123520000000003</v>
      </c>
      <c r="AX199" s="1">
        <v>95.830919999999992</v>
      </c>
      <c r="AY199" s="1">
        <v>1.6</v>
      </c>
    </row>
    <row r="200" spans="4:51" x14ac:dyDescent="0.3">
      <c r="D200" s="2">
        <f t="shared" si="12"/>
        <v>1984</v>
      </c>
      <c r="E200" s="2">
        <f t="shared" si="13"/>
        <v>1</v>
      </c>
      <c r="F200" s="3" t="s">
        <v>175</v>
      </c>
      <c r="G200" s="4">
        <v>30697</v>
      </c>
      <c r="H200" s="1">
        <v>6606238</v>
      </c>
      <c r="I200" s="1">
        <v>661152</v>
      </c>
      <c r="J200" s="5" t="s">
        <v>176</v>
      </c>
      <c r="K200" s="1"/>
      <c r="L200" s="1" t="str">
        <f t="shared" si="14"/>
        <v xml:space="preserve">Oxundaån </v>
      </c>
      <c r="M200" s="1" t="s">
        <v>177</v>
      </c>
      <c r="N200" s="1">
        <v>0.5</v>
      </c>
      <c r="O200" s="1">
        <v>0.5</v>
      </c>
      <c r="Q200" s="1">
        <v>0.9</v>
      </c>
      <c r="R200" s="1">
        <v>10.5</v>
      </c>
      <c r="T200" s="1">
        <v>49.4</v>
      </c>
      <c r="V200" s="1">
        <v>2.2919999999999998</v>
      </c>
      <c r="W200" s="1">
        <v>118</v>
      </c>
      <c r="X200" s="1">
        <f t="shared" si="15"/>
        <v>0.45564412427492523</v>
      </c>
      <c r="Y200" s="1">
        <v>3.9E-2</v>
      </c>
      <c r="Z200" s="1">
        <v>72</v>
      </c>
      <c r="AD200" s="1">
        <v>450</v>
      </c>
      <c r="AE200" s="1">
        <v>7.64</v>
      </c>
      <c r="AG200" s="1">
        <v>4.2</v>
      </c>
      <c r="AK200" s="1">
        <v>84</v>
      </c>
      <c r="AR200" s="1">
        <v>57.300000000000004</v>
      </c>
      <c r="AT200" s="1">
        <v>5.2394000000000007</v>
      </c>
      <c r="AU200" s="1">
        <v>9.4380000000000006</v>
      </c>
      <c r="AV200" s="1">
        <v>34.528300000000002</v>
      </c>
      <c r="AW200" s="1">
        <v>24.568740000000002</v>
      </c>
      <c r="AX200" s="1">
        <v>70.152999999999992</v>
      </c>
      <c r="AY200" s="1">
        <v>1.9</v>
      </c>
    </row>
    <row r="201" spans="4:51" x14ac:dyDescent="0.3">
      <c r="D201" s="2">
        <f t="shared" si="12"/>
        <v>1984</v>
      </c>
      <c r="E201" s="2">
        <f t="shared" si="13"/>
        <v>2</v>
      </c>
      <c r="F201" s="3" t="s">
        <v>175</v>
      </c>
      <c r="G201" s="4">
        <v>30727</v>
      </c>
      <c r="H201" s="1">
        <v>6606238</v>
      </c>
      <c r="I201" s="1">
        <v>661152</v>
      </c>
      <c r="J201" s="5" t="s">
        <v>176</v>
      </c>
      <c r="K201" s="1"/>
      <c r="L201" s="1" t="str">
        <f t="shared" si="14"/>
        <v xml:space="preserve">Oxundaån </v>
      </c>
      <c r="M201" s="1" t="s">
        <v>177</v>
      </c>
      <c r="N201" s="1">
        <v>0.5</v>
      </c>
      <c r="O201" s="1">
        <v>0.5</v>
      </c>
      <c r="Q201" s="1">
        <v>1</v>
      </c>
      <c r="R201" s="1">
        <v>7.74</v>
      </c>
      <c r="T201" s="1">
        <v>52.6</v>
      </c>
      <c r="V201" s="1">
        <v>2.1949999999999998</v>
      </c>
      <c r="W201" s="1">
        <v>134</v>
      </c>
      <c r="X201" s="1">
        <f t="shared" si="15"/>
        <v>0.25023645142777312</v>
      </c>
      <c r="Y201" s="1">
        <v>4.7E-2</v>
      </c>
      <c r="Z201" s="1">
        <v>106</v>
      </c>
      <c r="AD201" s="1">
        <v>960</v>
      </c>
      <c r="AE201" s="1">
        <v>7.32</v>
      </c>
      <c r="AG201" s="1">
        <v>3.2</v>
      </c>
      <c r="AK201" s="1">
        <v>120</v>
      </c>
      <c r="AR201" s="1">
        <v>60.599999999999994</v>
      </c>
      <c r="AT201" s="1">
        <v>5.6303999999999998</v>
      </c>
      <c r="AU201" s="1">
        <v>10.648</v>
      </c>
      <c r="AV201" s="1">
        <v>38.286000000000008</v>
      </c>
      <c r="AW201" s="1">
        <v>26.426880000000001</v>
      </c>
      <c r="AX201" s="1">
        <v>84.471899999999991</v>
      </c>
      <c r="AY201" s="1">
        <v>2.9</v>
      </c>
    </row>
    <row r="202" spans="4:51" x14ac:dyDescent="0.3">
      <c r="D202" s="2">
        <f t="shared" si="12"/>
        <v>1984</v>
      </c>
      <c r="E202" s="2">
        <f t="shared" si="13"/>
        <v>3</v>
      </c>
      <c r="F202" s="3" t="s">
        <v>175</v>
      </c>
      <c r="G202" s="4">
        <v>30754</v>
      </c>
      <c r="H202" s="1">
        <v>6606238</v>
      </c>
      <c r="I202" s="1">
        <v>661152</v>
      </c>
      <c r="J202" s="5" t="s">
        <v>176</v>
      </c>
      <c r="K202" s="1"/>
      <c r="L202" s="1" t="str">
        <f t="shared" si="14"/>
        <v xml:space="preserve">Oxundaån </v>
      </c>
      <c r="M202" s="1" t="s">
        <v>177</v>
      </c>
      <c r="N202" s="1">
        <v>0.5</v>
      </c>
      <c r="O202" s="1">
        <v>0.5</v>
      </c>
      <c r="Q202" s="1">
        <v>1.7</v>
      </c>
      <c r="R202" s="1">
        <v>7.05</v>
      </c>
      <c r="T202" s="1">
        <v>59.2</v>
      </c>
      <c r="V202" s="1">
        <v>2.0339999999999998</v>
      </c>
      <c r="W202" s="1">
        <v>112</v>
      </c>
      <c r="X202" s="1">
        <f t="shared" si="15"/>
        <v>0.17217428585531164</v>
      </c>
      <c r="Y202" s="1">
        <v>3.9E-2</v>
      </c>
      <c r="Z202" s="1">
        <v>49</v>
      </c>
      <c r="AD202" s="1">
        <v>780</v>
      </c>
      <c r="AE202" s="1">
        <v>7.21</v>
      </c>
      <c r="AG202" s="1">
        <v>2.5</v>
      </c>
      <c r="AK202" s="1">
        <v>76</v>
      </c>
      <c r="AR202" s="1">
        <v>67</v>
      </c>
      <c r="AT202" s="1">
        <v>5.8650000000000002</v>
      </c>
      <c r="AU202" s="1">
        <v>14.277999999999999</v>
      </c>
      <c r="AV202" s="1">
        <v>38.640500000000003</v>
      </c>
      <c r="AW202" s="1">
        <v>27.895040000000002</v>
      </c>
      <c r="AX202" s="1">
        <v>118.20299999999999</v>
      </c>
      <c r="AY202" s="1">
        <v>2.85</v>
      </c>
    </row>
    <row r="203" spans="4:51" x14ac:dyDescent="0.3">
      <c r="D203" s="2">
        <f t="shared" si="12"/>
        <v>1984</v>
      </c>
      <c r="E203" s="2">
        <f t="shared" si="13"/>
        <v>4</v>
      </c>
      <c r="F203" s="3" t="s">
        <v>178</v>
      </c>
      <c r="G203" s="4">
        <v>30788</v>
      </c>
      <c r="H203" s="1">
        <v>6606238</v>
      </c>
      <c r="I203" s="1">
        <v>661152</v>
      </c>
      <c r="J203" s="5" t="s">
        <v>176</v>
      </c>
      <c r="K203" s="1"/>
      <c r="L203" s="1" t="str">
        <f t="shared" si="14"/>
        <v xml:space="preserve">Oxundaån </v>
      </c>
      <c r="M203" s="1" t="s">
        <v>177</v>
      </c>
      <c r="N203" s="1">
        <v>0.5</v>
      </c>
      <c r="O203" s="1">
        <v>0.5</v>
      </c>
      <c r="Q203" s="1">
        <v>4.2</v>
      </c>
      <c r="R203" s="1">
        <v>7.68</v>
      </c>
      <c r="T203" s="1">
        <v>36.299999999999997</v>
      </c>
      <c r="V203" s="1">
        <v>1.1890000000000001</v>
      </c>
      <c r="W203" s="1">
        <v>377</v>
      </c>
      <c r="X203" s="1">
        <f t="shared" si="15"/>
        <v>0.44954281358568227</v>
      </c>
      <c r="Y203" s="1">
        <v>6.6000000000000003E-2</v>
      </c>
      <c r="Z203" s="1">
        <v>21</v>
      </c>
      <c r="AD203" s="1">
        <v>1060</v>
      </c>
      <c r="AE203" s="1">
        <v>7.01</v>
      </c>
      <c r="AG203" s="1">
        <v>11.7</v>
      </c>
      <c r="AK203" s="1">
        <v>99</v>
      </c>
      <c r="AR203" s="1">
        <v>41.5</v>
      </c>
      <c r="AT203" s="1">
        <v>4.6920000000000002</v>
      </c>
      <c r="AU203" s="1">
        <v>8.4941999999999993</v>
      </c>
      <c r="AV203" s="1">
        <v>20.950949999999999</v>
      </c>
      <c r="AW203" s="1">
        <v>13.718120000000001</v>
      </c>
      <c r="AX203" s="1">
        <v>73.997</v>
      </c>
      <c r="AY203" s="1">
        <v>3.3</v>
      </c>
    </row>
    <row r="204" spans="4:51" x14ac:dyDescent="0.3">
      <c r="D204" s="2">
        <f t="shared" si="12"/>
        <v>1984</v>
      </c>
      <c r="E204" s="2">
        <f t="shared" si="13"/>
        <v>5</v>
      </c>
      <c r="F204" s="3" t="s">
        <v>178</v>
      </c>
      <c r="G204" s="4">
        <v>30817</v>
      </c>
      <c r="H204" s="1">
        <v>6606238</v>
      </c>
      <c r="I204" s="1">
        <v>661152</v>
      </c>
      <c r="J204" s="5" t="s">
        <v>176</v>
      </c>
      <c r="K204" s="1"/>
      <c r="L204" s="1" t="str">
        <f t="shared" si="14"/>
        <v xml:space="preserve">Oxundaån </v>
      </c>
      <c r="M204" s="1" t="s">
        <v>177</v>
      </c>
      <c r="N204" s="1">
        <v>0.5</v>
      </c>
      <c r="O204" s="1">
        <v>0.5</v>
      </c>
      <c r="Q204" s="1">
        <v>13.1</v>
      </c>
      <c r="R204" s="1">
        <v>10.83</v>
      </c>
      <c r="T204" s="1">
        <v>46.2</v>
      </c>
      <c r="V204" s="1">
        <v>1.6679999999999999</v>
      </c>
      <c r="W204" s="1">
        <v>25</v>
      </c>
      <c r="X204" s="1">
        <f t="shared" si="15"/>
        <v>0.4299184370380264</v>
      </c>
      <c r="Y204" s="1">
        <v>4.2000000000000003E-2</v>
      </c>
      <c r="Z204" s="1">
        <v>9</v>
      </c>
      <c r="AD204" s="1">
        <v>345</v>
      </c>
      <c r="AE204" s="1">
        <v>7.87</v>
      </c>
      <c r="AG204" s="1">
        <v>5</v>
      </c>
      <c r="AK204" s="1">
        <v>64</v>
      </c>
      <c r="AR204" s="1">
        <v>55.8</v>
      </c>
      <c r="AT204" s="1">
        <v>5.1612</v>
      </c>
      <c r="AU204" s="1">
        <v>11.132</v>
      </c>
      <c r="AV204" s="1">
        <v>27.509200000000003</v>
      </c>
      <c r="AW204" s="1">
        <v>20.14132</v>
      </c>
      <c r="AX204" s="1">
        <v>90.814499999999995</v>
      </c>
      <c r="AY204" s="1">
        <v>1.75</v>
      </c>
    </row>
    <row r="205" spans="4:51" x14ac:dyDescent="0.3">
      <c r="D205" s="2">
        <f t="shared" si="12"/>
        <v>1984</v>
      </c>
      <c r="E205" s="2">
        <f t="shared" si="13"/>
        <v>6</v>
      </c>
      <c r="F205" s="3"/>
      <c r="G205" s="4">
        <v>30847</v>
      </c>
      <c r="H205" s="1">
        <v>6606238</v>
      </c>
      <c r="I205" s="1">
        <v>661152</v>
      </c>
      <c r="J205" s="5" t="s">
        <v>176</v>
      </c>
      <c r="K205" s="1"/>
      <c r="L205" s="1" t="str">
        <f t="shared" si="14"/>
        <v xml:space="preserve">Oxundaån </v>
      </c>
      <c r="M205" s="1" t="s">
        <v>177</v>
      </c>
      <c r="N205" s="1">
        <v>0.5</v>
      </c>
      <c r="O205" s="1">
        <v>0.5</v>
      </c>
      <c r="Q205" s="1">
        <v>16.899999999999999</v>
      </c>
      <c r="R205" s="1">
        <v>9.39</v>
      </c>
      <c r="T205" s="1">
        <v>46.9</v>
      </c>
      <c r="V205" s="1">
        <v>1.87</v>
      </c>
      <c r="W205" s="1">
        <v>37</v>
      </c>
      <c r="X205" s="1">
        <f t="shared" si="15"/>
        <v>1.6457542144153741</v>
      </c>
      <c r="Y205" s="1">
        <v>4.2999999999999997E-2</v>
      </c>
      <c r="Z205" s="1">
        <v>33</v>
      </c>
      <c r="AD205" s="1">
        <v>65</v>
      </c>
      <c r="AE205" s="1">
        <v>8.17</v>
      </c>
      <c r="AG205" s="1">
        <v>10</v>
      </c>
      <c r="AK205" s="1">
        <v>98</v>
      </c>
      <c r="AR205" s="1">
        <v>55</v>
      </c>
      <c r="AT205" s="1">
        <v>5.0830000000000002</v>
      </c>
      <c r="AU205" s="1">
        <v>10.817399999999999</v>
      </c>
      <c r="AV205" s="1">
        <v>28.501800000000003</v>
      </c>
      <c r="AW205" s="1">
        <v>20.55424</v>
      </c>
      <c r="AX205" s="1">
        <v>86.009500000000003</v>
      </c>
      <c r="AY205" s="1">
        <v>0.2</v>
      </c>
    </row>
    <row r="206" spans="4:51" x14ac:dyDescent="0.3">
      <c r="D206" s="2">
        <f t="shared" si="12"/>
        <v>1984</v>
      </c>
      <c r="E206" s="2">
        <f t="shared" si="13"/>
        <v>7</v>
      </c>
      <c r="F206" s="3" t="s">
        <v>179</v>
      </c>
      <c r="G206" s="4">
        <v>30879</v>
      </c>
      <c r="H206" s="1">
        <v>6606238</v>
      </c>
      <c r="I206" s="1">
        <v>661152</v>
      </c>
      <c r="J206" s="5" t="s">
        <v>176</v>
      </c>
      <c r="K206" s="1"/>
      <c r="L206" s="1" t="str">
        <f t="shared" si="14"/>
        <v xml:space="preserve">Oxundaån </v>
      </c>
      <c r="M206" s="1" t="s">
        <v>177</v>
      </c>
      <c r="N206" s="1">
        <v>0.5</v>
      </c>
      <c r="O206" s="1">
        <v>0.5</v>
      </c>
      <c r="Q206" s="1">
        <v>19.3</v>
      </c>
      <c r="R206" s="1">
        <v>7.35</v>
      </c>
      <c r="T206" s="1">
        <v>46.7</v>
      </c>
      <c r="V206" s="1">
        <v>2.0609999999999999</v>
      </c>
      <c r="W206" s="1">
        <v>19</v>
      </c>
      <c r="X206" s="1">
        <f t="shared" si="15"/>
        <v>0.8217043132896058</v>
      </c>
      <c r="Y206" s="1">
        <v>6.3E-2</v>
      </c>
      <c r="Z206" s="1">
        <v>68</v>
      </c>
      <c r="AD206" s="1">
        <v>8</v>
      </c>
      <c r="AE206" s="1">
        <v>8.08</v>
      </c>
      <c r="AG206" s="1">
        <v>5</v>
      </c>
      <c r="AK206" s="1">
        <v>124</v>
      </c>
      <c r="AR206" s="1">
        <v>55.8</v>
      </c>
      <c r="AT206" s="1">
        <v>5.0048000000000004</v>
      </c>
      <c r="AU206" s="1">
        <v>10.526999999999999</v>
      </c>
      <c r="AV206" s="1">
        <v>28.891750000000002</v>
      </c>
      <c r="AW206" s="1">
        <v>20.646000000000001</v>
      </c>
      <c r="AX206" s="1">
        <v>77.840999999999994</v>
      </c>
      <c r="AY206" s="1">
        <v>0.3</v>
      </c>
    </row>
    <row r="207" spans="4:51" x14ac:dyDescent="0.3">
      <c r="D207" s="2">
        <f t="shared" si="12"/>
        <v>1984</v>
      </c>
      <c r="E207" s="2">
        <f t="shared" si="13"/>
        <v>8</v>
      </c>
      <c r="F207" s="3" t="s">
        <v>179</v>
      </c>
      <c r="G207" s="4">
        <v>30909</v>
      </c>
      <c r="H207" s="1">
        <v>6606238</v>
      </c>
      <c r="I207" s="1">
        <v>661152</v>
      </c>
      <c r="J207" s="5" t="s">
        <v>176</v>
      </c>
      <c r="K207" s="1"/>
      <c r="L207" s="1" t="str">
        <f t="shared" si="14"/>
        <v xml:space="preserve">Oxundaån </v>
      </c>
      <c r="M207" s="1" t="s">
        <v>177</v>
      </c>
      <c r="N207" s="1">
        <v>0.5</v>
      </c>
      <c r="O207" s="1">
        <v>0.5</v>
      </c>
      <c r="Q207" s="1">
        <v>19.8</v>
      </c>
      <c r="R207" s="1">
        <v>6.36</v>
      </c>
      <c r="T207" s="1">
        <v>46.1</v>
      </c>
      <c r="V207" s="1">
        <v>2.0219999999999998</v>
      </c>
      <c r="W207" s="1">
        <v>12</v>
      </c>
      <c r="X207" s="1">
        <f t="shared" si="15"/>
        <v>0.28821569943260045</v>
      </c>
      <c r="Y207" s="1">
        <v>4.3999999999999997E-2</v>
      </c>
      <c r="Z207" s="1">
        <v>74</v>
      </c>
      <c r="AD207" s="1">
        <v>6</v>
      </c>
      <c r="AE207" s="1">
        <v>7.8</v>
      </c>
      <c r="AG207" s="1">
        <v>6.7</v>
      </c>
      <c r="AK207" s="1">
        <v>168</v>
      </c>
      <c r="AR207" s="1">
        <v>51.6</v>
      </c>
      <c r="AT207" s="1">
        <v>4.8093000000000004</v>
      </c>
      <c r="AU207" s="1">
        <v>10.345499999999999</v>
      </c>
      <c r="AV207" s="1">
        <v>29.033550000000002</v>
      </c>
      <c r="AW207" s="1">
        <v>22.114160000000002</v>
      </c>
      <c r="AX207" s="1">
        <v>74.477499999999992</v>
      </c>
      <c r="AY207" s="1">
        <v>0.8</v>
      </c>
    </row>
    <row r="208" spans="4:51" x14ac:dyDescent="0.3">
      <c r="D208" s="2">
        <f t="shared" si="12"/>
        <v>1984</v>
      </c>
      <c r="E208" s="2">
        <f t="shared" si="13"/>
        <v>9</v>
      </c>
      <c r="F208" s="3"/>
      <c r="G208" s="4">
        <v>30937</v>
      </c>
      <c r="H208" s="1">
        <v>6606238</v>
      </c>
      <c r="I208" s="1">
        <v>661152</v>
      </c>
      <c r="J208" s="5" t="s">
        <v>176</v>
      </c>
      <c r="K208" s="1"/>
      <c r="L208" s="1" t="str">
        <f t="shared" si="14"/>
        <v xml:space="preserve">Oxundaån </v>
      </c>
      <c r="M208" s="1" t="s">
        <v>177</v>
      </c>
      <c r="N208" s="1">
        <v>0.5</v>
      </c>
      <c r="O208" s="1">
        <v>0.5</v>
      </c>
      <c r="Q208" s="1">
        <v>14.6</v>
      </c>
      <c r="R208" s="1">
        <v>11.61</v>
      </c>
      <c r="T208" s="1">
        <v>46.2</v>
      </c>
      <c r="V208" s="1">
        <v>1.956</v>
      </c>
      <c r="W208" s="1">
        <v>16</v>
      </c>
      <c r="X208" s="1">
        <f t="shared" si="15"/>
        <v>2.4284212819607753</v>
      </c>
      <c r="Y208" s="1">
        <v>4.5999999999999999E-2</v>
      </c>
      <c r="Z208" s="1">
        <v>72</v>
      </c>
      <c r="AD208" s="1">
        <v>5</v>
      </c>
      <c r="AE208" s="1">
        <v>8.83</v>
      </c>
      <c r="AG208" s="1">
        <v>6.5</v>
      </c>
      <c r="AK208" s="1">
        <v>178</v>
      </c>
      <c r="AR208" s="1">
        <v>53.099999999999994</v>
      </c>
      <c r="AT208" s="1">
        <v>5.2394000000000007</v>
      </c>
      <c r="AU208" s="1">
        <v>10.648</v>
      </c>
      <c r="AV208" s="1">
        <v>29.38805</v>
      </c>
      <c r="AW208" s="1">
        <v>21.563600000000001</v>
      </c>
      <c r="AX208" s="1">
        <v>75.438500000000005</v>
      </c>
      <c r="AY208" s="1">
        <v>1.95</v>
      </c>
    </row>
    <row r="209" spans="4:51" x14ac:dyDescent="0.3">
      <c r="D209" s="2">
        <f t="shared" si="12"/>
        <v>1984</v>
      </c>
      <c r="E209" s="2">
        <f t="shared" si="13"/>
        <v>10</v>
      </c>
      <c r="F209" s="3" t="s">
        <v>180</v>
      </c>
      <c r="G209" s="4">
        <v>30970</v>
      </c>
      <c r="H209" s="1">
        <v>6606238</v>
      </c>
      <c r="I209" s="1">
        <v>661152</v>
      </c>
      <c r="J209" s="5" t="s">
        <v>176</v>
      </c>
      <c r="K209" s="1"/>
      <c r="L209" s="1" t="str">
        <f t="shared" si="14"/>
        <v xml:space="preserve">Oxundaån </v>
      </c>
      <c r="M209" s="1" t="s">
        <v>177</v>
      </c>
      <c r="N209" s="1">
        <v>0.5</v>
      </c>
      <c r="O209" s="1">
        <v>0.5</v>
      </c>
      <c r="Q209" s="1">
        <v>9.3000000000000007</v>
      </c>
      <c r="R209" s="1">
        <v>9.2100000000000009</v>
      </c>
      <c r="T209" s="1">
        <v>47.6</v>
      </c>
      <c r="V209" s="1">
        <v>1.893</v>
      </c>
      <c r="W209" s="1">
        <v>12</v>
      </c>
      <c r="X209" s="1">
        <f t="shared" si="15"/>
        <v>0.16513417656853144</v>
      </c>
      <c r="Y209" s="1">
        <v>4.8000000000000001E-2</v>
      </c>
      <c r="Z209" s="1">
        <v>72</v>
      </c>
      <c r="AD209" s="1">
        <v>155</v>
      </c>
      <c r="AE209" s="1">
        <v>7.9</v>
      </c>
      <c r="AG209" s="1">
        <v>5</v>
      </c>
      <c r="AK209" s="1">
        <v>127</v>
      </c>
      <c r="AR209" s="1">
        <v>54.400000000000006</v>
      </c>
      <c r="AT209" s="1">
        <v>5.0048000000000004</v>
      </c>
      <c r="AU209" s="1">
        <v>11.313499999999999</v>
      </c>
      <c r="AV209" s="1">
        <v>29.494400000000002</v>
      </c>
      <c r="AW209" s="1">
        <v>20.737760000000002</v>
      </c>
      <c r="AX209" s="1">
        <v>84.087499999999991</v>
      </c>
      <c r="AY209" s="1">
        <v>2.8</v>
      </c>
    </row>
    <row r="210" spans="4:51" x14ac:dyDescent="0.3">
      <c r="D210" s="2">
        <f t="shared" si="12"/>
        <v>1984</v>
      </c>
      <c r="E210" s="2">
        <f t="shared" si="13"/>
        <v>11</v>
      </c>
      <c r="F210" s="3" t="s">
        <v>180</v>
      </c>
      <c r="G210" s="4">
        <v>31001</v>
      </c>
      <c r="H210" s="1">
        <v>6606238</v>
      </c>
      <c r="I210" s="1">
        <v>661152</v>
      </c>
      <c r="J210" s="5" t="s">
        <v>176</v>
      </c>
      <c r="K210" s="1"/>
      <c r="L210" s="1" t="str">
        <f t="shared" si="14"/>
        <v xml:space="preserve">Oxundaån </v>
      </c>
      <c r="M210" s="1" t="s">
        <v>177</v>
      </c>
      <c r="N210" s="1">
        <v>0.5</v>
      </c>
      <c r="O210" s="1">
        <v>0.5</v>
      </c>
      <c r="Q210" s="1">
        <v>5.3</v>
      </c>
      <c r="R210" s="1">
        <v>7.42</v>
      </c>
      <c r="T210" s="1">
        <v>46.9</v>
      </c>
      <c r="V210" s="1">
        <v>1.865</v>
      </c>
      <c r="W210" s="1">
        <v>332</v>
      </c>
      <c r="X210" s="1">
        <f t="shared" si="15"/>
        <v>1.2454816480245237</v>
      </c>
      <c r="Y210" s="1">
        <v>6.6000000000000003E-2</v>
      </c>
      <c r="Z210" s="1">
        <v>88</v>
      </c>
      <c r="AD210" s="1">
        <v>630</v>
      </c>
      <c r="AE210" s="1">
        <v>7.47</v>
      </c>
      <c r="AG210" s="1">
        <v>4.0999999999999996</v>
      </c>
      <c r="AK210" s="1">
        <v>105</v>
      </c>
      <c r="AR210" s="1">
        <v>54.3</v>
      </c>
      <c r="AT210" s="1">
        <v>5.3176000000000005</v>
      </c>
      <c r="AU210" s="1">
        <v>10.708499999999999</v>
      </c>
      <c r="AV210" s="1">
        <v>26.835650000000001</v>
      </c>
      <c r="AW210" s="1">
        <v>18.306120000000004</v>
      </c>
      <c r="AX210" s="1">
        <v>84.087499999999991</v>
      </c>
      <c r="AY210" s="1">
        <v>4.8</v>
      </c>
    </row>
    <row r="211" spans="4:51" x14ac:dyDescent="0.3">
      <c r="D211" s="2">
        <f t="shared" si="12"/>
        <v>1984</v>
      </c>
      <c r="E211" s="2">
        <f t="shared" si="13"/>
        <v>12</v>
      </c>
      <c r="F211" s="3" t="s">
        <v>175</v>
      </c>
      <c r="G211" s="4">
        <v>31033</v>
      </c>
      <c r="H211" s="1">
        <v>6606238</v>
      </c>
      <c r="I211" s="1">
        <v>661152</v>
      </c>
      <c r="J211" s="5" t="s">
        <v>176</v>
      </c>
      <c r="K211" s="1"/>
      <c r="L211" s="1" t="str">
        <f t="shared" si="14"/>
        <v xml:space="preserve">Oxundaån </v>
      </c>
      <c r="M211" s="1" t="s">
        <v>177</v>
      </c>
      <c r="N211" s="1">
        <v>0.5</v>
      </c>
      <c r="O211" s="1">
        <v>0.5</v>
      </c>
      <c r="Q211" s="1">
        <v>1.5</v>
      </c>
      <c r="R211" s="1">
        <v>6.2</v>
      </c>
      <c r="T211" s="1">
        <v>50.3</v>
      </c>
      <c r="V211" s="1">
        <v>1.7070000000000001</v>
      </c>
      <c r="W211" s="1">
        <v>213</v>
      </c>
      <c r="X211" s="1">
        <f t="shared" si="15"/>
        <v>0.90514005569258282</v>
      </c>
      <c r="Y211" s="1">
        <v>5.5E-2</v>
      </c>
      <c r="Z211" s="1">
        <v>50</v>
      </c>
      <c r="AD211" s="1">
        <v>990</v>
      </c>
      <c r="AE211" s="1">
        <v>7.66</v>
      </c>
      <c r="AG211" s="1">
        <v>5.7</v>
      </c>
      <c r="AK211" s="1">
        <v>76</v>
      </c>
      <c r="AR211" s="1">
        <v>58.8</v>
      </c>
      <c r="AT211" s="1">
        <v>5.4740000000000011</v>
      </c>
      <c r="AU211" s="1">
        <v>11.555499999999999</v>
      </c>
      <c r="AV211" s="1">
        <v>27.048350000000003</v>
      </c>
      <c r="AW211" s="1">
        <v>18.71904</v>
      </c>
      <c r="AX211" s="1">
        <v>105.22949999999999</v>
      </c>
      <c r="AY211" s="1">
        <v>5.8</v>
      </c>
    </row>
    <row r="212" spans="4:51" x14ac:dyDescent="0.3">
      <c r="D212" s="2">
        <f t="shared" si="12"/>
        <v>1985</v>
      </c>
      <c r="E212" s="2">
        <f t="shared" si="13"/>
        <v>1</v>
      </c>
      <c r="F212" s="3" t="s">
        <v>175</v>
      </c>
      <c r="G212" s="4">
        <v>31062</v>
      </c>
      <c r="H212" s="1">
        <v>6606238</v>
      </c>
      <c r="I212" s="1">
        <v>661152</v>
      </c>
      <c r="J212" s="5" t="s">
        <v>176</v>
      </c>
      <c r="K212" s="1"/>
      <c r="L212" s="1" t="str">
        <f t="shared" si="14"/>
        <v xml:space="preserve">Oxundaån </v>
      </c>
      <c r="M212" s="1" t="s">
        <v>177</v>
      </c>
      <c r="N212" s="1">
        <v>0.5</v>
      </c>
      <c r="O212" s="1">
        <v>0.5</v>
      </c>
      <c r="Q212" s="1">
        <v>0.7</v>
      </c>
      <c r="R212" s="1">
        <v>8.6999999999999993</v>
      </c>
      <c r="T212" s="1">
        <v>51.9</v>
      </c>
      <c r="V212" s="1">
        <v>1.9610000000000001</v>
      </c>
      <c r="W212" s="1">
        <v>110</v>
      </c>
      <c r="X212" s="1">
        <f t="shared" si="15"/>
        <v>0.25794197512894285</v>
      </c>
      <c r="Y212" s="1">
        <v>6.8000000000000005E-2</v>
      </c>
      <c r="Z212" s="1">
        <v>70</v>
      </c>
      <c r="AD212" s="1">
        <v>1290</v>
      </c>
      <c r="AE212" s="1">
        <v>7.43</v>
      </c>
      <c r="AG212" s="1">
        <v>3.2</v>
      </c>
      <c r="AK212" s="1">
        <v>94</v>
      </c>
      <c r="AR212" s="1">
        <v>63</v>
      </c>
      <c r="AT212" s="1">
        <v>5.6303999999999998</v>
      </c>
      <c r="AU212" s="1">
        <v>11.978999999999999</v>
      </c>
      <c r="AV212" s="1">
        <v>27.686450000000004</v>
      </c>
      <c r="AW212" s="1">
        <v>19.499000000000002</v>
      </c>
      <c r="AX212" s="1">
        <v>98.98299999999999</v>
      </c>
      <c r="AY212" s="1">
        <v>6.2</v>
      </c>
    </row>
    <row r="213" spans="4:51" x14ac:dyDescent="0.3">
      <c r="D213" s="2">
        <f t="shared" si="12"/>
        <v>1985</v>
      </c>
      <c r="E213" s="2">
        <f t="shared" si="13"/>
        <v>2</v>
      </c>
      <c r="F213" s="3" t="s">
        <v>175</v>
      </c>
      <c r="G213" s="4">
        <v>31098</v>
      </c>
      <c r="H213" s="1">
        <v>6606238</v>
      </c>
      <c r="I213" s="1">
        <v>661152</v>
      </c>
      <c r="J213" s="5" t="s">
        <v>176</v>
      </c>
      <c r="K213" s="1"/>
      <c r="L213" s="1" t="str">
        <f t="shared" si="14"/>
        <v xml:space="preserve">Oxundaån </v>
      </c>
      <c r="M213" s="1" t="s">
        <v>177</v>
      </c>
      <c r="N213" s="1">
        <v>0.5</v>
      </c>
      <c r="O213" s="1">
        <v>0.5</v>
      </c>
      <c r="Q213" s="1">
        <v>0.2</v>
      </c>
      <c r="R213" s="1">
        <v>5.0999999999999996</v>
      </c>
      <c r="T213" s="1">
        <v>52.2</v>
      </c>
      <c r="V213" s="1">
        <v>1.9930000000000001</v>
      </c>
      <c r="W213" s="1">
        <v>100</v>
      </c>
      <c r="X213" s="1">
        <f t="shared" si="15"/>
        <v>0.17067613204862375</v>
      </c>
      <c r="Y213" s="1">
        <v>5.7000000000000002E-2</v>
      </c>
      <c r="Z213" s="1">
        <v>62</v>
      </c>
      <c r="AD213" s="1">
        <v>1260</v>
      </c>
      <c r="AE213" s="1">
        <v>7.31</v>
      </c>
      <c r="AG213" s="1">
        <v>4.5</v>
      </c>
      <c r="AK213" s="1">
        <v>88</v>
      </c>
      <c r="AR213" s="1">
        <v>61.68</v>
      </c>
      <c r="AT213" s="1">
        <v>5.5522</v>
      </c>
      <c r="AU213" s="1">
        <v>11.9185</v>
      </c>
      <c r="AV213" s="1">
        <v>28.714500000000005</v>
      </c>
      <c r="AW213" s="1">
        <v>20.233080000000001</v>
      </c>
      <c r="AX213" s="1">
        <v>98.021999999999991</v>
      </c>
      <c r="AY213" s="1">
        <v>4.5</v>
      </c>
    </row>
    <row r="214" spans="4:51" x14ac:dyDescent="0.3">
      <c r="D214" s="2">
        <f t="shared" si="12"/>
        <v>1985</v>
      </c>
      <c r="E214" s="2">
        <f t="shared" si="13"/>
        <v>3</v>
      </c>
      <c r="F214" s="3" t="s">
        <v>175</v>
      </c>
      <c r="G214" s="4">
        <v>31124</v>
      </c>
      <c r="H214" s="1">
        <v>6606238</v>
      </c>
      <c r="I214" s="1">
        <v>661152</v>
      </c>
      <c r="J214" s="5" t="s">
        <v>176</v>
      </c>
      <c r="K214" s="1"/>
      <c r="L214" s="1" t="str">
        <f t="shared" si="14"/>
        <v xml:space="preserve">Oxundaån </v>
      </c>
      <c r="M214" s="1" t="s">
        <v>177</v>
      </c>
      <c r="N214" s="1">
        <v>0.5</v>
      </c>
      <c r="O214" s="1">
        <v>0.5</v>
      </c>
      <c r="Q214" s="1">
        <v>1.2</v>
      </c>
      <c r="R214" s="1">
        <v>6.05</v>
      </c>
      <c r="T214" s="1">
        <v>51.6</v>
      </c>
      <c r="V214" s="1">
        <v>2.0939999999999999</v>
      </c>
      <c r="W214" s="1">
        <v>27</v>
      </c>
      <c r="X214" s="1">
        <f t="shared" si="15"/>
        <v>4.5703001697807076E-2</v>
      </c>
      <c r="Y214" s="1">
        <v>0.05</v>
      </c>
      <c r="Z214" s="1">
        <v>66</v>
      </c>
      <c r="AD214" s="1">
        <v>1220</v>
      </c>
      <c r="AE214" s="1">
        <v>7.27</v>
      </c>
      <c r="AG214" s="1">
        <v>2.9</v>
      </c>
      <c r="AK214" s="1">
        <v>93</v>
      </c>
      <c r="AR214" s="1">
        <v>61.48</v>
      </c>
      <c r="AT214" s="1">
        <v>5.3176000000000005</v>
      </c>
      <c r="AU214" s="1">
        <v>11.978999999999999</v>
      </c>
      <c r="AV214" s="1">
        <v>28.360000000000003</v>
      </c>
      <c r="AW214" s="1">
        <v>20.09544</v>
      </c>
      <c r="AX214" s="1">
        <v>92.736499999999992</v>
      </c>
      <c r="AY214" s="1">
        <v>5.3</v>
      </c>
    </row>
    <row r="215" spans="4:51" x14ac:dyDescent="0.3">
      <c r="D215" s="2">
        <f t="shared" si="12"/>
        <v>1985</v>
      </c>
      <c r="E215" s="2">
        <f t="shared" si="13"/>
        <v>4</v>
      </c>
      <c r="F215" s="3" t="s">
        <v>178</v>
      </c>
      <c r="G215" s="4">
        <v>31152</v>
      </c>
      <c r="H215" s="1">
        <v>6606238</v>
      </c>
      <c r="I215" s="1">
        <v>661152</v>
      </c>
      <c r="J215" s="5" t="s">
        <v>176</v>
      </c>
      <c r="K215" s="1"/>
      <c r="L215" s="1" t="str">
        <f t="shared" si="14"/>
        <v xml:space="preserve">Oxundaån </v>
      </c>
      <c r="M215" s="1" t="s">
        <v>177</v>
      </c>
      <c r="N215" s="1">
        <v>0.5</v>
      </c>
      <c r="O215" s="1">
        <v>0.5</v>
      </c>
      <c r="Q215" s="1">
        <v>2.1</v>
      </c>
      <c r="R215" s="1">
        <v>4.93</v>
      </c>
      <c r="T215" s="1">
        <v>49.2</v>
      </c>
      <c r="V215" s="1">
        <v>1.9970000000000001</v>
      </c>
      <c r="W215" s="1">
        <v>138</v>
      </c>
      <c r="X215" s="1">
        <f t="shared" si="15"/>
        <v>0.20944589874354116</v>
      </c>
      <c r="Y215" s="1">
        <v>6.2E-2</v>
      </c>
      <c r="Z215" s="1">
        <v>56</v>
      </c>
      <c r="AD215" s="1">
        <v>1920</v>
      </c>
      <c r="AE215" s="1">
        <v>7.19</v>
      </c>
      <c r="AG215" s="1">
        <v>10.7</v>
      </c>
      <c r="AK215" s="1">
        <v>97</v>
      </c>
      <c r="AR215" s="1">
        <v>60.679999999999993</v>
      </c>
      <c r="AT215" s="1">
        <v>5.1612</v>
      </c>
      <c r="AU215" s="1">
        <v>10.9626</v>
      </c>
      <c r="AV215" s="1">
        <v>29.423500000000001</v>
      </c>
      <c r="AW215" s="1">
        <v>19.68252</v>
      </c>
      <c r="AX215" s="1">
        <v>80.72399999999999</v>
      </c>
      <c r="AY215" s="1">
        <v>5.8</v>
      </c>
    </row>
    <row r="216" spans="4:51" x14ac:dyDescent="0.3">
      <c r="D216" s="2">
        <f t="shared" si="12"/>
        <v>1985</v>
      </c>
      <c r="E216" s="2">
        <f t="shared" si="13"/>
        <v>5</v>
      </c>
      <c r="F216" s="3" t="s">
        <v>178</v>
      </c>
      <c r="G216" s="4">
        <v>31187</v>
      </c>
      <c r="H216" s="1">
        <v>6606238</v>
      </c>
      <c r="I216" s="1">
        <v>661152</v>
      </c>
      <c r="J216" s="5" t="s">
        <v>176</v>
      </c>
      <c r="K216" s="1"/>
      <c r="L216" s="1" t="str">
        <f t="shared" si="14"/>
        <v xml:space="preserve">Oxundaån </v>
      </c>
      <c r="M216" s="1" t="s">
        <v>177</v>
      </c>
      <c r="N216" s="1">
        <v>0.5</v>
      </c>
      <c r="O216" s="1">
        <v>0.5</v>
      </c>
      <c r="Q216" s="1">
        <v>13</v>
      </c>
      <c r="R216" s="1">
        <v>14.65</v>
      </c>
      <c r="T216" s="1">
        <v>40</v>
      </c>
      <c r="V216" s="1">
        <v>1.7050000000000001</v>
      </c>
      <c r="W216" s="1">
        <v>8</v>
      </c>
      <c r="X216" s="1">
        <f t="shared" si="15"/>
        <v>1.5182376723919988</v>
      </c>
      <c r="Y216" s="1">
        <v>0.06</v>
      </c>
      <c r="Z216" s="1">
        <v>4</v>
      </c>
      <c r="AD216" s="1">
        <v>780</v>
      </c>
      <c r="AE216" s="1">
        <v>9</v>
      </c>
      <c r="AG216" s="1">
        <v>4.7</v>
      </c>
      <c r="AK216" s="1">
        <v>35</v>
      </c>
      <c r="AR216" s="1">
        <v>48.32</v>
      </c>
      <c r="AT216" s="1">
        <v>5.0048000000000004</v>
      </c>
      <c r="AU216" s="1">
        <v>9.0507999999999988</v>
      </c>
      <c r="AV216" s="1">
        <v>20.950949999999999</v>
      </c>
      <c r="AW216" s="1">
        <v>15.369800000000001</v>
      </c>
      <c r="AX216" s="1">
        <v>67.750499999999988</v>
      </c>
      <c r="AY216" s="1">
        <v>2.1</v>
      </c>
    </row>
    <row r="217" spans="4:51" x14ac:dyDescent="0.3">
      <c r="D217" s="2">
        <f t="shared" si="12"/>
        <v>1985</v>
      </c>
      <c r="E217" s="2">
        <f t="shared" si="13"/>
        <v>6</v>
      </c>
      <c r="F217" s="3"/>
      <c r="G217" s="4">
        <v>31215</v>
      </c>
      <c r="H217" s="1">
        <v>6606238</v>
      </c>
      <c r="I217" s="1">
        <v>661152</v>
      </c>
      <c r="J217" s="5" t="s">
        <v>176</v>
      </c>
      <c r="K217" s="1"/>
      <c r="L217" s="1" t="str">
        <f t="shared" si="14"/>
        <v xml:space="preserve">Oxundaån </v>
      </c>
      <c r="M217" s="1" t="s">
        <v>177</v>
      </c>
      <c r="N217" s="1">
        <v>0.5</v>
      </c>
      <c r="O217" s="1">
        <v>0.5</v>
      </c>
      <c r="Q217" s="1">
        <v>14.5</v>
      </c>
      <c r="R217" s="1">
        <v>7.2</v>
      </c>
      <c r="T217" s="1">
        <v>42.1</v>
      </c>
      <c r="V217" s="1">
        <v>1.861</v>
      </c>
      <c r="W217" s="1">
        <v>130</v>
      </c>
      <c r="X217" s="1">
        <f t="shared" si="15"/>
        <v>2.4829264167685738</v>
      </c>
      <c r="Y217" s="1">
        <v>4.9000000000000002E-2</v>
      </c>
      <c r="Z217" s="1">
        <v>27</v>
      </c>
      <c r="AD217" s="1">
        <v>200</v>
      </c>
      <c r="AE217" s="1">
        <v>7.87</v>
      </c>
      <c r="AG217" s="1">
        <v>1.5</v>
      </c>
      <c r="AK217" s="1">
        <v>54</v>
      </c>
      <c r="AR217" s="1">
        <v>50.24</v>
      </c>
      <c r="AT217" s="1">
        <v>4.6138000000000003</v>
      </c>
      <c r="AU217" s="1">
        <v>9.5348000000000006</v>
      </c>
      <c r="AV217" s="1">
        <v>25.453100000000003</v>
      </c>
      <c r="AW217" s="1">
        <v>17.296760000000003</v>
      </c>
      <c r="AX217" s="1">
        <v>67.27</v>
      </c>
      <c r="AY217" s="1">
        <v>0.9</v>
      </c>
    </row>
    <row r="218" spans="4:51" x14ac:dyDescent="0.3">
      <c r="D218" s="2">
        <f t="shared" si="12"/>
        <v>1985</v>
      </c>
      <c r="E218" s="2">
        <f t="shared" si="13"/>
        <v>7</v>
      </c>
      <c r="F218" s="3" t="s">
        <v>179</v>
      </c>
      <c r="G218" s="4">
        <v>31243</v>
      </c>
      <c r="H218" s="1">
        <v>6606238</v>
      </c>
      <c r="I218" s="1">
        <v>661152</v>
      </c>
      <c r="J218" s="5" t="s">
        <v>176</v>
      </c>
      <c r="K218" s="1"/>
      <c r="L218" s="1" t="str">
        <f t="shared" si="14"/>
        <v xml:space="preserve">Oxundaån </v>
      </c>
      <c r="M218" s="1" t="s">
        <v>177</v>
      </c>
      <c r="N218" s="1">
        <v>0.5</v>
      </c>
      <c r="O218" s="1">
        <v>0.5</v>
      </c>
      <c r="Q218" s="1">
        <v>21.5</v>
      </c>
      <c r="R218" s="1">
        <v>8.35</v>
      </c>
      <c r="T218" s="1">
        <v>42.8</v>
      </c>
      <c r="V218" s="1">
        <v>1.952</v>
      </c>
      <c r="W218" s="1">
        <v>10</v>
      </c>
      <c r="X218" s="1">
        <f t="shared" si="15"/>
        <v>0.99814055657633971</v>
      </c>
      <c r="Y218" s="1">
        <v>4.5999999999999999E-2</v>
      </c>
      <c r="Z218" s="1">
        <v>36</v>
      </c>
      <c r="AD218" s="1">
        <v>20</v>
      </c>
      <c r="AE218" s="1">
        <v>8.4</v>
      </c>
      <c r="AG218" s="1">
        <v>8.1999999999999993</v>
      </c>
      <c r="AK218" s="1">
        <v>112</v>
      </c>
      <c r="AR218" s="1">
        <v>51.559999999999995</v>
      </c>
      <c r="AT218" s="1">
        <v>4.5356000000000005</v>
      </c>
      <c r="AU218" s="1">
        <v>9.752600000000001</v>
      </c>
      <c r="AV218" s="1">
        <v>26.835650000000001</v>
      </c>
      <c r="AW218" s="1">
        <v>18.168480000000002</v>
      </c>
      <c r="AX218" s="1">
        <v>66.78949999999999</v>
      </c>
      <c r="AY218" s="1">
        <v>0.45</v>
      </c>
    </row>
    <row r="219" spans="4:51" x14ac:dyDescent="0.3">
      <c r="D219" s="2">
        <f t="shared" si="12"/>
        <v>1985</v>
      </c>
      <c r="E219" s="2">
        <f t="shared" si="13"/>
        <v>8</v>
      </c>
      <c r="F219" s="3" t="s">
        <v>179</v>
      </c>
      <c r="G219" s="4">
        <v>31273</v>
      </c>
      <c r="H219" s="1">
        <v>6606238</v>
      </c>
      <c r="I219" s="1">
        <v>661152</v>
      </c>
      <c r="J219" s="5" t="s">
        <v>176</v>
      </c>
      <c r="K219" s="1"/>
      <c r="L219" s="1" t="str">
        <f t="shared" si="14"/>
        <v xml:space="preserve">Oxundaån </v>
      </c>
      <c r="M219" s="1" t="s">
        <v>177</v>
      </c>
      <c r="N219" s="1">
        <v>0.5</v>
      </c>
      <c r="O219" s="1">
        <v>0.5</v>
      </c>
      <c r="Q219" s="1">
        <v>18.7</v>
      </c>
      <c r="R219" s="1">
        <v>6.23</v>
      </c>
      <c r="T219" s="1">
        <v>42.1</v>
      </c>
      <c r="V219" s="1">
        <v>2.0059999999999998</v>
      </c>
      <c r="W219" s="1">
        <v>88</v>
      </c>
      <c r="X219" s="1">
        <f t="shared" si="15"/>
        <v>2.0893854773085367</v>
      </c>
      <c r="Y219" s="1">
        <v>4.5999999999999999E-2</v>
      </c>
      <c r="Z219" s="1">
        <v>96</v>
      </c>
      <c r="AD219" s="1">
        <v>30</v>
      </c>
      <c r="AE219" s="1">
        <v>7.83</v>
      </c>
      <c r="AG219" s="1">
        <v>5.7</v>
      </c>
      <c r="AK219" s="1">
        <v>190</v>
      </c>
      <c r="AR219" s="1">
        <v>50.36</v>
      </c>
      <c r="AT219" s="1">
        <v>4.6138000000000003</v>
      </c>
      <c r="AU219" s="1">
        <v>9.3653999999999993</v>
      </c>
      <c r="AV219" s="1">
        <v>24.63775</v>
      </c>
      <c r="AW219" s="1">
        <v>17.663800000000002</v>
      </c>
      <c r="AX219" s="1">
        <v>59.581999999999994</v>
      </c>
      <c r="AY219" s="1">
        <v>1</v>
      </c>
    </row>
    <row r="220" spans="4:51" x14ac:dyDescent="0.3">
      <c r="D220" s="2">
        <f t="shared" si="12"/>
        <v>1985</v>
      </c>
      <c r="E220" s="2">
        <f t="shared" si="13"/>
        <v>9</v>
      </c>
      <c r="F220" s="3"/>
      <c r="G220" s="4">
        <v>31306</v>
      </c>
      <c r="H220" s="1">
        <v>6606238</v>
      </c>
      <c r="I220" s="1">
        <v>661152</v>
      </c>
      <c r="J220" s="5" t="s">
        <v>176</v>
      </c>
      <c r="K220" s="1"/>
      <c r="L220" s="1" t="str">
        <f t="shared" si="14"/>
        <v xml:space="preserve">Oxundaån </v>
      </c>
      <c r="M220" s="1" t="s">
        <v>177</v>
      </c>
      <c r="N220" s="1">
        <v>0.5</v>
      </c>
      <c r="O220" s="1">
        <v>0.5</v>
      </c>
      <c r="Q220" s="1">
        <v>13.4</v>
      </c>
      <c r="R220" s="1">
        <v>7.14</v>
      </c>
      <c r="T220" s="1">
        <v>42.6</v>
      </c>
      <c r="V220" s="1">
        <v>2.0649999999999999</v>
      </c>
      <c r="W220" s="1">
        <v>6</v>
      </c>
      <c r="X220" s="1">
        <f t="shared" si="15"/>
        <v>0.1547973495372241</v>
      </c>
      <c r="Y220" s="1">
        <v>0.05</v>
      </c>
      <c r="Z220" s="1">
        <v>106</v>
      </c>
      <c r="AD220" s="1">
        <v>15</v>
      </c>
      <c r="AE220" s="1">
        <v>8.0399999999999991</v>
      </c>
      <c r="AG220" s="1">
        <v>6.8</v>
      </c>
      <c r="AK220" s="1">
        <v>180</v>
      </c>
      <c r="AR220" s="1">
        <v>51.319999999999993</v>
      </c>
      <c r="AT220" s="1">
        <v>4.8483999999999998</v>
      </c>
      <c r="AU220" s="1">
        <v>9.0991999999999997</v>
      </c>
      <c r="AV220" s="1">
        <v>26.977450000000001</v>
      </c>
      <c r="AW220" s="1">
        <v>18.352</v>
      </c>
      <c r="AX220" s="1">
        <v>59.581999999999994</v>
      </c>
      <c r="AY220" s="1">
        <v>1.75</v>
      </c>
    </row>
    <row r="221" spans="4:51" x14ac:dyDescent="0.3">
      <c r="D221" s="2">
        <f t="shared" si="12"/>
        <v>1985</v>
      </c>
      <c r="E221" s="2">
        <f t="shared" si="13"/>
        <v>10</v>
      </c>
      <c r="F221" s="3" t="s">
        <v>180</v>
      </c>
      <c r="G221" s="4">
        <v>31335</v>
      </c>
      <c r="H221" s="1">
        <v>6606238</v>
      </c>
      <c r="I221" s="1">
        <v>661152</v>
      </c>
      <c r="J221" s="5" t="s">
        <v>176</v>
      </c>
      <c r="K221" s="1"/>
      <c r="L221" s="1" t="str">
        <f t="shared" si="14"/>
        <v xml:space="preserve">Oxundaån </v>
      </c>
      <c r="M221" s="1" t="s">
        <v>177</v>
      </c>
      <c r="N221" s="1">
        <v>0.5</v>
      </c>
      <c r="O221" s="1">
        <v>0.5</v>
      </c>
      <c r="Q221" s="1">
        <v>9.1999999999999993</v>
      </c>
      <c r="R221" s="1">
        <v>8.68</v>
      </c>
      <c r="T221" s="1">
        <v>44</v>
      </c>
      <c r="V221" s="1">
        <v>2.089</v>
      </c>
      <c r="W221" s="1">
        <v>27</v>
      </c>
      <c r="X221" s="1">
        <f t="shared" si="15"/>
        <v>0.43212298878766275</v>
      </c>
      <c r="Y221" s="1">
        <v>4.2000000000000003E-2</v>
      </c>
      <c r="Z221" s="1">
        <v>80</v>
      </c>
      <c r="AD221" s="1">
        <v>24</v>
      </c>
      <c r="AE221" s="1">
        <v>7.97</v>
      </c>
      <c r="AG221" s="1">
        <v>3.4</v>
      </c>
      <c r="AK221" s="1">
        <v>138</v>
      </c>
      <c r="AR221" s="1">
        <v>52.9</v>
      </c>
      <c r="AT221" s="1">
        <v>5.0048000000000004</v>
      </c>
      <c r="AU221" s="1">
        <v>9.1959999999999997</v>
      </c>
      <c r="AV221" s="1">
        <v>27.651000000000003</v>
      </c>
      <c r="AW221" s="1">
        <v>19.040199999999999</v>
      </c>
      <c r="AX221" s="1">
        <v>62.464999999999996</v>
      </c>
      <c r="AY221" s="1">
        <v>2.2999999999999998</v>
      </c>
    </row>
    <row r="222" spans="4:51" x14ac:dyDescent="0.3">
      <c r="D222" s="2">
        <f t="shared" si="12"/>
        <v>1985</v>
      </c>
      <c r="E222" s="2">
        <f t="shared" si="13"/>
        <v>11</v>
      </c>
      <c r="F222" s="3" t="s">
        <v>180</v>
      </c>
      <c r="G222" s="4">
        <v>31365</v>
      </c>
      <c r="H222" s="1">
        <v>6606238</v>
      </c>
      <c r="I222" s="1">
        <v>661152</v>
      </c>
      <c r="J222" s="5" t="s">
        <v>176</v>
      </c>
      <c r="K222" s="1"/>
      <c r="L222" s="1" t="str">
        <f t="shared" si="14"/>
        <v xml:space="preserve">Oxundaån </v>
      </c>
      <c r="M222" s="1" t="s">
        <v>177</v>
      </c>
      <c r="N222" s="1">
        <v>0.5</v>
      </c>
      <c r="O222" s="1">
        <v>0.5</v>
      </c>
      <c r="Q222" s="1">
        <v>3</v>
      </c>
      <c r="R222" s="1">
        <v>10.15</v>
      </c>
      <c r="T222" s="1">
        <v>44.5</v>
      </c>
      <c r="V222" s="1">
        <v>2.0750000000000002</v>
      </c>
      <c r="W222" s="1">
        <v>13</v>
      </c>
      <c r="X222" s="1">
        <f t="shared" si="15"/>
        <v>0.1133227203437407</v>
      </c>
      <c r="Y222" s="1">
        <v>3.7999999999999999E-2</v>
      </c>
      <c r="Z222" s="1">
        <v>64</v>
      </c>
      <c r="AD222" s="1">
        <v>100</v>
      </c>
      <c r="AE222" s="1">
        <v>7.92</v>
      </c>
      <c r="AG222" s="1">
        <v>3.5</v>
      </c>
      <c r="AK222" s="1">
        <v>132</v>
      </c>
      <c r="AR222" s="1">
        <v>54</v>
      </c>
      <c r="AT222" s="1">
        <v>4.8483999999999998</v>
      </c>
      <c r="AU222" s="1">
        <v>10.0672</v>
      </c>
      <c r="AV222" s="1">
        <v>27.544650000000004</v>
      </c>
      <c r="AW222" s="1">
        <v>20.646000000000001</v>
      </c>
      <c r="AX222" s="1">
        <v>67.750499999999988</v>
      </c>
      <c r="AY222" s="1">
        <v>2.1</v>
      </c>
    </row>
    <row r="223" spans="4:51" x14ac:dyDescent="0.3">
      <c r="D223" s="2">
        <f t="shared" si="12"/>
        <v>1985</v>
      </c>
      <c r="E223" s="2">
        <f t="shared" si="13"/>
        <v>12</v>
      </c>
      <c r="F223" s="3" t="s">
        <v>175</v>
      </c>
      <c r="G223" s="4">
        <v>31397</v>
      </c>
      <c r="H223" s="1">
        <v>6606238</v>
      </c>
      <c r="I223" s="1">
        <v>661152</v>
      </c>
      <c r="J223" s="5" t="s">
        <v>176</v>
      </c>
      <c r="K223" s="1"/>
      <c r="L223" s="1" t="str">
        <f t="shared" si="14"/>
        <v xml:space="preserve">Oxundaån </v>
      </c>
      <c r="M223" s="1" t="s">
        <v>177</v>
      </c>
      <c r="N223" s="1">
        <v>0.5</v>
      </c>
      <c r="O223" s="1">
        <v>0.5</v>
      </c>
      <c r="Q223" s="1">
        <v>1.2</v>
      </c>
      <c r="R223" s="1">
        <v>10</v>
      </c>
      <c r="T223" s="1">
        <v>47.5</v>
      </c>
      <c r="V223" s="1">
        <v>2.2069999999999999</v>
      </c>
      <c r="W223" s="1">
        <v>95</v>
      </c>
      <c r="X223" s="1">
        <f t="shared" si="15"/>
        <v>0.45182459461703434</v>
      </c>
      <c r="Y223" s="1">
        <v>3.3000000000000002E-2</v>
      </c>
      <c r="Z223" s="1">
        <v>60</v>
      </c>
      <c r="AD223" s="1">
        <v>140</v>
      </c>
      <c r="AE223" s="1">
        <v>7.72</v>
      </c>
      <c r="AG223" s="1">
        <v>1.8</v>
      </c>
      <c r="AK223" s="1">
        <v>85</v>
      </c>
      <c r="AR223" s="1">
        <v>56.7</v>
      </c>
      <c r="AT223" s="1">
        <v>5.4740000000000011</v>
      </c>
      <c r="AU223" s="1">
        <v>10.224499999999999</v>
      </c>
      <c r="AV223" s="1">
        <v>29.458950000000002</v>
      </c>
      <c r="AW223" s="1">
        <v>22.022400000000001</v>
      </c>
      <c r="AX223" s="1">
        <v>71.594499999999996</v>
      </c>
      <c r="AY223" s="1">
        <v>1.95</v>
      </c>
    </row>
    <row r="224" spans="4:51" x14ac:dyDescent="0.3">
      <c r="D224" s="2">
        <f t="shared" si="12"/>
        <v>1986</v>
      </c>
      <c r="E224" s="2">
        <f t="shared" si="13"/>
        <v>1</v>
      </c>
      <c r="F224" s="3" t="s">
        <v>175</v>
      </c>
      <c r="G224" s="4">
        <v>31427</v>
      </c>
      <c r="H224" s="1">
        <v>6606238</v>
      </c>
      <c r="I224" s="1">
        <v>661152</v>
      </c>
      <c r="J224" s="5" t="s">
        <v>176</v>
      </c>
      <c r="K224" s="1"/>
      <c r="L224" s="1" t="str">
        <f t="shared" si="14"/>
        <v xml:space="preserve">Oxundaån </v>
      </c>
      <c r="M224" s="1" t="s">
        <v>177</v>
      </c>
      <c r="N224" s="1">
        <v>0.5</v>
      </c>
      <c r="O224" s="1">
        <v>0.5</v>
      </c>
      <c r="Q224" s="1">
        <v>0.8</v>
      </c>
      <c r="R224" s="1">
        <v>8.5299999999999994</v>
      </c>
      <c r="T224" s="1">
        <v>49.8</v>
      </c>
      <c r="V224" s="1">
        <v>2.1120000000000001</v>
      </c>
      <c r="W224" s="1">
        <v>168</v>
      </c>
      <c r="X224" s="1">
        <f t="shared" si="15"/>
        <v>0.35414458541214727</v>
      </c>
      <c r="Y224" s="1">
        <v>4.7E-2</v>
      </c>
      <c r="Z224" s="1">
        <v>60</v>
      </c>
      <c r="AD224" s="1">
        <v>1080</v>
      </c>
      <c r="AE224" s="1">
        <v>7.38</v>
      </c>
      <c r="AG224" s="1">
        <v>6.5</v>
      </c>
      <c r="AK224" s="1">
        <v>87</v>
      </c>
      <c r="AR224" s="1">
        <v>57</v>
      </c>
      <c r="AT224" s="1">
        <v>5.3958000000000004</v>
      </c>
      <c r="AU224" s="1">
        <v>11.253</v>
      </c>
      <c r="AV224" s="1">
        <v>30.487000000000002</v>
      </c>
      <c r="AW224" s="1">
        <v>22.366500000000002</v>
      </c>
      <c r="AX224" s="1">
        <v>79.762999999999991</v>
      </c>
      <c r="AY224" s="1">
        <v>3.2</v>
      </c>
    </row>
    <row r="225" spans="4:51" x14ac:dyDescent="0.3">
      <c r="D225" s="2">
        <f t="shared" si="12"/>
        <v>1986</v>
      </c>
      <c r="E225" s="2">
        <f t="shared" si="13"/>
        <v>2</v>
      </c>
      <c r="F225" s="3" t="s">
        <v>175</v>
      </c>
      <c r="G225" s="4">
        <v>31460</v>
      </c>
      <c r="H225" s="1">
        <v>6606238</v>
      </c>
      <c r="I225" s="1">
        <v>661152</v>
      </c>
      <c r="J225" s="5" t="s">
        <v>176</v>
      </c>
      <c r="K225" s="1"/>
      <c r="L225" s="1" t="str">
        <f t="shared" si="14"/>
        <v xml:space="preserve">Oxundaån </v>
      </c>
      <c r="M225" s="1" t="s">
        <v>177</v>
      </c>
      <c r="N225" s="1">
        <v>0.5</v>
      </c>
      <c r="O225" s="1">
        <v>0.5</v>
      </c>
      <c r="Q225" s="1">
        <v>0.8</v>
      </c>
      <c r="R225" s="1">
        <v>6.39</v>
      </c>
      <c r="T225" s="1">
        <v>52.6</v>
      </c>
      <c r="V225" s="1">
        <v>2.1890000000000001</v>
      </c>
      <c r="W225" s="1">
        <v>45</v>
      </c>
      <c r="X225" s="1">
        <f t="shared" si="15"/>
        <v>8.8541107062752478E-2</v>
      </c>
      <c r="Y225" s="1">
        <v>3.9E-2</v>
      </c>
      <c r="Z225" s="1">
        <v>49</v>
      </c>
      <c r="AD225" s="1">
        <v>1240</v>
      </c>
      <c r="AE225" s="1">
        <v>7.35</v>
      </c>
      <c r="AG225" s="1">
        <v>3.6</v>
      </c>
      <c r="AK225" s="1">
        <v>81</v>
      </c>
      <c r="AR225" s="1">
        <v>61.6</v>
      </c>
      <c r="AT225" s="1">
        <v>5.4740000000000011</v>
      </c>
      <c r="AU225" s="1">
        <v>12.160499999999999</v>
      </c>
      <c r="AV225" s="1">
        <v>32.224050000000005</v>
      </c>
      <c r="AW225" s="1">
        <v>21.93064</v>
      </c>
      <c r="AX225" s="1">
        <v>87.450999999999993</v>
      </c>
      <c r="AY225" s="1">
        <v>3.7</v>
      </c>
    </row>
    <row r="226" spans="4:51" x14ac:dyDescent="0.3">
      <c r="D226" s="2">
        <f t="shared" si="12"/>
        <v>1986</v>
      </c>
      <c r="E226" s="2">
        <f t="shared" si="13"/>
        <v>3</v>
      </c>
      <c r="F226" s="3" t="s">
        <v>175</v>
      </c>
      <c r="G226" s="4">
        <v>31484</v>
      </c>
      <c r="H226" s="1">
        <v>6606238</v>
      </c>
      <c r="I226" s="1">
        <v>661152</v>
      </c>
      <c r="J226" s="5" t="s">
        <v>176</v>
      </c>
      <c r="K226" s="1"/>
      <c r="L226" s="1" t="str">
        <f t="shared" si="14"/>
        <v xml:space="preserve">Oxundaån </v>
      </c>
      <c r="M226" s="1" t="s">
        <v>177</v>
      </c>
      <c r="N226" s="1">
        <v>0.5</v>
      </c>
      <c r="O226" s="1">
        <v>0.5</v>
      </c>
      <c r="Q226" s="1">
        <v>1.4</v>
      </c>
      <c r="R226" s="1">
        <v>5.39</v>
      </c>
      <c r="T226" s="1">
        <v>54</v>
      </c>
      <c r="V226" s="1">
        <v>2.323</v>
      </c>
      <c r="W226" s="1">
        <v>27</v>
      </c>
      <c r="X226" s="1">
        <f t="shared" si="15"/>
        <v>3.9563274363405933E-2</v>
      </c>
      <c r="Y226" s="1">
        <v>4.2000000000000003E-2</v>
      </c>
      <c r="Z226" s="1">
        <v>69</v>
      </c>
      <c r="AD226" s="1">
        <v>1200</v>
      </c>
      <c r="AE226" s="1">
        <v>7.2</v>
      </c>
      <c r="AG226" s="1">
        <v>3.9</v>
      </c>
      <c r="AK226" s="1">
        <v>90</v>
      </c>
      <c r="AR226" s="1">
        <v>62.800000000000004</v>
      </c>
      <c r="AT226" s="1">
        <v>5.4740000000000011</v>
      </c>
      <c r="AU226" s="1">
        <v>11.9185</v>
      </c>
      <c r="AV226" s="1">
        <v>33.819299999999998</v>
      </c>
      <c r="AW226" s="1">
        <v>23.490560000000002</v>
      </c>
      <c r="AX226" s="1">
        <v>83.126499999999993</v>
      </c>
      <c r="AY226" s="1">
        <v>3.75</v>
      </c>
    </row>
    <row r="227" spans="4:51" x14ac:dyDescent="0.3">
      <c r="D227" s="2">
        <f t="shared" si="12"/>
        <v>1986</v>
      </c>
      <c r="E227" s="2">
        <f t="shared" si="13"/>
        <v>4</v>
      </c>
      <c r="F227" s="3" t="s">
        <v>178</v>
      </c>
      <c r="G227" s="4">
        <v>31517</v>
      </c>
      <c r="H227" s="1">
        <v>6606238</v>
      </c>
      <c r="I227" s="1">
        <v>661152</v>
      </c>
      <c r="J227" s="5" t="s">
        <v>176</v>
      </c>
      <c r="K227" s="1"/>
      <c r="L227" s="1" t="str">
        <f t="shared" si="14"/>
        <v xml:space="preserve">Oxundaån </v>
      </c>
      <c r="M227" s="1" t="s">
        <v>177</v>
      </c>
      <c r="N227" s="1">
        <v>0.5</v>
      </c>
      <c r="O227" s="1">
        <v>0.5</v>
      </c>
      <c r="Q227" s="1">
        <v>3.9</v>
      </c>
      <c r="R227" s="1">
        <v>10.25</v>
      </c>
      <c r="T227" s="1">
        <v>38</v>
      </c>
      <c r="V227" s="1">
        <v>1.5049999999999999</v>
      </c>
      <c r="W227" s="1">
        <v>77</v>
      </c>
      <c r="X227" s="1">
        <f t="shared" si="15"/>
        <v>0.1418989905063883</v>
      </c>
      <c r="Y227" s="1">
        <v>7.2999999999999995E-2</v>
      </c>
      <c r="Z227" s="1">
        <v>23</v>
      </c>
      <c r="AD227" s="1">
        <v>2120</v>
      </c>
      <c r="AE227" s="1">
        <v>7.21</v>
      </c>
      <c r="AG227" s="1">
        <v>19.5</v>
      </c>
      <c r="AK227" s="1">
        <v>89</v>
      </c>
      <c r="AR227" s="1">
        <v>44.3</v>
      </c>
      <c r="AT227" s="1">
        <v>3.9882</v>
      </c>
      <c r="AU227" s="1">
        <v>8.1675000000000004</v>
      </c>
      <c r="AV227" s="1">
        <v>21.163650000000001</v>
      </c>
      <c r="AW227" s="1">
        <v>14.727480000000002</v>
      </c>
      <c r="AX227" s="1">
        <v>61.984499999999997</v>
      </c>
      <c r="AY227" s="1">
        <v>5.12</v>
      </c>
    </row>
    <row r="228" spans="4:51" x14ac:dyDescent="0.3">
      <c r="D228" s="2">
        <f t="shared" si="12"/>
        <v>1986</v>
      </c>
      <c r="E228" s="2">
        <f t="shared" si="13"/>
        <v>5</v>
      </c>
      <c r="F228" s="3" t="s">
        <v>178</v>
      </c>
      <c r="G228" s="4">
        <v>31545</v>
      </c>
      <c r="H228" s="1">
        <v>6606238</v>
      </c>
      <c r="I228" s="1">
        <v>661152</v>
      </c>
      <c r="J228" s="5" t="s">
        <v>176</v>
      </c>
      <c r="K228" s="1"/>
      <c r="L228" s="1" t="str">
        <f t="shared" si="14"/>
        <v xml:space="preserve">Oxundaån </v>
      </c>
      <c r="M228" s="1" t="s">
        <v>177</v>
      </c>
      <c r="N228" s="1">
        <v>0.5</v>
      </c>
      <c r="O228" s="1">
        <v>0.5</v>
      </c>
      <c r="Q228" s="1">
        <v>12.3</v>
      </c>
      <c r="R228" s="1">
        <v>10.32</v>
      </c>
      <c r="T228" s="1">
        <v>40.5</v>
      </c>
      <c r="V228" s="1">
        <v>1.8939999999999999</v>
      </c>
      <c r="W228" s="1">
        <v>40</v>
      </c>
      <c r="X228" s="1">
        <f t="shared" si="15"/>
        <v>0.41098530543875789</v>
      </c>
      <c r="Y228" s="1">
        <v>7.1999999999999995E-2</v>
      </c>
      <c r="Z228" s="1">
        <v>6</v>
      </c>
      <c r="AD228" s="1">
        <v>550</v>
      </c>
      <c r="AE228" s="1">
        <v>7.67</v>
      </c>
      <c r="AG228" s="1">
        <v>4.5</v>
      </c>
      <c r="AK228" s="1">
        <v>62</v>
      </c>
      <c r="AR228" s="1">
        <v>49.1</v>
      </c>
      <c r="AT228" s="1">
        <v>4.2228000000000003</v>
      </c>
      <c r="AU228" s="1">
        <v>8.7603999999999989</v>
      </c>
      <c r="AV228" s="1">
        <v>24.7441</v>
      </c>
      <c r="AW228" s="1">
        <v>16.700320000000001</v>
      </c>
      <c r="AX228" s="1">
        <v>61.984499999999997</v>
      </c>
      <c r="AY228" s="1">
        <v>2.63</v>
      </c>
    </row>
    <row r="229" spans="4:51" x14ac:dyDescent="0.3">
      <c r="D229" s="2">
        <f t="shared" si="12"/>
        <v>1986</v>
      </c>
      <c r="E229" s="2">
        <f t="shared" si="13"/>
        <v>6</v>
      </c>
      <c r="F229" s="3"/>
      <c r="G229" s="4">
        <v>31580</v>
      </c>
      <c r="H229" s="1">
        <v>6606238</v>
      </c>
      <c r="I229" s="1">
        <v>661152</v>
      </c>
      <c r="J229" s="5" t="s">
        <v>176</v>
      </c>
      <c r="K229" s="1"/>
      <c r="L229" s="1" t="str">
        <f t="shared" si="14"/>
        <v xml:space="preserve">Oxundaån </v>
      </c>
      <c r="M229" s="1" t="s">
        <v>177</v>
      </c>
      <c r="N229" s="1">
        <v>0.5</v>
      </c>
      <c r="O229" s="1">
        <v>0.5</v>
      </c>
      <c r="Q229" s="1">
        <v>22.7</v>
      </c>
      <c r="R229" s="1">
        <v>14.69</v>
      </c>
      <c r="T229" s="1">
        <v>41</v>
      </c>
      <c r="V229" s="1">
        <v>2.008</v>
      </c>
      <c r="W229" s="1">
        <v>9</v>
      </c>
      <c r="X229" s="1">
        <f t="shared" si="15"/>
        <v>2.745545292928242</v>
      </c>
      <c r="Y229" s="1">
        <v>4.7E-2</v>
      </c>
      <c r="Z229" s="1">
        <v>10</v>
      </c>
      <c r="AD229" s="1">
        <v>12</v>
      </c>
      <c r="AE229" s="1">
        <v>8.9600000000000009</v>
      </c>
      <c r="AG229" s="1">
        <v>4.4000000000000004</v>
      </c>
      <c r="AK229" s="1">
        <v>79</v>
      </c>
      <c r="AR229" s="1">
        <v>49.900000000000006</v>
      </c>
      <c r="AT229" s="1">
        <v>4.4965000000000002</v>
      </c>
      <c r="AU229" s="1">
        <v>8.7603999999999989</v>
      </c>
      <c r="AV229" s="1">
        <v>26.729300000000002</v>
      </c>
      <c r="AW229" s="1">
        <v>18.627280000000003</v>
      </c>
      <c r="AX229" s="1">
        <v>57.179499999999997</v>
      </c>
      <c r="AY229" s="1">
        <v>0.4</v>
      </c>
    </row>
    <row r="230" spans="4:51" x14ac:dyDescent="0.3">
      <c r="D230" s="2">
        <f t="shared" si="12"/>
        <v>1986</v>
      </c>
      <c r="E230" s="2">
        <f t="shared" si="13"/>
        <v>7</v>
      </c>
      <c r="F230" s="3" t="s">
        <v>179</v>
      </c>
      <c r="G230" s="4">
        <v>31609</v>
      </c>
      <c r="H230" s="1">
        <v>6606238</v>
      </c>
      <c r="I230" s="1">
        <v>661152</v>
      </c>
      <c r="J230" s="5" t="s">
        <v>176</v>
      </c>
      <c r="K230" s="1"/>
      <c r="L230" s="1" t="str">
        <f t="shared" si="14"/>
        <v xml:space="preserve">Oxundaån </v>
      </c>
      <c r="M230" s="1" t="s">
        <v>177</v>
      </c>
      <c r="N230" s="1">
        <v>0.5</v>
      </c>
      <c r="O230" s="1">
        <v>0.5</v>
      </c>
      <c r="Q230" s="1">
        <v>18.2</v>
      </c>
      <c r="R230" s="1">
        <v>7.14</v>
      </c>
      <c r="T230" s="1">
        <v>42.3</v>
      </c>
      <c r="V230" s="1">
        <v>2.1150000000000002</v>
      </c>
      <c r="W230" s="1">
        <v>16</v>
      </c>
      <c r="X230" s="1">
        <f t="shared" si="15"/>
        <v>0.58591797092054221</v>
      </c>
      <c r="Y230" s="1">
        <v>4.5999999999999999E-2</v>
      </c>
      <c r="Z230" s="1">
        <v>108</v>
      </c>
      <c r="AD230" s="1">
        <v>38</v>
      </c>
      <c r="AE230" s="1">
        <v>8.0399999999999991</v>
      </c>
      <c r="AG230" s="1">
        <v>2.4</v>
      </c>
      <c r="AK230" s="1">
        <v>150</v>
      </c>
      <c r="AR230" s="1">
        <v>50</v>
      </c>
      <c r="AT230" s="1">
        <v>4.6528999999999998</v>
      </c>
      <c r="AU230" s="1">
        <v>8.9539999999999988</v>
      </c>
      <c r="AV230" s="1">
        <v>28.005500000000005</v>
      </c>
      <c r="AW230" s="1">
        <v>19.040199999999999</v>
      </c>
      <c r="AX230" s="1">
        <v>55.737999999999992</v>
      </c>
      <c r="AY230" s="1">
        <v>0.8</v>
      </c>
    </row>
    <row r="231" spans="4:51" x14ac:dyDescent="0.3">
      <c r="D231" s="2">
        <f t="shared" si="12"/>
        <v>1986</v>
      </c>
      <c r="E231" s="2">
        <f t="shared" si="13"/>
        <v>8</v>
      </c>
      <c r="F231" s="3" t="s">
        <v>179</v>
      </c>
      <c r="G231" s="4">
        <v>31638</v>
      </c>
      <c r="H231" s="1">
        <v>6606238</v>
      </c>
      <c r="I231" s="1">
        <v>661152</v>
      </c>
      <c r="J231" s="5" t="s">
        <v>176</v>
      </c>
      <c r="K231" s="1"/>
      <c r="L231" s="1" t="str">
        <f t="shared" si="14"/>
        <v xml:space="preserve">Oxundaån </v>
      </c>
      <c r="M231" s="1" t="s">
        <v>177</v>
      </c>
      <c r="N231" s="1">
        <v>0.5</v>
      </c>
      <c r="O231" s="1">
        <v>0.5</v>
      </c>
      <c r="Q231" s="1">
        <v>17.8</v>
      </c>
      <c r="R231" s="1">
        <v>7.11</v>
      </c>
      <c r="T231" s="1">
        <v>41.7</v>
      </c>
      <c r="V231" s="1">
        <v>2.202</v>
      </c>
      <c r="W231" s="1">
        <v>11</v>
      </c>
      <c r="X231" s="1">
        <f t="shared" si="15"/>
        <v>0.28639985068014184</v>
      </c>
      <c r="Y231" s="1">
        <v>4.3999999999999997E-2</v>
      </c>
      <c r="Z231" s="1">
        <v>116</v>
      </c>
      <c r="AD231" s="1">
        <v>18</v>
      </c>
      <c r="AE231" s="1">
        <v>7.9</v>
      </c>
      <c r="AG231" s="1">
        <v>5.7</v>
      </c>
      <c r="AK231" s="1">
        <v>176</v>
      </c>
      <c r="AR231" s="1">
        <v>50.5</v>
      </c>
      <c r="AT231" s="1">
        <v>4.8483999999999998</v>
      </c>
      <c r="AU231" s="1">
        <v>9.1355000000000004</v>
      </c>
      <c r="AV231" s="1">
        <v>28.360000000000003</v>
      </c>
      <c r="AW231" s="1">
        <v>19.040199999999999</v>
      </c>
      <c r="AX231" s="1">
        <v>53.816000000000003</v>
      </c>
      <c r="AY231" s="1">
        <v>1.05</v>
      </c>
    </row>
    <row r="232" spans="4:51" x14ac:dyDescent="0.3">
      <c r="D232" s="2">
        <f t="shared" si="12"/>
        <v>1986</v>
      </c>
      <c r="E232" s="2">
        <f t="shared" si="13"/>
        <v>9</v>
      </c>
      <c r="F232" s="3"/>
      <c r="G232" s="4">
        <v>31670</v>
      </c>
      <c r="H232" s="1">
        <v>6606238</v>
      </c>
      <c r="I232" s="1">
        <v>661152</v>
      </c>
      <c r="J232" s="5" t="s">
        <v>176</v>
      </c>
      <c r="K232" s="1"/>
      <c r="L232" s="1" t="str">
        <f t="shared" si="14"/>
        <v xml:space="preserve">Oxundaån </v>
      </c>
      <c r="M232" s="1" t="s">
        <v>177</v>
      </c>
      <c r="N232" s="1">
        <v>0.5</v>
      </c>
      <c r="O232" s="1">
        <v>0.5</v>
      </c>
      <c r="Q232" s="1">
        <v>11.4</v>
      </c>
      <c r="R232" s="1">
        <v>10.15</v>
      </c>
      <c r="T232" s="1">
        <v>40.200000000000003</v>
      </c>
      <c r="V232" s="1">
        <v>1.952</v>
      </c>
      <c r="W232" s="1">
        <v>9</v>
      </c>
      <c r="X232" s="1">
        <f t="shared" si="15"/>
        <v>0.3899498741697015</v>
      </c>
      <c r="Y232" s="1">
        <v>5.7000000000000002E-2</v>
      </c>
      <c r="Z232" s="1">
        <v>45</v>
      </c>
      <c r="AD232" s="1">
        <v>10</v>
      </c>
      <c r="AE232" s="1">
        <v>8.34</v>
      </c>
      <c r="AG232" s="1">
        <v>6</v>
      </c>
      <c r="AK232" s="1">
        <v>113</v>
      </c>
      <c r="AR232" s="1">
        <v>47.400000000000006</v>
      </c>
      <c r="AT232" s="1">
        <v>4.7702</v>
      </c>
      <c r="AU232" s="1">
        <v>8.5305</v>
      </c>
      <c r="AV232" s="1">
        <v>27.119250000000001</v>
      </c>
      <c r="AW232" s="1">
        <v>18.902560000000001</v>
      </c>
      <c r="AX232" s="1">
        <v>53.335500000000003</v>
      </c>
      <c r="AY232" s="1">
        <v>1.45</v>
      </c>
    </row>
    <row r="233" spans="4:51" x14ac:dyDescent="0.3">
      <c r="D233" s="2">
        <f t="shared" si="12"/>
        <v>1986</v>
      </c>
      <c r="E233" s="2">
        <f t="shared" si="13"/>
        <v>10</v>
      </c>
      <c r="F233" s="3" t="s">
        <v>180</v>
      </c>
      <c r="G233" s="4">
        <v>31700</v>
      </c>
      <c r="H233" s="1">
        <v>6606238</v>
      </c>
      <c r="I233" s="1">
        <v>661152</v>
      </c>
      <c r="J233" s="5" t="s">
        <v>176</v>
      </c>
      <c r="K233" s="1"/>
      <c r="L233" s="1" t="str">
        <f t="shared" si="14"/>
        <v xml:space="preserve">Oxundaån </v>
      </c>
      <c r="M233" s="1" t="s">
        <v>177</v>
      </c>
      <c r="N233" s="1">
        <v>0.5</v>
      </c>
      <c r="O233" s="1">
        <v>0.5</v>
      </c>
      <c r="Q233" s="1">
        <v>7.5</v>
      </c>
      <c r="R233" s="1">
        <v>9.8699999999999992</v>
      </c>
      <c r="T233" s="1">
        <v>43.3</v>
      </c>
      <c r="V233" s="1">
        <v>2.02</v>
      </c>
      <c r="W233" s="1">
        <v>9</v>
      </c>
      <c r="X233" s="1">
        <f t="shared" si="15"/>
        <v>9.5999645297857789E-2</v>
      </c>
      <c r="Y233" s="1">
        <v>4.1000000000000002E-2</v>
      </c>
      <c r="Z233" s="1">
        <v>23</v>
      </c>
      <c r="AD233" s="1">
        <v>100</v>
      </c>
      <c r="AE233" s="1">
        <v>7.85</v>
      </c>
      <c r="AG233" s="1">
        <v>2.6</v>
      </c>
      <c r="AK233" s="1">
        <v>63</v>
      </c>
      <c r="AR233" s="1">
        <v>51.6</v>
      </c>
      <c r="AT233" s="1">
        <v>4.7702</v>
      </c>
      <c r="AU233" s="1">
        <v>9.4380000000000006</v>
      </c>
      <c r="AV233" s="1">
        <v>27.863700000000005</v>
      </c>
      <c r="AW233" s="1">
        <v>18.397880000000001</v>
      </c>
      <c r="AX233" s="1">
        <v>66.308999999999997</v>
      </c>
      <c r="AY233" s="1">
        <v>1.85</v>
      </c>
    </row>
    <row r="234" spans="4:51" x14ac:dyDescent="0.3">
      <c r="D234" s="2">
        <f t="shared" si="12"/>
        <v>1986</v>
      </c>
      <c r="E234" s="2">
        <f t="shared" si="13"/>
        <v>11</v>
      </c>
      <c r="F234" s="3" t="s">
        <v>180</v>
      </c>
      <c r="G234" s="4">
        <v>31733</v>
      </c>
      <c r="H234" s="1">
        <v>6606238</v>
      </c>
      <c r="I234" s="1">
        <v>661152</v>
      </c>
      <c r="J234" s="5" t="s">
        <v>176</v>
      </c>
      <c r="K234" s="1"/>
      <c r="L234" s="1" t="str">
        <f t="shared" si="14"/>
        <v xml:space="preserve">Oxundaån </v>
      </c>
      <c r="M234" s="1" t="s">
        <v>177</v>
      </c>
      <c r="N234" s="1">
        <v>0.5</v>
      </c>
      <c r="O234" s="1">
        <v>0.5</v>
      </c>
      <c r="Q234" s="1">
        <v>3.9</v>
      </c>
      <c r="R234" s="1">
        <v>10.36</v>
      </c>
      <c r="T234" s="1">
        <v>43.1</v>
      </c>
      <c r="V234" s="1">
        <v>2.036</v>
      </c>
      <c r="W234" s="1">
        <v>41</v>
      </c>
      <c r="X234" s="1">
        <f t="shared" si="15"/>
        <v>0.30606896906668901</v>
      </c>
      <c r="Y234" s="1">
        <v>4.5999999999999999E-2</v>
      </c>
      <c r="Z234" s="1">
        <v>19</v>
      </c>
      <c r="AD234" s="1">
        <v>190</v>
      </c>
      <c r="AE234" s="1">
        <v>7.82</v>
      </c>
      <c r="AG234" s="1">
        <v>5.2</v>
      </c>
      <c r="AK234" s="1">
        <v>50</v>
      </c>
      <c r="AR234" s="1">
        <v>55.599999999999994</v>
      </c>
      <c r="AT234" s="1">
        <v>4.7702</v>
      </c>
      <c r="AU234" s="1">
        <v>9.68</v>
      </c>
      <c r="AV234" s="1">
        <v>28.466350000000006</v>
      </c>
      <c r="AW234" s="1">
        <v>19.131959999999999</v>
      </c>
      <c r="AX234" s="1">
        <v>69.191999999999993</v>
      </c>
      <c r="AY234" s="1">
        <v>1.4</v>
      </c>
    </row>
    <row r="235" spans="4:51" x14ac:dyDescent="0.3">
      <c r="D235" s="2">
        <f t="shared" si="12"/>
        <v>1986</v>
      </c>
      <c r="E235" s="2">
        <f t="shared" si="13"/>
        <v>12</v>
      </c>
      <c r="F235" s="3" t="s">
        <v>175</v>
      </c>
      <c r="G235" s="4">
        <v>31761</v>
      </c>
      <c r="H235" s="1">
        <v>6606238</v>
      </c>
      <c r="I235" s="1">
        <v>661152</v>
      </c>
      <c r="J235" s="5" t="s">
        <v>176</v>
      </c>
      <c r="K235" s="1"/>
      <c r="L235" s="1" t="str">
        <f t="shared" si="14"/>
        <v xml:space="preserve">Oxundaån </v>
      </c>
      <c r="M235" s="1" t="s">
        <v>177</v>
      </c>
      <c r="N235" s="1">
        <v>0.5</v>
      </c>
      <c r="O235" s="1">
        <v>0.5</v>
      </c>
      <c r="Q235" s="1">
        <v>2.2000000000000002</v>
      </c>
      <c r="R235" s="1">
        <v>12</v>
      </c>
      <c r="T235" s="1">
        <v>44.9</v>
      </c>
      <c r="V235" s="1">
        <v>2.0099999999999998</v>
      </c>
      <c r="W235" s="1">
        <v>113</v>
      </c>
      <c r="X235" s="1">
        <f t="shared" si="15"/>
        <v>0.80432299711789945</v>
      </c>
      <c r="Y235" s="1">
        <v>5.3999999999999999E-2</v>
      </c>
      <c r="Z235" s="1">
        <v>29</v>
      </c>
      <c r="AD235" s="1">
        <v>465</v>
      </c>
      <c r="AE235" s="1">
        <v>7.86</v>
      </c>
      <c r="AG235" s="1">
        <v>5.4</v>
      </c>
      <c r="AK235" s="1">
        <v>51</v>
      </c>
      <c r="AR235" s="1">
        <v>52.5</v>
      </c>
      <c r="AT235" s="1">
        <v>4.6920000000000002</v>
      </c>
      <c r="AU235" s="1">
        <v>9.7767999999999997</v>
      </c>
      <c r="AV235" s="1">
        <v>27.012900000000002</v>
      </c>
      <c r="AW235" s="1">
        <v>19.131959999999999</v>
      </c>
      <c r="AX235" s="1">
        <v>70.633499999999998</v>
      </c>
      <c r="AY235" s="1">
        <v>2.2999999999999998</v>
      </c>
    </row>
    <row r="236" spans="4:51" x14ac:dyDescent="0.3">
      <c r="D236" s="2">
        <f t="shared" si="12"/>
        <v>1987</v>
      </c>
      <c r="E236" s="2">
        <f t="shared" si="13"/>
        <v>1</v>
      </c>
      <c r="F236" s="3" t="s">
        <v>175</v>
      </c>
      <c r="G236" s="4">
        <v>31796</v>
      </c>
      <c r="H236" s="1">
        <v>6606238</v>
      </c>
      <c r="I236" s="1">
        <v>661152</v>
      </c>
      <c r="J236" s="5" t="s">
        <v>176</v>
      </c>
      <c r="K236" s="1"/>
      <c r="L236" s="1" t="str">
        <f t="shared" si="14"/>
        <v xml:space="preserve">Oxundaån </v>
      </c>
      <c r="M236" s="1" t="s">
        <v>177</v>
      </c>
      <c r="N236" s="1">
        <v>0.5</v>
      </c>
      <c r="O236" s="1">
        <v>0.5</v>
      </c>
      <c r="Q236" s="1">
        <v>0.7</v>
      </c>
      <c r="R236" s="1">
        <v>10.47</v>
      </c>
      <c r="T236" s="1">
        <v>47.7</v>
      </c>
      <c r="V236" s="1">
        <v>2.137</v>
      </c>
      <c r="W236" s="1">
        <v>183</v>
      </c>
      <c r="X236" s="1">
        <f t="shared" si="15"/>
        <v>0.60556463584344178</v>
      </c>
      <c r="Y236" s="1">
        <v>5.6000000000000001E-2</v>
      </c>
      <c r="Z236" s="1">
        <v>39</v>
      </c>
      <c r="AD236" s="1">
        <v>640</v>
      </c>
      <c r="AE236" s="1">
        <v>7.58</v>
      </c>
      <c r="AG236" s="1">
        <v>3</v>
      </c>
      <c r="AK236" s="1">
        <v>62</v>
      </c>
      <c r="AR236" s="1">
        <v>57.300000000000004</v>
      </c>
      <c r="AT236" s="1">
        <v>5.0830000000000002</v>
      </c>
      <c r="AU236" s="1">
        <v>10.4665</v>
      </c>
      <c r="AV236" s="1">
        <v>29.423500000000001</v>
      </c>
      <c r="AW236" s="1">
        <v>20.646000000000001</v>
      </c>
      <c r="AX236" s="1">
        <v>77.840999999999994</v>
      </c>
      <c r="AY236" s="1">
        <v>3.5</v>
      </c>
    </row>
    <row r="237" spans="4:51" x14ac:dyDescent="0.3">
      <c r="D237" s="2">
        <f t="shared" si="12"/>
        <v>1987</v>
      </c>
      <c r="E237" s="2">
        <f t="shared" si="13"/>
        <v>2</v>
      </c>
      <c r="F237" s="3" t="s">
        <v>175</v>
      </c>
      <c r="G237" s="4">
        <v>31824</v>
      </c>
      <c r="H237" s="1">
        <v>6606238</v>
      </c>
      <c r="I237" s="1">
        <v>661152</v>
      </c>
      <c r="J237" s="5" t="s">
        <v>176</v>
      </c>
      <c r="K237" s="1"/>
      <c r="L237" s="1" t="str">
        <f t="shared" si="14"/>
        <v xml:space="preserve">Oxundaån </v>
      </c>
      <c r="M237" s="1" t="s">
        <v>177</v>
      </c>
      <c r="N237" s="1">
        <v>0.5</v>
      </c>
      <c r="O237" s="1">
        <v>0.5</v>
      </c>
      <c r="Q237" s="1">
        <v>0.9</v>
      </c>
      <c r="R237" s="1">
        <v>7.58</v>
      </c>
      <c r="T237" s="1">
        <v>50.6</v>
      </c>
      <c r="V237" s="1">
        <v>2.2669999999999999</v>
      </c>
      <c r="W237" s="1">
        <v>69</v>
      </c>
      <c r="X237" s="1">
        <f t="shared" si="15"/>
        <v>0.16834963396952074</v>
      </c>
      <c r="Y237" s="1">
        <v>5.1999999999999998E-2</v>
      </c>
      <c r="Z237" s="1">
        <v>44</v>
      </c>
      <c r="AD237" s="1">
        <v>920</v>
      </c>
      <c r="AE237" s="1">
        <v>7.44</v>
      </c>
      <c r="AG237" s="1">
        <v>6</v>
      </c>
      <c r="AK237" s="1">
        <v>77</v>
      </c>
      <c r="AR237" s="1">
        <v>60.24</v>
      </c>
      <c r="AT237" s="1">
        <v>5.6303999999999998</v>
      </c>
      <c r="AU237" s="1">
        <v>10.3818</v>
      </c>
      <c r="AV237" s="1">
        <v>31.550500000000003</v>
      </c>
      <c r="AW237" s="1">
        <v>21.792999999999999</v>
      </c>
      <c r="AX237" s="1">
        <v>78.321499999999986</v>
      </c>
      <c r="AY237" s="1">
        <v>3.5</v>
      </c>
    </row>
    <row r="238" spans="4:51" x14ac:dyDescent="0.3">
      <c r="D238" s="2">
        <f t="shared" si="12"/>
        <v>1987</v>
      </c>
      <c r="E238" s="2">
        <f t="shared" si="13"/>
        <v>3</v>
      </c>
      <c r="F238" s="3" t="s">
        <v>175</v>
      </c>
      <c r="G238" s="4">
        <v>31853</v>
      </c>
      <c r="H238" s="1">
        <v>6606238</v>
      </c>
      <c r="I238" s="1">
        <v>661152</v>
      </c>
      <c r="J238" s="5" t="s">
        <v>176</v>
      </c>
      <c r="K238" s="1"/>
      <c r="L238" s="1" t="str">
        <f t="shared" si="14"/>
        <v xml:space="preserve">Oxundaån </v>
      </c>
      <c r="M238" s="1" t="s">
        <v>177</v>
      </c>
      <c r="N238" s="1">
        <v>0.5</v>
      </c>
      <c r="O238" s="1">
        <v>0.5</v>
      </c>
      <c r="Q238" s="1">
        <v>1.2</v>
      </c>
      <c r="R238" s="1">
        <v>6.71</v>
      </c>
      <c r="T238" s="1">
        <v>53.7</v>
      </c>
      <c r="V238" s="1">
        <v>2.48</v>
      </c>
      <c r="W238" s="1">
        <v>11</v>
      </c>
      <c r="X238" s="1">
        <f t="shared" si="15"/>
        <v>2.3975175558906645E-2</v>
      </c>
      <c r="Y238" s="1">
        <v>4.4999999999999998E-2</v>
      </c>
      <c r="Z238" s="1">
        <v>47</v>
      </c>
      <c r="AD238" s="1">
        <v>940</v>
      </c>
      <c r="AE238" s="1">
        <v>7.38</v>
      </c>
      <c r="AG238" s="1">
        <v>7.1</v>
      </c>
      <c r="AK238" s="1">
        <v>82</v>
      </c>
      <c r="AR238" s="1">
        <v>64.2</v>
      </c>
      <c r="AT238" s="1">
        <v>5.7867999999999995</v>
      </c>
      <c r="AU238" s="1">
        <v>12.1</v>
      </c>
      <c r="AV238" s="1">
        <v>35.450000000000003</v>
      </c>
      <c r="AW238" s="1">
        <v>24.132880000000004</v>
      </c>
      <c r="AX238" s="1">
        <v>84.567999999999998</v>
      </c>
      <c r="AY238" s="1">
        <v>3.95</v>
      </c>
    </row>
    <row r="239" spans="4:51" x14ac:dyDescent="0.3">
      <c r="D239" s="2">
        <f t="shared" si="12"/>
        <v>1987</v>
      </c>
      <c r="E239" s="2">
        <f t="shared" si="13"/>
        <v>4</v>
      </c>
      <c r="F239" s="3" t="s">
        <v>178</v>
      </c>
      <c r="G239" s="4">
        <v>31882</v>
      </c>
      <c r="H239" s="1">
        <v>6606238</v>
      </c>
      <c r="I239" s="1">
        <v>661152</v>
      </c>
      <c r="J239" s="5" t="s">
        <v>176</v>
      </c>
      <c r="K239" s="1"/>
      <c r="L239" s="1" t="str">
        <f t="shared" si="14"/>
        <v xml:space="preserve">Oxundaån </v>
      </c>
      <c r="M239" s="1" t="s">
        <v>177</v>
      </c>
      <c r="N239" s="1">
        <v>0.5</v>
      </c>
      <c r="O239" s="1">
        <v>0.5</v>
      </c>
      <c r="Q239" s="1">
        <v>3.1</v>
      </c>
      <c r="R239" s="1">
        <v>9.75</v>
      </c>
      <c r="T239" s="1">
        <v>37.700000000000003</v>
      </c>
      <c r="V239" s="1">
        <v>1.655</v>
      </c>
      <c r="W239" s="1">
        <v>132</v>
      </c>
      <c r="X239" s="1">
        <f t="shared" si="15"/>
        <v>0.23852998619076421</v>
      </c>
      <c r="Y239" s="1">
        <v>9.0999999999999998E-2</v>
      </c>
      <c r="Z239" s="1">
        <v>34</v>
      </c>
      <c r="AD239" s="1">
        <v>500</v>
      </c>
      <c r="AE239" s="1">
        <v>7.23</v>
      </c>
      <c r="AG239" s="1">
        <v>15.5</v>
      </c>
      <c r="AK239" s="1">
        <v>90</v>
      </c>
      <c r="AR239" s="1">
        <v>45</v>
      </c>
      <c r="AT239" s="1">
        <v>4.9266000000000005</v>
      </c>
      <c r="AU239" s="1">
        <v>8.4699999999999989</v>
      </c>
      <c r="AV239" s="1">
        <v>22.865250000000003</v>
      </c>
      <c r="AW239" s="1">
        <v>16.631499999999999</v>
      </c>
      <c r="AX239" s="1">
        <v>54.296499999999995</v>
      </c>
      <c r="AY239" s="1">
        <v>4.4000000000000004</v>
      </c>
    </row>
    <row r="240" spans="4:51" x14ac:dyDescent="0.3">
      <c r="D240" s="2">
        <f t="shared" si="12"/>
        <v>1987</v>
      </c>
      <c r="E240" s="2">
        <f t="shared" si="13"/>
        <v>5</v>
      </c>
      <c r="F240" s="3" t="s">
        <v>178</v>
      </c>
      <c r="G240" s="4">
        <v>31909</v>
      </c>
      <c r="H240" s="1">
        <v>6606238</v>
      </c>
      <c r="I240" s="1">
        <v>661152</v>
      </c>
      <c r="J240" s="5" t="s">
        <v>176</v>
      </c>
      <c r="K240" s="1"/>
      <c r="L240" s="1" t="str">
        <f t="shared" si="14"/>
        <v xml:space="preserve">Oxundaån </v>
      </c>
      <c r="M240" s="1" t="s">
        <v>177</v>
      </c>
      <c r="N240" s="1">
        <v>0.5</v>
      </c>
      <c r="O240" s="1">
        <v>0.5</v>
      </c>
      <c r="Q240" s="1">
        <v>10.5</v>
      </c>
      <c r="R240" s="1">
        <v>11.02</v>
      </c>
      <c r="T240" s="1">
        <v>39.799999999999997</v>
      </c>
      <c r="V240" s="1">
        <v>1.8660000000000001</v>
      </c>
      <c r="W240" s="1">
        <v>23</v>
      </c>
      <c r="X240" s="1">
        <f t="shared" si="15"/>
        <v>0.38894085262067357</v>
      </c>
      <c r="Y240" s="1">
        <v>4.4999999999999998E-2</v>
      </c>
      <c r="Z240" s="1">
        <v>6</v>
      </c>
      <c r="AD240" s="1">
        <v>470</v>
      </c>
      <c r="AE240" s="1">
        <v>7.95</v>
      </c>
      <c r="AG240" s="1">
        <v>6.4</v>
      </c>
      <c r="AK240" s="1">
        <v>47</v>
      </c>
      <c r="AR240" s="1">
        <v>46.6</v>
      </c>
      <c r="AT240" s="1">
        <v>4.1445999999999996</v>
      </c>
      <c r="AU240" s="1">
        <v>8.8330000000000002</v>
      </c>
      <c r="AV240" s="1">
        <v>24.4605</v>
      </c>
      <c r="AW240" s="1">
        <v>16.608560000000001</v>
      </c>
      <c r="AX240" s="1">
        <v>61.503999999999998</v>
      </c>
      <c r="AY240" s="1">
        <v>3.2</v>
      </c>
    </row>
    <row r="241" spans="4:51" x14ac:dyDescent="0.3">
      <c r="D241" s="2">
        <f t="shared" si="12"/>
        <v>1987</v>
      </c>
      <c r="E241" s="2">
        <f t="shared" si="13"/>
        <v>6</v>
      </c>
      <c r="F241" s="3"/>
      <c r="G241" s="4">
        <v>31943</v>
      </c>
      <c r="H241" s="1">
        <v>6606238</v>
      </c>
      <c r="I241" s="1">
        <v>661152</v>
      </c>
      <c r="J241" s="5" t="s">
        <v>176</v>
      </c>
      <c r="K241" s="1"/>
      <c r="L241" s="1" t="str">
        <f t="shared" si="14"/>
        <v xml:space="preserve">Oxundaån </v>
      </c>
      <c r="M241" s="1" t="s">
        <v>177</v>
      </c>
      <c r="N241" s="1">
        <v>0.5</v>
      </c>
      <c r="O241" s="1">
        <v>0.5</v>
      </c>
      <c r="Q241" s="1">
        <v>14</v>
      </c>
      <c r="R241" s="1">
        <v>12.36</v>
      </c>
      <c r="T241" s="1">
        <v>41.1</v>
      </c>
      <c r="V241" s="1">
        <v>1.948</v>
      </c>
      <c r="W241" s="1">
        <v>48</v>
      </c>
      <c r="X241" s="1">
        <f t="shared" si="15"/>
        <v>0.64306357598137476</v>
      </c>
      <c r="Y241" s="1">
        <v>5.6000000000000001E-2</v>
      </c>
      <c r="Z241" s="1">
        <v>6</v>
      </c>
      <c r="AD241" s="1">
        <v>90</v>
      </c>
      <c r="AE241" s="1">
        <v>7.73</v>
      </c>
      <c r="AG241" s="1">
        <v>2.2999999999999998</v>
      </c>
      <c r="AK241" s="1">
        <v>45</v>
      </c>
      <c r="AR241" s="1">
        <v>48.4</v>
      </c>
      <c r="AT241" s="1">
        <v>4.7702</v>
      </c>
      <c r="AU241" s="1">
        <v>8.7724999999999991</v>
      </c>
      <c r="AV241" s="1">
        <v>25.878500000000003</v>
      </c>
      <c r="AW241" s="1">
        <v>17.8932</v>
      </c>
      <c r="AX241" s="1">
        <v>62.464999999999996</v>
      </c>
      <c r="AY241" s="1">
        <v>0.65</v>
      </c>
    </row>
    <row r="242" spans="4:51" x14ac:dyDescent="0.3">
      <c r="D242" s="2">
        <f t="shared" si="12"/>
        <v>1987</v>
      </c>
      <c r="E242" s="2">
        <f t="shared" si="13"/>
        <v>7</v>
      </c>
      <c r="F242" s="3" t="s">
        <v>179</v>
      </c>
      <c r="G242" s="4">
        <v>31971</v>
      </c>
      <c r="H242" s="1">
        <v>6606238</v>
      </c>
      <c r="I242" s="1">
        <v>661152</v>
      </c>
      <c r="J242" s="5" t="s">
        <v>176</v>
      </c>
      <c r="K242" s="1"/>
      <c r="L242" s="1" t="str">
        <f t="shared" si="14"/>
        <v xml:space="preserve">Oxundaån </v>
      </c>
      <c r="M242" s="1" t="s">
        <v>177</v>
      </c>
      <c r="N242" s="1">
        <v>0.5</v>
      </c>
      <c r="O242" s="1">
        <v>0.5</v>
      </c>
      <c r="Q242" s="1">
        <v>19.8</v>
      </c>
      <c r="R242" s="1">
        <v>7.49</v>
      </c>
      <c r="T242" s="1">
        <v>41</v>
      </c>
      <c r="V242" s="1">
        <v>2.0529999999999999</v>
      </c>
      <c r="W242" s="1">
        <v>14</v>
      </c>
      <c r="X242" s="1">
        <f t="shared" si="15"/>
        <v>0.4498208736950976</v>
      </c>
      <c r="Y242" s="1">
        <v>4.3999999999999997E-2</v>
      </c>
      <c r="Z242" s="1">
        <v>38</v>
      </c>
      <c r="AD242" s="1">
        <v>23</v>
      </c>
      <c r="AE242" s="1">
        <v>7.93</v>
      </c>
      <c r="AG242" s="1">
        <v>4</v>
      </c>
      <c r="AK242" s="1">
        <v>98</v>
      </c>
      <c r="AL242" s="1">
        <v>880</v>
      </c>
      <c r="AR242" s="1">
        <v>48.4</v>
      </c>
      <c r="AT242" s="1">
        <v>4.6138000000000003</v>
      </c>
      <c r="AU242" s="1">
        <v>8.5305</v>
      </c>
      <c r="AV242" s="1">
        <v>25.559450000000002</v>
      </c>
      <c r="AW242" s="1">
        <v>17.755560000000003</v>
      </c>
      <c r="AX242" s="1">
        <v>56.218499999999992</v>
      </c>
      <c r="AY242" s="1">
        <v>0.7</v>
      </c>
    </row>
    <row r="243" spans="4:51" x14ac:dyDescent="0.3">
      <c r="D243" s="2">
        <f t="shared" si="12"/>
        <v>1987</v>
      </c>
      <c r="E243" s="2">
        <f t="shared" si="13"/>
        <v>8</v>
      </c>
      <c r="F243" s="3" t="s">
        <v>179</v>
      </c>
      <c r="G243" s="4">
        <v>32006</v>
      </c>
      <c r="H243" s="1">
        <v>6606238</v>
      </c>
      <c r="I243" s="1">
        <v>661152</v>
      </c>
      <c r="J243" s="5" t="s">
        <v>176</v>
      </c>
      <c r="K243" s="1"/>
      <c r="L243" s="1" t="str">
        <f t="shared" si="14"/>
        <v xml:space="preserve">Oxundaån </v>
      </c>
      <c r="M243" s="1" t="s">
        <v>177</v>
      </c>
      <c r="N243" s="1">
        <v>0.5</v>
      </c>
      <c r="O243" s="1">
        <v>0.5</v>
      </c>
      <c r="Q243" s="1">
        <v>16.899999999999999</v>
      </c>
      <c r="R243" s="1">
        <v>8.35</v>
      </c>
      <c r="T243" s="1">
        <v>40.4</v>
      </c>
      <c r="V243" s="1">
        <v>2.0880000000000001</v>
      </c>
      <c r="W243" s="1">
        <v>13</v>
      </c>
      <c r="X243" s="1">
        <f t="shared" si="15"/>
        <v>0.78491035332816861</v>
      </c>
      <c r="Y243" s="1">
        <v>4.2999999999999997E-2</v>
      </c>
      <c r="Z243" s="1">
        <v>95</v>
      </c>
      <c r="AD243" s="1">
        <v>18</v>
      </c>
      <c r="AE243" s="1">
        <v>8.31</v>
      </c>
      <c r="AG243" s="1">
        <v>8.3000000000000007</v>
      </c>
      <c r="AK243" s="1">
        <v>168</v>
      </c>
      <c r="AL243" s="1">
        <v>1310</v>
      </c>
      <c r="AR243" s="1">
        <v>47.1</v>
      </c>
      <c r="AT243" s="1">
        <v>4.5356000000000005</v>
      </c>
      <c r="AU243" s="1">
        <v>8.8692999999999991</v>
      </c>
      <c r="AV243" s="1">
        <v>26.977450000000001</v>
      </c>
      <c r="AW243" s="1">
        <v>18.71904</v>
      </c>
      <c r="AX243" s="1">
        <v>53.335500000000003</v>
      </c>
      <c r="AY243" s="1">
        <v>1.5</v>
      </c>
    </row>
    <row r="244" spans="4:51" x14ac:dyDescent="0.3">
      <c r="D244" s="2">
        <f t="shared" si="12"/>
        <v>1987</v>
      </c>
      <c r="E244" s="2">
        <f t="shared" si="13"/>
        <v>9</v>
      </c>
      <c r="F244" s="3"/>
      <c r="G244" s="4">
        <v>32034</v>
      </c>
      <c r="H244" s="1">
        <v>6606238</v>
      </c>
      <c r="I244" s="1">
        <v>661152</v>
      </c>
      <c r="J244" s="5" t="s">
        <v>176</v>
      </c>
      <c r="K244" s="1"/>
      <c r="L244" s="1" t="str">
        <f t="shared" si="14"/>
        <v xml:space="preserve">Oxundaån </v>
      </c>
      <c r="M244" s="1" t="s">
        <v>177</v>
      </c>
      <c r="N244" s="1">
        <v>0.5</v>
      </c>
      <c r="O244" s="1">
        <v>0.5</v>
      </c>
      <c r="Q244" s="1">
        <v>14.2</v>
      </c>
      <c r="R244" s="1">
        <v>8.09</v>
      </c>
      <c r="T244" s="1">
        <v>40.6</v>
      </c>
      <c r="V244" s="1">
        <v>2.0859999999999999</v>
      </c>
      <c r="W244" s="1">
        <v>9</v>
      </c>
      <c r="X244" s="1">
        <f t="shared" si="15"/>
        <v>0.2059103521214842</v>
      </c>
      <c r="Y244" s="1">
        <v>4.7E-2</v>
      </c>
      <c r="Z244" s="1">
        <v>84</v>
      </c>
      <c r="AD244" s="1">
        <v>14</v>
      </c>
      <c r="AE244" s="1">
        <v>7.96</v>
      </c>
      <c r="AG244" s="1">
        <v>9.1999999999999993</v>
      </c>
      <c r="AK244" s="1">
        <v>144</v>
      </c>
      <c r="AL244" s="1">
        <v>950</v>
      </c>
      <c r="AR244" s="1">
        <v>46.900000000000006</v>
      </c>
      <c r="AT244" s="1">
        <v>4.7310999999999996</v>
      </c>
      <c r="AU244" s="1">
        <v>8.5305</v>
      </c>
      <c r="AV244" s="1">
        <v>28.005500000000005</v>
      </c>
      <c r="AW244" s="1">
        <v>18.122600000000002</v>
      </c>
      <c r="AX244" s="1">
        <v>52.374499999999998</v>
      </c>
      <c r="AY244" s="1">
        <v>2.4500000000000002</v>
      </c>
    </row>
    <row r="245" spans="4:51" x14ac:dyDescent="0.3">
      <c r="D245" s="2">
        <f t="shared" si="12"/>
        <v>1987</v>
      </c>
      <c r="E245" s="2">
        <f t="shared" si="13"/>
        <v>10</v>
      </c>
      <c r="F245" s="3" t="s">
        <v>180</v>
      </c>
      <c r="G245" s="4">
        <v>32063</v>
      </c>
      <c r="H245" s="1">
        <v>6606238</v>
      </c>
      <c r="I245" s="1">
        <v>661152</v>
      </c>
      <c r="J245" s="5" t="s">
        <v>176</v>
      </c>
      <c r="K245" s="1"/>
      <c r="L245" s="1" t="str">
        <f t="shared" si="14"/>
        <v xml:space="preserve">Oxundaån </v>
      </c>
      <c r="M245" s="1" t="s">
        <v>177</v>
      </c>
      <c r="N245" s="1">
        <v>0.5</v>
      </c>
      <c r="O245" s="1">
        <v>0.5</v>
      </c>
      <c r="Q245" s="1">
        <v>9.6999999999999993</v>
      </c>
      <c r="R245" s="1">
        <v>9.31</v>
      </c>
      <c r="T245" s="1">
        <v>42.1</v>
      </c>
      <c r="V245" s="1">
        <v>2.0950000000000002</v>
      </c>
      <c r="W245" s="1">
        <v>27</v>
      </c>
      <c r="X245" s="1">
        <f t="shared" si="15"/>
        <v>0.31954722326806073</v>
      </c>
      <c r="Y245" s="1">
        <v>4.1000000000000002E-2</v>
      </c>
      <c r="Z245" s="1">
        <v>46</v>
      </c>
      <c r="AD245" s="1">
        <v>33</v>
      </c>
      <c r="AE245" s="1">
        <v>7.82</v>
      </c>
      <c r="AG245" s="1">
        <v>4.3</v>
      </c>
      <c r="AK245" s="1">
        <v>112</v>
      </c>
      <c r="AL245" s="1">
        <v>880</v>
      </c>
      <c r="AR245" s="1">
        <v>50.099999999999994</v>
      </c>
      <c r="AT245" s="1">
        <v>4.8483999999999998</v>
      </c>
      <c r="AU245" s="1">
        <v>9.1355000000000004</v>
      </c>
      <c r="AV245" s="1">
        <v>29.317150000000002</v>
      </c>
      <c r="AW245" s="1">
        <v>19.544879999999999</v>
      </c>
      <c r="AX245" s="1">
        <v>55.737999999999992</v>
      </c>
      <c r="AY245" s="1">
        <v>2.4</v>
      </c>
    </row>
    <row r="246" spans="4:51" x14ac:dyDescent="0.3">
      <c r="D246" s="2">
        <f t="shared" si="12"/>
        <v>1987</v>
      </c>
      <c r="E246" s="2">
        <f t="shared" si="13"/>
        <v>11</v>
      </c>
      <c r="F246" s="3" t="s">
        <v>180</v>
      </c>
      <c r="G246" s="4">
        <v>32097</v>
      </c>
      <c r="H246" s="1">
        <v>6606238</v>
      </c>
      <c r="I246" s="1">
        <v>661152</v>
      </c>
      <c r="J246" s="5" t="s">
        <v>176</v>
      </c>
      <c r="K246" s="1"/>
      <c r="L246" s="1" t="str">
        <f t="shared" si="14"/>
        <v xml:space="preserve">Oxundaån </v>
      </c>
      <c r="M246" s="1" t="s">
        <v>177</v>
      </c>
      <c r="N246" s="1">
        <v>0.5</v>
      </c>
      <c r="O246" s="1">
        <v>0.5</v>
      </c>
      <c r="Q246" s="1">
        <v>2.9</v>
      </c>
      <c r="R246" s="1">
        <v>11.22</v>
      </c>
      <c r="T246" s="1">
        <v>43</v>
      </c>
      <c r="V246" s="1">
        <v>2.1070000000000002</v>
      </c>
      <c r="W246" s="1">
        <v>9</v>
      </c>
      <c r="X246" s="1">
        <f t="shared" si="15"/>
        <v>0.10465446355498438</v>
      </c>
      <c r="Y246" s="1">
        <v>4.1000000000000002E-2</v>
      </c>
      <c r="Z246" s="1">
        <v>19</v>
      </c>
      <c r="AD246" s="1">
        <v>65</v>
      </c>
      <c r="AE246" s="1">
        <v>8.0500000000000007</v>
      </c>
      <c r="AG246" s="1">
        <v>2</v>
      </c>
      <c r="AK246" s="1">
        <v>72</v>
      </c>
      <c r="AL246" s="1">
        <v>850</v>
      </c>
      <c r="AR246" s="1">
        <v>50.300000000000004</v>
      </c>
      <c r="AT246" s="1">
        <v>4.7702</v>
      </c>
      <c r="AU246" s="1">
        <v>9.3774999999999995</v>
      </c>
      <c r="AV246" s="1">
        <v>28.005500000000005</v>
      </c>
      <c r="AW246" s="1">
        <v>19.315480000000001</v>
      </c>
      <c r="AX246" s="1">
        <v>61.023499999999999</v>
      </c>
      <c r="AY246" s="1">
        <v>2.2000000000000002</v>
      </c>
    </row>
    <row r="247" spans="4:51" x14ac:dyDescent="0.3">
      <c r="D247" s="2">
        <f t="shared" si="12"/>
        <v>1987</v>
      </c>
      <c r="E247" s="2">
        <f t="shared" si="13"/>
        <v>12</v>
      </c>
      <c r="F247" s="3" t="s">
        <v>175</v>
      </c>
      <c r="G247" s="4">
        <v>32126</v>
      </c>
      <c r="H247" s="1">
        <v>6606238</v>
      </c>
      <c r="I247" s="1">
        <v>661152</v>
      </c>
      <c r="J247" s="5" t="s">
        <v>176</v>
      </c>
      <c r="K247" s="1"/>
      <c r="L247" s="1" t="str">
        <f t="shared" si="14"/>
        <v xml:space="preserve">Oxundaån </v>
      </c>
      <c r="M247" s="1" t="s">
        <v>177</v>
      </c>
      <c r="N247" s="1">
        <v>0.5</v>
      </c>
      <c r="O247" s="1">
        <v>0.5</v>
      </c>
      <c r="Q247" s="1">
        <v>0.4</v>
      </c>
      <c r="R247" s="1">
        <v>10.95</v>
      </c>
      <c r="T247" s="1">
        <v>45.3</v>
      </c>
      <c r="V247" s="1">
        <v>2.331</v>
      </c>
      <c r="W247" s="1">
        <v>117</v>
      </c>
      <c r="X247" s="1">
        <f t="shared" si="15"/>
        <v>0.34444650562734425</v>
      </c>
      <c r="Y247" s="1">
        <v>4.9000000000000002E-2</v>
      </c>
      <c r="Z247" s="1">
        <v>28</v>
      </c>
      <c r="AD247" s="1">
        <v>410</v>
      </c>
      <c r="AE247" s="1">
        <v>7.54</v>
      </c>
      <c r="AG247" s="1">
        <v>2.4</v>
      </c>
      <c r="AK247" s="1">
        <v>41</v>
      </c>
      <c r="AL247" s="1">
        <v>1200</v>
      </c>
      <c r="AR247" s="1">
        <v>54.699999999999996</v>
      </c>
      <c r="AT247" s="1">
        <v>4.6138000000000003</v>
      </c>
      <c r="AU247" s="1">
        <v>9.68</v>
      </c>
      <c r="AV247" s="1">
        <v>29.778000000000002</v>
      </c>
      <c r="AW247" s="1">
        <v>20.875400000000003</v>
      </c>
      <c r="AX247" s="1">
        <v>63.426000000000002</v>
      </c>
      <c r="AY247" s="1">
        <v>2.8</v>
      </c>
    </row>
    <row r="248" spans="4:51" x14ac:dyDescent="0.3">
      <c r="D248" s="2">
        <f t="shared" si="12"/>
        <v>1988</v>
      </c>
      <c r="E248" s="2">
        <f t="shared" si="13"/>
        <v>1</v>
      </c>
      <c r="F248" s="3" t="s">
        <v>175</v>
      </c>
      <c r="G248" s="4">
        <v>32156</v>
      </c>
      <c r="H248" s="1">
        <v>6606238</v>
      </c>
      <c r="I248" s="1">
        <v>661152</v>
      </c>
      <c r="J248" s="5" t="s">
        <v>176</v>
      </c>
      <c r="K248" s="1"/>
      <c r="L248" s="1" t="str">
        <f t="shared" si="14"/>
        <v xml:space="preserve">Oxundaån </v>
      </c>
      <c r="M248" s="1" t="s">
        <v>177</v>
      </c>
      <c r="N248" s="1">
        <v>0.5</v>
      </c>
      <c r="O248" s="1">
        <v>0.5</v>
      </c>
      <c r="Q248" s="1">
        <v>1</v>
      </c>
      <c r="R248" s="1">
        <v>9.32</v>
      </c>
      <c r="T248" s="1">
        <v>44.6</v>
      </c>
      <c r="V248" s="1">
        <v>2.19</v>
      </c>
      <c r="W248" s="1">
        <v>146</v>
      </c>
      <c r="X248" s="1">
        <f t="shared" si="15"/>
        <v>0.25447947811587251</v>
      </c>
      <c r="Y248" s="1">
        <v>9.5000000000000001E-2</v>
      </c>
      <c r="Z248" s="1">
        <v>44</v>
      </c>
      <c r="AD248" s="1">
        <v>860</v>
      </c>
      <c r="AE248" s="1">
        <v>7.29</v>
      </c>
      <c r="AG248" s="1">
        <v>9.1</v>
      </c>
      <c r="AK248" s="1">
        <v>64</v>
      </c>
      <c r="AL248" s="1">
        <v>1600</v>
      </c>
      <c r="AR248" s="1">
        <v>52.9</v>
      </c>
      <c r="AT248" s="1">
        <v>4.6138000000000003</v>
      </c>
      <c r="AU248" s="1">
        <v>9.4984999999999999</v>
      </c>
      <c r="AV248" s="1">
        <v>27.651000000000003</v>
      </c>
      <c r="AW248" s="1">
        <v>20.187200000000001</v>
      </c>
      <c r="AX248" s="1">
        <v>61.984499999999997</v>
      </c>
      <c r="AY248" s="1">
        <v>3.8</v>
      </c>
    </row>
    <row r="249" spans="4:51" x14ac:dyDescent="0.3">
      <c r="D249" s="2">
        <f t="shared" si="12"/>
        <v>1988</v>
      </c>
      <c r="E249" s="2">
        <f t="shared" si="13"/>
        <v>2</v>
      </c>
      <c r="F249" s="3" t="s">
        <v>175</v>
      </c>
      <c r="G249" s="4">
        <v>32188</v>
      </c>
      <c r="H249" s="1">
        <v>6606238</v>
      </c>
      <c r="I249" s="1">
        <v>661152</v>
      </c>
      <c r="J249" s="5" t="s">
        <v>176</v>
      </c>
      <c r="K249" s="1"/>
      <c r="L249" s="1" t="str">
        <f t="shared" si="14"/>
        <v xml:space="preserve">Oxundaån </v>
      </c>
      <c r="M249" s="1" t="s">
        <v>177</v>
      </c>
      <c r="N249" s="1">
        <v>0.5</v>
      </c>
      <c r="O249" s="1">
        <v>0.5</v>
      </c>
      <c r="Q249" s="1">
        <v>1.4</v>
      </c>
      <c r="R249" s="1">
        <v>7.99</v>
      </c>
      <c r="T249" s="1">
        <v>42</v>
      </c>
      <c r="V249" s="1">
        <v>1.929</v>
      </c>
      <c r="W249" s="1">
        <v>138</v>
      </c>
      <c r="X249" s="1">
        <f t="shared" si="15"/>
        <v>0.146549029720136</v>
      </c>
      <c r="Y249" s="1">
        <v>0.109</v>
      </c>
      <c r="Z249" s="1">
        <v>34</v>
      </c>
      <c r="AD249" s="1">
        <v>1540</v>
      </c>
      <c r="AE249" s="1">
        <v>7.06</v>
      </c>
      <c r="AG249" s="1">
        <v>17.5</v>
      </c>
      <c r="AK249" s="1">
        <v>75</v>
      </c>
      <c r="AL249" s="1">
        <v>2300</v>
      </c>
      <c r="AR249" s="1">
        <v>50.64</v>
      </c>
      <c r="AT249" s="1">
        <v>4.1055000000000001</v>
      </c>
      <c r="AU249" s="1">
        <v>9.0749999999999993</v>
      </c>
      <c r="AV249" s="1">
        <v>24.283250000000002</v>
      </c>
      <c r="AW249" s="1">
        <v>16.9756</v>
      </c>
      <c r="AX249" s="1">
        <v>62.464999999999996</v>
      </c>
      <c r="AY249" s="1">
        <v>5.5</v>
      </c>
    </row>
    <row r="250" spans="4:51" x14ac:dyDescent="0.3">
      <c r="D250" s="2">
        <f t="shared" si="12"/>
        <v>1988</v>
      </c>
      <c r="E250" s="2">
        <f t="shared" si="13"/>
        <v>3</v>
      </c>
      <c r="F250" s="3" t="s">
        <v>175</v>
      </c>
      <c r="G250" s="4">
        <v>32216</v>
      </c>
      <c r="H250" s="1">
        <v>6606238</v>
      </c>
      <c r="I250" s="1">
        <v>661152</v>
      </c>
      <c r="J250" s="5" t="s">
        <v>176</v>
      </c>
      <c r="K250" s="1"/>
      <c r="L250" s="1" t="str">
        <f t="shared" si="14"/>
        <v xml:space="preserve">Oxundaån </v>
      </c>
      <c r="M250" s="1" t="s">
        <v>177</v>
      </c>
      <c r="N250" s="1">
        <v>0.5</v>
      </c>
      <c r="O250" s="1">
        <v>0.5</v>
      </c>
      <c r="Q250" s="1">
        <v>1.2</v>
      </c>
      <c r="R250" s="1">
        <v>8.02</v>
      </c>
      <c r="T250" s="1">
        <v>43</v>
      </c>
      <c r="V250" s="1">
        <v>1.994</v>
      </c>
      <c r="W250" s="1">
        <v>51</v>
      </c>
      <c r="X250" s="1">
        <f t="shared" si="15"/>
        <v>6.2568214228142668E-2</v>
      </c>
      <c r="Y250" s="1">
        <v>8.6999999999999994E-2</v>
      </c>
      <c r="Z250" s="1">
        <v>28</v>
      </c>
      <c r="AD250" s="1">
        <v>1660</v>
      </c>
      <c r="AE250" s="1">
        <v>7.13</v>
      </c>
      <c r="AG250" s="1">
        <v>8.02</v>
      </c>
      <c r="AK250" s="1">
        <v>58</v>
      </c>
      <c r="AL250" s="1">
        <v>2000</v>
      </c>
      <c r="AR250" s="1">
        <v>52.800000000000004</v>
      </c>
      <c r="AT250" s="1">
        <v>4.1055000000000001</v>
      </c>
      <c r="AU250" s="1">
        <v>9.1959999999999997</v>
      </c>
      <c r="AV250" s="1">
        <v>24.992250000000002</v>
      </c>
      <c r="AW250" s="1">
        <v>18.466700000000003</v>
      </c>
      <c r="AX250" s="1">
        <v>63.426000000000002</v>
      </c>
      <c r="AY250" s="1">
        <v>5.45</v>
      </c>
    </row>
    <row r="251" spans="4:51" x14ac:dyDescent="0.3">
      <c r="D251" s="2">
        <f t="shared" si="12"/>
        <v>1988</v>
      </c>
      <c r="E251" s="2">
        <f t="shared" si="13"/>
        <v>4</v>
      </c>
      <c r="F251" s="3" t="s">
        <v>178</v>
      </c>
      <c r="G251" s="4">
        <v>32247</v>
      </c>
      <c r="H251" s="1">
        <v>6606238</v>
      </c>
      <c r="I251" s="1">
        <v>661152</v>
      </c>
      <c r="J251" s="5" t="s">
        <v>176</v>
      </c>
      <c r="K251" s="1"/>
      <c r="L251" s="1" t="str">
        <f t="shared" si="14"/>
        <v xml:space="preserve">Oxundaån </v>
      </c>
      <c r="M251" s="1" t="s">
        <v>177</v>
      </c>
      <c r="N251" s="1">
        <v>0.5</v>
      </c>
      <c r="O251" s="1">
        <v>0.5</v>
      </c>
      <c r="Q251" s="1">
        <v>4.5999999999999996</v>
      </c>
      <c r="R251" s="1">
        <v>8.9700000000000006</v>
      </c>
      <c r="T251" s="1">
        <v>40</v>
      </c>
      <c r="V251" s="1">
        <v>2.0739999999999998</v>
      </c>
      <c r="W251" s="1">
        <v>16</v>
      </c>
      <c r="X251" s="1">
        <f t="shared" si="15"/>
        <v>4.2082279065833693E-2</v>
      </c>
      <c r="Y251" s="1">
        <v>6.3E-2</v>
      </c>
      <c r="Z251" s="1">
        <v>48</v>
      </c>
      <c r="AD251" s="1">
        <v>1360</v>
      </c>
      <c r="AE251" s="1">
        <v>7.34</v>
      </c>
      <c r="AG251" s="1">
        <v>12.6</v>
      </c>
      <c r="AK251" s="1">
        <v>63</v>
      </c>
      <c r="AL251" s="1">
        <v>1750</v>
      </c>
      <c r="AR251" s="1">
        <v>49</v>
      </c>
      <c r="AT251" s="1">
        <v>3.8709000000000002</v>
      </c>
      <c r="AU251" s="1">
        <v>8.2279999999999998</v>
      </c>
      <c r="AV251" s="1">
        <v>23.538800000000002</v>
      </c>
      <c r="AW251" s="1">
        <v>16.92972</v>
      </c>
      <c r="AX251" s="1">
        <v>49.491499999999995</v>
      </c>
      <c r="AY251" s="1">
        <v>4.8</v>
      </c>
    </row>
    <row r="252" spans="4:51" x14ac:dyDescent="0.3">
      <c r="D252" s="2">
        <f t="shared" si="12"/>
        <v>1988</v>
      </c>
      <c r="E252" s="2">
        <f t="shared" si="13"/>
        <v>5</v>
      </c>
      <c r="F252" s="3" t="s">
        <v>178</v>
      </c>
      <c r="G252" s="4">
        <v>32279</v>
      </c>
      <c r="H252" s="1">
        <v>6606238</v>
      </c>
      <c r="I252" s="1">
        <v>661152</v>
      </c>
      <c r="J252" s="5" t="s">
        <v>176</v>
      </c>
      <c r="K252" s="1"/>
      <c r="L252" s="1" t="str">
        <f t="shared" si="14"/>
        <v xml:space="preserve">Oxundaån </v>
      </c>
      <c r="M252" s="1" t="s">
        <v>177</v>
      </c>
      <c r="N252" s="1">
        <v>0.5</v>
      </c>
      <c r="O252" s="1">
        <v>0.5</v>
      </c>
      <c r="Q252" s="1">
        <v>15.8</v>
      </c>
      <c r="R252" s="1">
        <v>12.43</v>
      </c>
      <c r="T252" s="1">
        <v>42</v>
      </c>
      <c r="V252" s="1">
        <v>2.1789999999999998</v>
      </c>
      <c r="W252" s="1">
        <v>11</v>
      </c>
      <c r="X252" s="1">
        <f t="shared" si="15"/>
        <v>1.3672382481229877</v>
      </c>
      <c r="Y252" s="1">
        <v>5.6000000000000001E-2</v>
      </c>
      <c r="Z252" s="1">
        <v>4</v>
      </c>
      <c r="AD252" s="1">
        <v>455</v>
      </c>
      <c r="AE252" s="1">
        <v>8.69</v>
      </c>
      <c r="AG252" s="1">
        <v>5.0999999999999996</v>
      </c>
      <c r="AK252" s="1">
        <v>24</v>
      </c>
      <c r="AL252" s="1">
        <v>1260</v>
      </c>
      <c r="AR252" s="1">
        <v>50.7</v>
      </c>
      <c r="AT252" s="1">
        <v>4.0663999999999998</v>
      </c>
      <c r="AU252" s="1">
        <v>8.4699999999999989</v>
      </c>
      <c r="AV252" s="1">
        <v>26.942000000000004</v>
      </c>
      <c r="AW252" s="1">
        <v>18.71904</v>
      </c>
      <c r="AX252" s="1">
        <v>52.374499999999998</v>
      </c>
      <c r="AY252" s="1">
        <v>2.2000000000000002</v>
      </c>
    </row>
    <row r="253" spans="4:51" x14ac:dyDescent="0.3">
      <c r="D253" s="2">
        <f t="shared" si="12"/>
        <v>1988</v>
      </c>
      <c r="E253" s="2">
        <f t="shared" si="13"/>
        <v>6</v>
      </c>
      <c r="F253" s="3"/>
      <c r="G253" s="4">
        <v>32309</v>
      </c>
      <c r="H253" s="1">
        <v>6606238</v>
      </c>
      <c r="I253" s="1">
        <v>661152</v>
      </c>
      <c r="J253" s="5" t="s">
        <v>176</v>
      </c>
      <c r="K253" s="1"/>
      <c r="L253" s="1" t="str">
        <f t="shared" si="14"/>
        <v xml:space="preserve">Oxundaån </v>
      </c>
      <c r="M253" s="1" t="s">
        <v>177</v>
      </c>
      <c r="N253" s="1">
        <v>0.5</v>
      </c>
      <c r="O253" s="1">
        <v>0.5</v>
      </c>
      <c r="Q253" s="1">
        <v>17</v>
      </c>
      <c r="R253" s="1">
        <v>9.85</v>
      </c>
      <c r="T253" s="1">
        <v>39.5</v>
      </c>
      <c r="V253" s="1">
        <v>2.0529999999999999</v>
      </c>
      <c r="W253" s="1">
        <v>5</v>
      </c>
      <c r="X253" s="1">
        <f t="shared" si="15"/>
        <v>0.49526377952420297</v>
      </c>
      <c r="Y253" s="1">
        <v>7.9000000000000001E-2</v>
      </c>
      <c r="Z253" s="1">
        <v>10</v>
      </c>
      <c r="AD253" s="1">
        <v>12</v>
      </c>
      <c r="AE253" s="1">
        <v>8.5399999999999991</v>
      </c>
      <c r="AG253" s="1">
        <v>6.5</v>
      </c>
      <c r="AK253" s="1">
        <v>76</v>
      </c>
      <c r="AL253" s="1">
        <v>1070</v>
      </c>
      <c r="AR253" s="1">
        <v>48.3</v>
      </c>
      <c r="AT253" s="1">
        <v>4.4574000000000007</v>
      </c>
      <c r="AU253" s="1">
        <v>8.3489999999999984</v>
      </c>
      <c r="AV253" s="1">
        <v>27.225600000000004</v>
      </c>
      <c r="AW253" s="1">
        <v>18.214360000000003</v>
      </c>
      <c r="AX253" s="1">
        <v>48.530499999999996</v>
      </c>
      <c r="AY253" s="1">
        <v>0.5</v>
      </c>
    </row>
    <row r="254" spans="4:51" x14ac:dyDescent="0.3">
      <c r="D254" s="2">
        <f t="shared" si="12"/>
        <v>1988</v>
      </c>
      <c r="E254" s="2">
        <f t="shared" si="13"/>
        <v>7</v>
      </c>
      <c r="F254" s="3" t="s">
        <v>179</v>
      </c>
      <c r="G254" s="4">
        <v>32338</v>
      </c>
      <c r="H254" s="1">
        <v>6606238</v>
      </c>
      <c r="I254" s="1">
        <v>661152</v>
      </c>
      <c r="J254" s="5" t="s">
        <v>176</v>
      </c>
      <c r="K254" s="1"/>
      <c r="L254" s="1" t="str">
        <f t="shared" si="14"/>
        <v xml:space="preserve">Oxundaån </v>
      </c>
      <c r="M254" s="1" t="s">
        <v>177</v>
      </c>
      <c r="N254" s="1">
        <v>0.5</v>
      </c>
      <c r="O254" s="1">
        <v>0.5</v>
      </c>
      <c r="Q254" s="1">
        <v>21.7</v>
      </c>
      <c r="R254" s="1">
        <v>8.2799999999999994</v>
      </c>
      <c r="T254" s="1">
        <v>37.6</v>
      </c>
      <c r="V254" s="1">
        <v>1.8720000000000001</v>
      </c>
      <c r="W254" s="1">
        <v>18</v>
      </c>
      <c r="X254" s="1">
        <f t="shared" si="15"/>
        <v>2.0590134912226667</v>
      </c>
      <c r="Y254" s="1">
        <v>4.2999999999999997E-2</v>
      </c>
      <c r="Z254" s="1">
        <v>17</v>
      </c>
      <c r="AD254" s="1">
        <v>14</v>
      </c>
      <c r="AE254" s="1">
        <v>8.4600000000000009</v>
      </c>
      <c r="AG254" s="1">
        <v>8</v>
      </c>
      <c r="AK254" s="1">
        <v>73</v>
      </c>
      <c r="AL254" s="1">
        <v>1200</v>
      </c>
      <c r="AR254" s="1">
        <v>43.2</v>
      </c>
      <c r="AT254" s="1">
        <v>4.3792</v>
      </c>
      <c r="AU254" s="1">
        <v>8.2885000000000009</v>
      </c>
      <c r="AV254" s="1">
        <v>28.218200000000003</v>
      </c>
      <c r="AW254" s="1">
        <v>18.76492</v>
      </c>
      <c r="AX254" s="1">
        <v>46.031899999999993</v>
      </c>
      <c r="AY254" s="1">
        <v>0.8</v>
      </c>
    </row>
    <row r="255" spans="4:51" x14ac:dyDescent="0.3">
      <c r="D255" s="2">
        <f t="shared" si="12"/>
        <v>1988</v>
      </c>
      <c r="E255" s="2">
        <f t="shared" si="13"/>
        <v>8</v>
      </c>
      <c r="F255" s="3" t="s">
        <v>179</v>
      </c>
      <c r="G255" s="4">
        <v>32370</v>
      </c>
      <c r="H255" s="1">
        <v>6606238</v>
      </c>
      <c r="I255" s="1">
        <v>661152</v>
      </c>
      <c r="J255" s="5" t="s">
        <v>176</v>
      </c>
      <c r="K255" s="1"/>
      <c r="L255" s="1" t="str">
        <f t="shared" si="14"/>
        <v xml:space="preserve">Oxundaån </v>
      </c>
      <c r="M255" s="1" t="s">
        <v>177</v>
      </c>
      <c r="N255" s="1">
        <v>0.5</v>
      </c>
      <c r="O255" s="1">
        <v>0.5</v>
      </c>
      <c r="Q255" s="1">
        <v>18.3</v>
      </c>
      <c r="R255" s="1">
        <v>7.13</v>
      </c>
      <c r="T255" s="1">
        <v>38.299999999999997</v>
      </c>
      <c r="V255" s="1">
        <v>1.992</v>
      </c>
      <c r="W255" s="1">
        <v>12</v>
      </c>
      <c r="X255" s="1">
        <f t="shared" si="15"/>
        <v>0.31673659662566411</v>
      </c>
      <c r="Y255" s="1">
        <v>5.3999999999999999E-2</v>
      </c>
      <c r="Z255" s="1">
        <v>72</v>
      </c>
      <c r="AD255" s="1">
        <v>18</v>
      </c>
      <c r="AE255" s="1">
        <v>7.89</v>
      </c>
      <c r="AG255" s="1">
        <v>5.3</v>
      </c>
      <c r="AK255" s="1">
        <v>88</v>
      </c>
      <c r="AL255" s="1">
        <v>1400</v>
      </c>
      <c r="AR255" s="1">
        <v>43.6</v>
      </c>
      <c r="AT255" s="1">
        <v>4.0663999999999998</v>
      </c>
      <c r="AU255" s="1">
        <v>8.2885000000000009</v>
      </c>
      <c r="AV255" s="1">
        <v>27.651000000000003</v>
      </c>
      <c r="AW255" s="1">
        <v>18.71904</v>
      </c>
      <c r="AX255" s="1">
        <v>43.725499999999997</v>
      </c>
      <c r="AY255" s="1">
        <v>1.6</v>
      </c>
    </row>
    <row r="256" spans="4:51" x14ac:dyDescent="0.3">
      <c r="D256" s="2">
        <f t="shared" si="12"/>
        <v>1988</v>
      </c>
      <c r="E256" s="2">
        <f t="shared" si="13"/>
        <v>9</v>
      </c>
      <c r="F256" s="3"/>
      <c r="G256" s="4">
        <v>32401</v>
      </c>
      <c r="H256" s="1">
        <v>6606238</v>
      </c>
      <c r="I256" s="1">
        <v>661152</v>
      </c>
      <c r="J256" s="5" t="s">
        <v>176</v>
      </c>
      <c r="K256" s="1"/>
      <c r="L256" s="1" t="str">
        <f t="shared" si="14"/>
        <v xml:space="preserve">Oxundaån </v>
      </c>
      <c r="M256" s="1" t="s">
        <v>177</v>
      </c>
      <c r="N256" s="1">
        <v>0.5</v>
      </c>
      <c r="O256" s="1">
        <v>0.5</v>
      </c>
      <c r="Q256" s="1">
        <v>15.5</v>
      </c>
      <c r="R256" s="1">
        <v>6.27</v>
      </c>
      <c r="T256" s="1">
        <v>40.299999999999997</v>
      </c>
      <c r="V256" s="1">
        <v>2.0390000000000001</v>
      </c>
      <c r="W256" s="1">
        <v>13</v>
      </c>
      <c r="X256" s="1">
        <f t="shared" si="15"/>
        <v>0.20854231978568585</v>
      </c>
      <c r="Y256" s="1">
        <v>4.2999999999999997E-2</v>
      </c>
      <c r="Z256" s="1">
        <v>104</v>
      </c>
      <c r="AD256" s="1">
        <v>14</v>
      </c>
      <c r="AE256" s="1">
        <v>7.76</v>
      </c>
      <c r="AG256" s="1">
        <v>4.3</v>
      </c>
      <c r="AK256" s="1">
        <v>204</v>
      </c>
      <c r="AL256" s="1">
        <v>1450</v>
      </c>
      <c r="AR256" s="1">
        <v>46.5</v>
      </c>
      <c r="AT256" s="1">
        <v>4.5356000000000005</v>
      </c>
      <c r="AU256" s="1">
        <v>8.4457999999999984</v>
      </c>
      <c r="AV256" s="1">
        <v>28.714500000000005</v>
      </c>
      <c r="AW256" s="1">
        <v>19.774280000000001</v>
      </c>
      <c r="AX256" s="1">
        <v>45.407249999999998</v>
      </c>
      <c r="AY256" s="1">
        <v>2.75</v>
      </c>
    </row>
    <row r="257" spans="4:51" x14ac:dyDescent="0.3">
      <c r="D257" s="2">
        <f t="shared" si="12"/>
        <v>1988</v>
      </c>
      <c r="E257" s="2">
        <f t="shared" si="13"/>
        <v>10</v>
      </c>
      <c r="F257" s="3" t="s">
        <v>180</v>
      </c>
      <c r="G257" s="4">
        <v>32429</v>
      </c>
      <c r="H257" s="1">
        <v>6606238</v>
      </c>
      <c r="I257" s="1">
        <v>661152</v>
      </c>
      <c r="J257" s="5" t="s">
        <v>176</v>
      </c>
      <c r="K257" s="1"/>
      <c r="L257" s="1" t="str">
        <f t="shared" si="14"/>
        <v xml:space="preserve">Oxundaån </v>
      </c>
      <c r="M257" s="1" t="s">
        <v>177</v>
      </c>
      <c r="N257" s="1">
        <v>0.5</v>
      </c>
      <c r="O257" s="1">
        <v>0.5</v>
      </c>
      <c r="Q257" s="1">
        <v>9.5</v>
      </c>
      <c r="R257" s="1">
        <v>8.8800000000000008</v>
      </c>
      <c r="T257" s="1">
        <v>42.6</v>
      </c>
      <c r="V257" s="1">
        <v>2.2000000000000002</v>
      </c>
      <c r="W257" s="1">
        <v>11</v>
      </c>
      <c r="X257" s="1">
        <f t="shared" si="15"/>
        <v>0.15727190324806148</v>
      </c>
      <c r="Y257" s="1">
        <v>3.6999999999999998E-2</v>
      </c>
      <c r="Z257" s="1">
        <v>68</v>
      </c>
      <c r="AD257" s="1">
        <v>48</v>
      </c>
      <c r="AE257" s="1">
        <v>7.91</v>
      </c>
      <c r="AG257" s="1">
        <v>6.8</v>
      </c>
      <c r="AK257" s="1">
        <v>140</v>
      </c>
      <c r="AL257" s="1">
        <v>1020</v>
      </c>
      <c r="AR257" s="1">
        <v>51.5</v>
      </c>
      <c r="AT257" s="1">
        <v>4.5356000000000005</v>
      </c>
      <c r="AU257" s="1">
        <v>8.8330000000000002</v>
      </c>
      <c r="AV257" s="1">
        <v>29.068999999999999</v>
      </c>
      <c r="AW257" s="1">
        <v>20.646000000000001</v>
      </c>
      <c r="AX257" s="1">
        <v>51.413499999999999</v>
      </c>
      <c r="AY257" s="1">
        <v>3.2</v>
      </c>
    </row>
    <row r="258" spans="4:51" x14ac:dyDescent="0.3">
      <c r="D258" s="2">
        <f t="shared" ref="D258:D321" si="16">YEAR(G258)</f>
        <v>1988</v>
      </c>
      <c r="E258" s="2">
        <f t="shared" ref="E258:E321" si="17">MONTH(G258)</f>
        <v>11</v>
      </c>
      <c r="F258" s="3" t="s">
        <v>180</v>
      </c>
      <c r="G258" s="4">
        <v>32462</v>
      </c>
      <c r="H258" s="1">
        <v>6606238</v>
      </c>
      <c r="I258" s="1">
        <v>661152</v>
      </c>
      <c r="J258" s="5" t="s">
        <v>176</v>
      </c>
      <c r="K258" s="1"/>
      <c r="L258" s="1" t="str">
        <f t="shared" ref="L258:L321" si="18">CONCATENATE(J258," ",K258)</f>
        <v xml:space="preserve">Oxundaån </v>
      </c>
      <c r="M258" s="1" t="s">
        <v>177</v>
      </c>
      <c r="N258" s="1">
        <v>0.5</v>
      </c>
      <c r="O258" s="1">
        <v>0.5</v>
      </c>
      <c r="Q258" s="1">
        <v>1.5</v>
      </c>
      <c r="R258" s="1">
        <v>12.76</v>
      </c>
      <c r="T258" s="1">
        <v>43.8</v>
      </c>
      <c r="V258" s="1">
        <v>2.2490000000000001</v>
      </c>
      <c r="W258" s="1">
        <v>7</v>
      </c>
      <c r="X258" s="1">
        <f t="shared" ref="X258:X321" si="19">W258 * (1/((10^((0.0901821 + (2729.92 /(273.15 + Q258)))-AE258)+1)))</f>
        <v>5.3941630432552574E-2</v>
      </c>
      <c r="Y258" s="1">
        <v>4.2999999999999997E-2</v>
      </c>
      <c r="Z258" s="1">
        <v>37</v>
      </c>
      <c r="AD258" s="1">
        <v>85</v>
      </c>
      <c r="AE258" s="1">
        <v>7.92</v>
      </c>
      <c r="AG258" s="1">
        <v>5.4</v>
      </c>
      <c r="AK258" s="1">
        <v>110</v>
      </c>
      <c r="AL258" s="1">
        <v>910</v>
      </c>
      <c r="AR258" s="1">
        <v>51.5</v>
      </c>
      <c r="AT258" s="1">
        <v>4.3792</v>
      </c>
      <c r="AU258" s="1">
        <v>8.8330000000000002</v>
      </c>
      <c r="AV258" s="1">
        <v>30.841500000000003</v>
      </c>
      <c r="AW258" s="1">
        <v>19.911920000000002</v>
      </c>
      <c r="AX258" s="1">
        <v>52.374499999999998</v>
      </c>
      <c r="AY258" s="1">
        <v>2.95</v>
      </c>
    </row>
    <row r="259" spans="4:51" x14ac:dyDescent="0.3">
      <c r="D259" s="2">
        <f t="shared" si="16"/>
        <v>1988</v>
      </c>
      <c r="E259" s="2">
        <f t="shared" si="17"/>
        <v>12</v>
      </c>
      <c r="F259" s="3" t="s">
        <v>175</v>
      </c>
      <c r="G259" s="4">
        <v>32492</v>
      </c>
      <c r="H259" s="1">
        <v>6606238</v>
      </c>
      <c r="I259" s="1">
        <v>661152</v>
      </c>
      <c r="J259" s="5" t="s">
        <v>176</v>
      </c>
      <c r="K259" s="1"/>
      <c r="L259" s="1" t="str">
        <f t="shared" si="18"/>
        <v xml:space="preserve">Oxundaån </v>
      </c>
      <c r="M259" s="1" t="s">
        <v>177</v>
      </c>
      <c r="N259" s="1">
        <v>0.5</v>
      </c>
      <c r="O259" s="1">
        <v>0.5</v>
      </c>
      <c r="Q259" s="1">
        <v>0.9</v>
      </c>
      <c r="R259" s="1">
        <v>10.46</v>
      </c>
      <c r="T259" s="1">
        <v>47.8</v>
      </c>
      <c r="V259" s="1">
        <v>2.4630000000000001</v>
      </c>
      <c r="W259" s="1">
        <v>73</v>
      </c>
      <c r="X259" s="1">
        <f t="shared" si="19"/>
        <v>0.32345826098714459</v>
      </c>
      <c r="Y259" s="1">
        <v>3.6999999999999998E-2</v>
      </c>
      <c r="Z259" s="1">
        <v>38</v>
      </c>
      <c r="AD259" s="1">
        <v>180</v>
      </c>
      <c r="AE259" s="1">
        <v>7.7</v>
      </c>
      <c r="AG259" s="1">
        <v>0.8</v>
      </c>
      <c r="AK259" s="1">
        <v>59</v>
      </c>
      <c r="AL259" s="1">
        <v>950</v>
      </c>
      <c r="AR259" s="1">
        <v>56.3</v>
      </c>
      <c r="AT259" s="1">
        <v>4.5356000000000005</v>
      </c>
      <c r="AU259" s="1">
        <v>9.9219999999999988</v>
      </c>
      <c r="AV259" s="1">
        <v>33.323</v>
      </c>
      <c r="AW259" s="1">
        <v>22.572960000000002</v>
      </c>
      <c r="AX259" s="1">
        <v>56.698999999999991</v>
      </c>
      <c r="AY259" s="1">
        <v>3</v>
      </c>
    </row>
    <row r="260" spans="4:51" x14ac:dyDescent="0.3">
      <c r="D260" s="2">
        <f t="shared" si="16"/>
        <v>1989</v>
      </c>
      <c r="E260" s="2">
        <f t="shared" si="17"/>
        <v>1</v>
      </c>
      <c r="F260" s="3" t="s">
        <v>175</v>
      </c>
      <c r="G260" s="4">
        <v>32524</v>
      </c>
      <c r="H260" s="1">
        <v>6606238</v>
      </c>
      <c r="I260" s="1">
        <v>661152</v>
      </c>
      <c r="J260" s="5" t="s">
        <v>176</v>
      </c>
      <c r="K260" s="1"/>
      <c r="L260" s="1" t="str">
        <f t="shared" si="18"/>
        <v xml:space="preserve">Oxundaån </v>
      </c>
      <c r="M260" s="1" t="s">
        <v>177</v>
      </c>
      <c r="N260" s="1">
        <v>0.5</v>
      </c>
      <c r="O260" s="1">
        <v>0.5</v>
      </c>
      <c r="Q260" s="1">
        <v>1.3</v>
      </c>
      <c r="R260" s="1">
        <v>8.75</v>
      </c>
      <c r="T260" s="1">
        <v>47.5</v>
      </c>
      <c r="V260" s="1">
        <v>2.09</v>
      </c>
      <c r="W260" s="1">
        <v>103</v>
      </c>
      <c r="X260" s="1">
        <f t="shared" si="19"/>
        <v>0.17181240295088082</v>
      </c>
      <c r="Y260" s="1">
        <v>5.7000000000000002E-2</v>
      </c>
      <c r="Z260" s="1">
        <v>44</v>
      </c>
      <c r="AD260" s="1">
        <v>1200</v>
      </c>
      <c r="AE260" s="1">
        <v>7.26</v>
      </c>
      <c r="AG260" s="1">
        <v>6.7</v>
      </c>
      <c r="AK260" s="1">
        <v>90</v>
      </c>
      <c r="AL260" s="1">
        <v>1900</v>
      </c>
      <c r="AR260" s="1">
        <v>55.8</v>
      </c>
      <c r="AT260" s="1">
        <v>4.6920000000000002</v>
      </c>
      <c r="AU260" s="1">
        <v>9.68</v>
      </c>
      <c r="AV260" s="1">
        <v>31.550500000000003</v>
      </c>
      <c r="AW260" s="1">
        <v>22.366500000000002</v>
      </c>
      <c r="AX260" s="1">
        <v>61.503999999999998</v>
      </c>
      <c r="AY260" s="1">
        <v>3.4</v>
      </c>
    </row>
    <row r="261" spans="4:51" x14ac:dyDescent="0.3">
      <c r="D261" s="2">
        <f t="shared" si="16"/>
        <v>1989</v>
      </c>
      <c r="E261" s="2">
        <f t="shared" si="17"/>
        <v>2</v>
      </c>
      <c r="F261" s="3" t="s">
        <v>175</v>
      </c>
      <c r="G261" s="4">
        <v>32554</v>
      </c>
      <c r="H261" s="1">
        <v>6606238</v>
      </c>
      <c r="I261" s="1">
        <v>661152</v>
      </c>
      <c r="J261" s="5" t="s">
        <v>176</v>
      </c>
      <c r="K261" s="1"/>
      <c r="L261" s="1" t="str">
        <f t="shared" si="18"/>
        <v xml:space="preserve">Oxundaån </v>
      </c>
      <c r="M261" s="1" t="s">
        <v>177</v>
      </c>
      <c r="N261" s="1">
        <v>0.5</v>
      </c>
      <c r="O261" s="1">
        <v>0.5</v>
      </c>
      <c r="Q261" s="1">
        <v>1.7</v>
      </c>
      <c r="R261" s="1">
        <v>8.68</v>
      </c>
      <c r="T261" s="1">
        <v>45.3</v>
      </c>
      <c r="V261" s="1">
        <v>2.0670000000000002</v>
      </c>
      <c r="W261" s="1">
        <v>42</v>
      </c>
      <c r="X261" s="1">
        <f t="shared" si="19"/>
        <v>0.12285574430259412</v>
      </c>
      <c r="Y261" s="1">
        <v>3.9E-2</v>
      </c>
      <c r="Z261" s="1">
        <v>43</v>
      </c>
      <c r="AD261" s="1">
        <v>800</v>
      </c>
      <c r="AE261" s="1">
        <v>7.49</v>
      </c>
      <c r="AG261" s="1">
        <v>4.4000000000000004</v>
      </c>
      <c r="AK261" s="1">
        <v>100</v>
      </c>
      <c r="AL261" s="1">
        <v>1400</v>
      </c>
      <c r="AR261" s="1">
        <v>53.4</v>
      </c>
      <c r="AT261" s="1">
        <v>4.7702</v>
      </c>
      <c r="AU261" s="1">
        <v>9.2564999999999991</v>
      </c>
      <c r="AV261" s="1">
        <v>30.309750000000001</v>
      </c>
      <c r="AW261" s="1">
        <v>21.563600000000001</v>
      </c>
      <c r="AX261" s="1">
        <v>55.737999999999992</v>
      </c>
      <c r="AY261" s="1">
        <v>3.2</v>
      </c>
    </row>
    <row r="262" spans="4:51" x14ac:dyDescent="0.3">
      <c r="D262" s="2">
        <f t="shared" si="16"/>
        <v>1989</v>
      </c>
      <c r="E262" s="2">
        <f t="shared" si="17"/>
        <v>3</v>
      </c>
      <c r="F262" s="3" t="s">
        <v>175</v>
      </c>
      <c r="G262" s="4">
        <v>32581</v>
      </c>
      <c r="H262" s="1">
        <v>6606238</v>
      </c>
      <c r="I262" s="1">
        <v>661152</v>
      </c>
      <c r="J262" s="5" t="s">
        <v>176</v>
      </c>
      <c r="K262" s="1"/>
      <c r="L262" s="1" t="str">
        <f t="shared" si="18"/>
        <v xml:space="preserve">Oxundaån </v>
      </c>
      <c r="M262" s="1" t="s">
        <v>177</v>
      </c>
      <c r="N262" s="1">
        <v>0.5</v>
      </c>
      <c r="O262" s="1">
        <v>0.5</v>
      </c>
      <c r="Q262" s="1">
        <v>3</v>
      </c>
      <c r="R262" s="1">
        <v>12.74</v>
      </c>
      <c r="T262" s="1">
        <v>44.7</v>
      </c>
      <c r="V262" s="1">
        <v>2.2400000000000002</v>
      </c>
      <c r="W262" s="1">
        <v>10</v>
      </c>
      <c r="X262" s="1">
        <f t="shared" si="19"/>
        <v>0.10461852196734357</v>
      </c>
      <c r="Y262" s="1">
        <v>5.2999999999999999E-2</v>
      </c>
      <c r="Z262" s="1">
        <v>8</v>
      </c>
      <c r="AD262" s="1">
        <v>585</v>
      </c>
      <c r="AE262" s="1">
        <v>8</v>
      </c>
      <c r="AG262" s="1">
        <v>6.2</v>
      </c>
      <c r="AK262" s="1">
        <v>67</v>
      </c>
      <c r="AL262" s="1">
        <v>1250</v>
      </c>
      <c r="AR262" s="1">
        <v>53.2</v>
      </c>
      <c r="AT262" s="1">
        <v>4.4574000000000007</v>
      </c>
      <c r="AU262" s="1">
        <v>9.1959999999999997</v>
      </c>
      <c r="AV262" s="1">
        <v>31.196000000000002</v>
      </c>
      <c r="AW262" s="1">
        <v>21.104800000000001</v>
      </c>
      <c r="AX262" s="1">
        <v>57.66</v>
      </c>
      <c r="AY262" s="1">
        <v>2.8</v>
      </c>
    </row>
    <row r="263" spans="4:51" x14ac:dyDescent="0.3">
      <c r="D263" s="2">
        <f t="shared" si="16"/>
        <v>1989</v>
      </c>
      <c r="E263" s="2">
        <f t="shared" si="17"/>
        <v>4</v>
      </c>
      <c r="F263" s="3" t="s">
        <v>178</v>
      </c>
      <c r="G263" s="4">
        <v>32615</v>
      </c>
      <c r="H263" s="1">
        <v>6606238</v>
      </c>
      <c r="I263" s="1">
        <v>661152</v>
      </c>
      <c r="J263" s="5" t="s">
        <v>176</v>
      </c>
      <c r="K263" s="1"/>
      <c r="L263" s="1" t="str">
        <f t="shared" si="18"/>
        <v xml:space="preserve">Oxundaån </v>
      </c>
      <c r="M263" s="1" t="s">
        <v>177</v>
      </c>
      <c r="N263" s="1">
        <v>0.5</v>
      </c>
      <c r="O263" s="1">
        <v>0.5</v>
      </c>
      <c r="Q263" s="1">
        <v>7.9</v>
      </c>
      <c r="R263" s="1">
        <v>14.3</v>
      </c>
      <c r="T263" s="1">
        <v>42.8</v>
      </c>
      <c r="V263" s="1">
        <v>2.12</v>
      </c>
      <c r="W263" s="1">
        <v>13</v>
      </c>
      <c r="X263" s="1">
        <f t="shared" si="19"/>
        <v>1.1489117761532708</v>
      </c>
      <c r="Y263" s="1">
        <v>4.2999999999999997E-2</v>
      </c>
      <c r="Z263" s="1">
        <v>4</v>
      </c>
      <c r="AD263" s="1">
        <v>115</v>
      </c>
      <c r="AE263" s="1">
        <v>8.7899999999999991</v>
      </c>
      <c r="AG263" s="1">
        <v>19.600000000000001</v>
      </c>
      <c r="AK263" s="1">
        <v>50</v>
      </c>
      <c r="AL263" s="1">
        <v>1120</v>
      </c>
      <c r="AR263" s="1">
        <v>53</v>
      </c>
      <c r="AT263" s="1">
        <v>4.6920000000000002</v>
      </c>
      <c r="AU263" s="1">
        <v>9.2564999999999991</v>
      </c>
      <c r="AV263" s="1">
        <v>30.487000000000002</v>
      </c>
      <c r="AW263" s="1">
        <v>20.370720000000002</v>
      </c>
      <c r="AX263" s="1">
        <v>59.101499999999994</v>
      </c>
      <c r="AY263" s="1">
        <v>0.5</v>
      </c>
    </row>
    <row r="264" spans="4:51" x14ac:dyDescent="0.3">
      <c r="D264" s="2">
        <f t="shared" si="16"/>
        <v>1989</v>
      </c>
      <c r="E264" s="2">
        <f t="shared" si="17"/>
        <v>5</v>
      </c>
      <c r="F264" s="3" t="s">
        <v>178</v>
      </c>
      <c r="G264" s="4">
        <v>32644</v>
      </c>
      <c r="H264" s="1">
        <v>6606238</v>
      </c>
      <c r="I264" s="1">
        <v>661152</v>
      </c>
      <c r="J264" s="5" t="s">
        <v>176</v>
      </c>
      <c r="K264" s="1"/>
      <c r="L264" s="1" t="str">
        <f t="shared" si="18"/>
        <v xml:space="preserve">Oxundaån </v>
      </c>
      <c r="M264" s="1" t="s">
        <v>177</v>
      </c>
      <c r="N264" s="1">
        <v>0.5</v>
      </c>
      <c r="O264" s="1">
        <v>0.5</v>
      </c>
      <c r="Q264" s="1">
        <v>14</v>
      </c>
      <c r="R264" s="1">
        <v>8.86</v>
      </c>
      <c r="T264" s="1">
        <v>43.5</v>
      </c>
      <c r="V264" s="1">
        <v>2.16</v>
      </c>
      <c r="W264" s="1">
        <v>5</v>
      </c>
      <c r="X264" s="1">
        <f t="shared" si="19"/>
        <v>0.10533988773675777</v>
      </c>
      <c r="Y264" s="1">
        <v>3.9E-2</v>
      </c>
      <c r="Z264" s="1">
        <v>5</v>
      </c>
      <c r="AD264" s="1">
        <v>12</v>
      </c>
      <c r="AE264" s="1">
        <v>7.93</v>
      </c>
      <c r="AG264" s="1">
        <v>4.5</v>
      </c>
      <c r="AK264" s="1">
        <v>60</v>
      </c>
      <c r="AL264" s="1">
        <v>970</v>
      </c>
      <c r="AR264" s="1">
        <v>51.6</v>
      </c>
      <c r="AT264" s="1">
        <v>4.5356000000000005</v>
      </c>
      <c r="AU264" s="1">
        <v>8.8330000000000002</v>
      </c>
      <c r="AV264" s="1">
        <v>29.600750000000001</v>
      </c>
      <c r="AW264" s="1">
        <v>20.760700000000003</v>
      </c>
      <c r="AX264" s="1">
        <v>53.816000000000003</v>
      </c>
      <c r="AY264" s="1">
        <v>0.2</v>
      </c>
    </row>
    <row r="265" spans="4:51" x14ac:dyDescent="0.3">
      <c r="D265" s="2">
        <f t="shared" si="16"/>
        <v>1989</v>
      </c>
      <c r="E265" s="2">
        <f t="shared" si="17"/>
        <v>6</v>
      </c>
      <c r="F265" s="3"/>
      <c r="G265" s="4">
        <v>32673</v>
      </c>
      <c r="H265" s="1">
        <v>6606238</v>
      </c>
      <c r="I265" s="1">
        <v>661152</v>
      </c>
      <c r="J265" s="5" t="s">
        <v>176</v>
      </c>
      <c r="K265" s="1"/>
      <c r="L265" s="1" t="str">
        <f t="shared" si="18"/>
        <v xml:space="preserve">Oxundaån </v>
      </c>
      <c r="M265" s="1" t="s">
        <v>177</v>
      </c>
      <c r="N265" s="1">
        <v>0.5</v>
      </c>
      <c r="O265" s="1">
        <v>0.5</v>
      </c>
      <c r="Q265" s="1">
        <v>17.7</v>
      </c>
      <c r="R265" s="1">
        <v>7.57</v>
      </c>
      <c r="T265" s="1">
        <v>44.5</v>
      </c>
      <c r="V265" s="1">
        <v>2.3109999999999999</v>
      </c>
      <c r="W265" s="1">
        <v>52</v>
      </c>
      <c r="X265" s="1">
        <f t="shared" si="19"/>
        <v>1.0978611047757478</v>
      </c>
      <c r="Y265" s="1">
        <v>5.8000000000000003E-2</v>
      </c>
      <c r="Z265" s="1">
        <v>31</v>
      </c>
      <c r="AD265" s="1">
        <v>18</v>
      </c>
      <c r="AE265" s="1">
        <v>7.81</v>
      </c>
      <c r="AG265" s="1">
        <v>7.7</v>
      </c>
      <c r="AK265" s="1">
        <v>113</v>
      </c>
      <c r="AL265" s="1">
        <v>1020</v>
      </c>
      <c r="AR265" s="1">
        <v>51.5</v>
      </c>
      <c r="AT265" s="1">
        <v>4.8483999999999998</v>
      </c>
      <c r="AU265" s="1">
        <v>8.8330000000000002</v>
      </c>
      <c r="AV265" s="1">
        <v>27.296500000000002</v>
      </c>
      <c r="AW265" s="1">
        <v>22.022400000000001</v>
      </c>
      <c r="AX265" s="1">
        <v>51.893999999999998</v>
      </c>
      <c r="AY265" s="1">
        <v>0.9</v>
      </c>
    </row>
    <row r="266" spans="4:51" x14ac:dyDescent="0.3">
      <c r="D266" s="2">
        <f t="shared" si="16"/>
        <v>1989</v>
      </c>
      <c r="E266" s="2">
        <f t="shared" si="17"/>
        <v>7</v>
      </c>
      <c r="F266" s="3" t="s">
        <v>179</v>
      </c>
      <c r="G266" s="4">
        <v>32701</v>
      </c>
      <c r="H266" s="1">
        <v>6606238</v>
      </c>
      <c r="I266" s="1">
        <v>661152</v>
      </c>
      <c r="J266" s="5" t="s">
        <v>176</v>
      </c>
      <c r="K266" s="1"/>
      <c r="L266" s="1" t="str">
        <f t="shared" si="18"/>
        <v xml:space="preserve">Oxundaån </v>
      </c>
      <c r="M266" s="1" t="s">
        <v>177</v>
      </c>
      <c r="N266" s="1">
        <v>0.5</v>
      </c>
      <c r="O266" s="1">
        <v>0.5</v>
      </c>
      <c r="Q266" s="1">
        <v>21.2</v>
      </c>
      <c r="R266" s="1">
        <v>3.29</v>
      </c>
      <c r="T266" s="1">
        <v>43.4</v>
      </c>
      <c r="V266" s="1">
        <v>2.4289999999999998</v>
      </c>
      <c r="W266" s="1">
        <v>135</v>
      </c>
      <c r="X266" s="1">
        <f t="shared" si="19"/>
        <v>2.0844546668050281</v>
      </c>
      <c r="Y266" s="1">
        <v>5.0999999999999997E-2</v>
      </c>
      <c r="Z266" s="1">
        <v>104</v>
      </c>
      <c r="AD266" s="1">
        <v>70</v>
      </c>
      <c r="AE266" s="1">
        <v>7.56</v>
      </c>
      <c r="AG266" s="1">
        <v>4.9000000000000004</v>
      </c>
      <c r="AK266" s="1">
        <v>256</v>
      </c>
      <c r="AL266" s="1">
        <v>900</v>
      </c>
      <c r="AR266" s="1">
        <v>52.199999999999996</v>
      </c>
      <c r="AT266" s="1">
        <v>4.6138000000000003</v>
      </c>
      <c r="AU266" s="1">
        <v>8.6514999999999986</v>
      </c>
      <c r="AV266" s="1">
        <v>28.714500000000005</v>
      </c>
      <c r="AW266" s="1">
        <v>21.219500000000004</v>
      </c>
      <c r="AX266" s="1">
        <v>48.530499999999996</v>
      </c>
      <c r="AY266" s="1">
        <v>1.2</v>
      </c>
    </row>
    <row r="267" spans="4:51" x14ac:dyDescent="0.3">
      <c r="D267" s="2">
        <f t="shared" si="16"/>
        <v>1989</v>
      </c>
      <c r="E267" s="2">
        <f t="shared" si="17"/>
        <v>8</v>
      </c>
      <c r="F267" s="3" t="s">
        <v>179</v>
      </c>
      <c r="G267" s="4">
        <v>32734</v>
      </c>
      <c r="H267" s="1">
        <v>6606238</v>
      </c>
      <c r="I267" s="1">
        <v>661152</v>
      </c>
      <c r="J267" s="5" t="s">
        <v>176</v>
      </c>
      <c r="K267" s="1"/>
      <c r="L267" s="1" t="str">
        <f t="shared" si="18"/>
        <v xml:space="preserve">Oxundaån </v>
      </c>
      <c r="M267" s="1" t="s">
        <v>177</v>
      </c>
      <c r="N267" s="1">
        <v>0.5</v>
      </c>
      <c r="O267" s="1">
        <v>0.5</v>
      </c>
      <c r="Q267" s="1">
        <v>19</v>
      </c>
      <c r="R267" s="1">
        <v>6.63</v>
      </c>
      <c r="T267" s="1">
        <v>46.5</v>
      </c>
      <c r="V267" s="1">
        <v>2.4580000000000002</v>
      </c>
      <c r="W267" s="1">
        <v>30</v>
      </c>
      <c r="X267" s="1">
        <f t="shared" si="19"/>
        <v>0.79618950660244781</v>
      </c>
      <c r="Y267" s="1">
        <v>4.2000000000000003E-2</v>
      </c>
      <c r="Z267" s="1">
        <v>90</v>
      </c>
      <c r="AD267" s="1">
        <v>12</v>
      </c>
      <c r="AE267" s="1">
        <v>7.87</v>
      </c>
      <c r="AG267" s="1">
        <v>10.199999999999999</v>
      </c>
      <c r="AK267" s="1">
        <v>196</v>
      </c>
      <c r="AL267" s="1">
        <v>850</v>
      </c>
      <c r="AR267" s="1">
        <v>54.699999999999996</v>
      </c>
      <c r="AT267" s="1">
        <v>5.3176000000000005</v>
      </c>
      <c r="AU267" s="1">
        <v>9.4984999999999999</v>
      </c>
      <c r="AV267" s="1">
        <v>32.046800000000005</v>
      </c>
      <c r="AW267" s="1">
        <v>23.398800000000001</v>
      </c>
      <c r="AX267" s="1">
        <v>51.893999999999998</v>
      </c>
      <c r="AY267" s="1">
        <v>0.9</v>
      </c>
    </row>
    <row r="268" spans="4:51" x14ac:dyDescent="0.3">
      <c r="D268" s="2">
        <f t="shared" si="16"/>
        <v>1989</v>
      </c>
      <c r="E268" s="2">
        <f t="shared" si="17"/>
        <v>9</v>
      </c>
      <c r="F268" s="3"/>
      <c r="G268" s="4">
        <v>32765</v>
      </c>
      <c r="H268" s="1">
        <v>6606238</v>
      </c>
      <c r="I268" s="1">
        <v>661152</v>
      </c>
      <c r="J268" s="5" t="s">
        <v>176</v>
      </c>
      <c r="K268" s="1"/>
      <c r="L268" s="1" t="str">
        <f t="shared" si="18"/>
        <v xml:space="preserve">Oxundaån </v>
      </c>
      <c r="M268" s="1" t="s">
        <v>177</v>
      </c>
      <c r="N268" s="1">
        <v>0.5</v>
      </c>
      <c r="O268" s="1">
        <v>0.5</v>
      </c>
      <c r="Q268" s="1">
        <v>14.1</v>
      </c>
      <c r="R268" s="1">
        <v>7.7</v>
      </c>
      <c r="T268" s="1">
        <v>47.4</v>
      </c>
      <c r="V268" s="1">
        <v>2.5529999999999999</v>
      </c>
      <c r="W268" s="1">
        <v>39</v>
      </c>
      <c r="X268" s="1">
        <f t="shared" si="19"/>
        <v>0.90581323234724465</v>
      </c>
      <c r="Y268" s="1">
        <v>3.5999999999999997E-2</v>
      </c>
      <c r="Z268" s="1">
        <v>44</v>
      </c>
      <c r="AD268" s="1">
        <v>19</v>
      </c>
      <c r="AE268" s="1">
        <v>7.97</v>
      </c>
      <c r="AG268" s="1">
        <v>5.7</v>
      </c>
      <c r="AK268" s="1">
        <v>98</v>
      </c>
      <c r="AL268" s="1">
        <v>890</v>
      </c>
      <c r="AR268" s="1">
        <v>55.099999999999994</v>
      </c>
      <c r="AT268" s="1">
        <v>5.2394000000000007</v>
      </c>
      <c r="AU268" s="1">
        <v>9.5589999999999993</v>
      </c>
      <c r="AV268" s="1">
        <v>34.386500000000005</v>
      </c>
      <c r="AW268" s="1">
        <v>23.765840000000001</v>
      </c>
      <c r="AX268" s="1">
        <v>57.66</v>
      </c>
      <c r="AY268" s="1">
        <v>0.1</v>
      </c>
    </row>
    <row r="269" spans="4:51" x14ac:dyDescent="0.3">
      <c r="D269" s="2">
        <f t="shared" si="16"/>
        <v>1989</v>
      </c>
      <c r="E269" s="2">
        <f t="shared" si="17"/>
        <v>10</v>
      </c>
      <c r="F269" s="3" t="s">
        <v>180</v>
      </c>
      <c r="G269" s="4">
        <v>32797</v>
      </c>
      <c r="H269" s="1">
        <v>6606238</v>
      </c>
      <c r="I269" s="1">
        <v>661152</v>
      </c>
      <c r="J269" s="5" t="s">
        <v>176</v>
      </c>
      <c r="K269" s="1"/>
      <c r="L269" s="1" t="str">
        <f t="shared" si="18"/>
        <v xml:space="preserve">Oxundaån </v>
      </c>
      <c r="M269" s="1" t="s">
        <v>177</v>
      </c>
      <c r="N269" s="1">
        <v>0.5</v>
      </c>
      <c r="O269" s="1">
        <v>0.5</v>
      </c>
      <c r="Q269" s="1">
        <v>7.3</v>
      </c>
      <c r="R269" s="1">
        <v>8.1</v>
      </c>
      <c r="T269" s="1">
        <v>49</v>
      </c>
      <c r="V269" s="1">
        <v>2.5339999999999998</v>
      </c>
      <c r="W269" s="1">
        <v>36</v>
      </c>
      <c r="X269" s="1">
        <f t="shared" si="19"/>
        <v>0.35299672953100614</v>
      </c>
      <c r="Y269" s="1">
        <v>3.4000000000000002E-2</v>
      </c>
      <c r="Z269" s="1">
        <v>20</v>
      </c>
      <c r="AD269" s="1">
        <v>48</v>
      </c>
      <c r="AE269" s="1">
        <v>7.82</v>
      </c>
      <c r="AG269" s="1">
        <v>3.1</v>
      </c>
      <c r="AK269" s="1">
        <v>52</v>
      </c>
      <c r="AL269" s="1">
        <v>720</v>
      </c>
      <c r="AR269" s="1">
        <v>58.179999999999993</v>
      </c>
      <c r="AT269" s="1">
        <v>5.3958000000000004</v>
      </c>
      <c r="AU269" s="1">
        <v>11.119899999999999</v>
      </c>
      <c r="AV269" s="1">
        <v>32.614000000000004</v>
      </c>
      <c r="AW269" s="1">
        <v>22.917060000000003</v>
      </c>
      <c r="AX269" s="1">
        <v>59.581999999999994</v>
      </c>
      <c r="AY269" s="1">
        <v>0.35</v>
      </c>
    </row>
    <row r="270" spans="4:51" x14ac:dyDescent="0.3">
      <c r="D270" s="2">
        <f t="shared" si="16"/>
        <v>1989</v>
      </c>
      <c r="E270" s="2">
        <f t="shared" si="17"/>
        <v>11</v>
      </c>
      <c r="F270" s="3" t="s">
        <v>180</v>
      </c>
      <c r="G270" s="4">
        <v>32827</v>
      </c>
      <c r="H270" s="1">
        <v>6606238</v>
      </c>
      <c r="I270" s="1">
        <v>661152</v>
      </c>
      <c r="J270" s="5" t="s">
        <v>176</v>
      </c>
      <c r="K270" s="1"/>
      <c r="L270" s="1" t="str">
        <f t="shared" si="18"/>
        <v xml:space="preserve">Oxundaån </v>
      </c>
      <c r="M270" s="1" t="s">
        <v>177</v>
      </c>
      <c r="N270" s="1">
        <v>0.5</v>
      </c>
      <c r="O270" s="1">
        <v>0.5</v>
      </c>
      <c r="Q270" s="1">
        <v>6.2</v>
      </c>
      <c r="R270" s="1">
        <v>8.74</v>
      </c>
      <c r="T270" s="1">
        <v>48.5</v>
      </c>
      <c r="V270" s="1">
        <v>2.4910000000000001</v>
      </c>
      <c r="W270" s="1">
        <v>120</v>
      </c>
      <c r="X270" s="1">
        <f t="shared" si="19"/>
        <v>0.81963856327799733</v>
      </c>
      <c r="Y270" s="1">
        <v>3.1E-2</v>
      </c>
      <c r="Z270" s="1">
        <v>34</v>
      </c>
      <c r="AD270" s="1">
        <v>118</v>
      </c>
      <c r="AE270" s="1">
        <v>7.7</v>
      </c>
      <c r="AG270" s="1">
        <v>3.6</v>
      </c>
      <c r="AK270" s="1">
        <v>61</v>
      </c>
      <c r="AL270" s="1">
        <v>680</v>
      </c>
      <c r="AR270" s="1">
        <v>58.819999999999993</v>
      </c>
      <c r="AT270" s="1">
        <v>5.2003000000000004</v>
      </c>
      <c r="AU270" s="1">
        <v>10.248699999999999</v>
      </c>
      <c r="AV270" s="1">
        <v>32.046800000000005</v>
      </c>
      <c r="AW270" s="1">
        <v>21.288320000000002</v>
      </c>
      <c r="AX270" s="1">
        <v>61.503999999999998</v>
      </c>
      <c r="AY270" s="1">
        <v>0.85</v>
      </c>
    </row>
    <row r="271" spans="4:51" x14ac:dyDescent="0.3">
      <c r="D271" s="2">
        <f t="shared" si="16"/>
        <v>1989</v>
      </c>
      <c r="E271" s="2">
        <f t="shared" si="17"/>
        <v>12</v>
      </c>
      <c r="F271" s="3" t="s">
        <v>175</v>
      </c>
      <c r="G271" s="4">
        <v>32856</v>
      </c>
      <c r="H271" s="1">
        <v>6606238</v>
      </c>
      <c r="I271" s="1">
        <v>661152</v>
      </c>
      <c r="J271" s="5" t="s">
        <v>176</v>
      </c>
      <c r="K271" s="1"/>
      <c r="L271" s="1" t="str">
        <f t="shared" si="18"/>
        <v xml:space="preserve">Oxundaån </v>
      </c>
      <c r="M271" s="1" t="s">
        <v>177</v>
      </c>
      <c r="N271" s="1">
        <v>0.5</v>
      </c>
      <c r="O271" s="1">
        <v>0.5</v>
      </c>
      <c r="Q271" s="1">
        <v>1</v>
      </c>
      <c r="R271" s="1">
        <v>8.98</v>
      </c>
      <c r="T271" s="1">
        <v>51.9</v>
      </c>
      <c r="V271" s="1">
        <v>2.5579999999999998</v>
      </c>
      <c r="W271" s="1">
        <v>147</v>
      </c>
      <c r="X271" s="1">
        <f t="shared" si="19"/>
        <v>0.70354414795544873</v>
      </c>
      <c r="Y271" s="1">
        <v>3.1E-2</v>
      </c>
      <c r="Z271" s="1">
        <v>36</v>
      </c>
      <c r="AD271" s="1">
        <v>144</v>
      </c>
      <c r="AE271" s="1">
        <v>7.73</v>
      </c>
      <c r="AG271" s="1">
        <v>3.7</v>
      </c>
      <c r="AK271" s="1">
        <v>60</v>
      </c>
      <c r="AL271" s="1">
        <v>780</v>
      </c>
      <c r="AR271" s="1">
        <v>62</v>
      </c>
      <c r="AT271" s="1">
        <v>5.3567000000000009</v>
      </c>
      <c r="AU271" s="1">
        <v>10.8779</v>
      </c>
      <c r="AV271" s="1">
        <v>32.755800000000001</v>
      </c>
      <c r="AW271" s="1">
        <v>23.88054</v>
      </c>
      <c r="AX271" s="1">
        <v>64.867500000000007</v>
      </c>
      <c r="AY271" s="1">
        <v>1.1000000000000001</v>
      </c>
    </row>
    <row r="272" spans="4:51" x14ac:dyDescent="0.3">
      <c r="D272" s="2">
        <f t="shared" si="16"/>
        <v>1990</v>
      </c>
      <c r="E272" s="2">
        <f t="shared" si="17"/>
        <v>1</v>
      </c>
      <c r="F272" s="3" t="s">
        <v>175</v>
      </c>
      <c r="G272" s="4">
        <v>32889</v>
      </c>
      <c r="H272" s="1">
        <v>6606238</v>
      </c>
      <c r="I272" s="1">
        <v>661152</v>
      </c>
      <c r="J272" s="5" t="s">
        <v>176</v>
      </c>
      <c r="K272" s="1"/>
      <c r="L272" s="1" t="str">
        <f t="shared" si="18"/>
        <v xml:space="preserve">Oxundaån </v>
      </c>
      <c r="M272" s="1" t="s">
        <v>177</v>
      </c>
      <c r="N272" s="1">
        <v>0.5</v>
      </c>
      <c r="O272" s="1">
        <v>0.5</v>
      </c>
      <c r="Q272" s="1">
        <v>1.3</v>
      </c>
      <c r="R272" s="1">
        <v>8.65</v>
      </c>
      <c r="T272" s="1">
        <v>53.7</v>
      </c>
      <c r="V272" s="1">
        <v>2.484</v>
      </c>
      <c r="W272" s="1">
        <v>69</v>
      </c>
      <c r="X272" s="1">
        <f t="shared" si="19"/>
        <v>0.19080458668416339</v>
      </c>
      <c r="Y272" s="1">
        <v>2.9000000000000001E-2</v>
      </c>
      <c r="Z272" s="1">
        <v>36</v>
      </c>
      <c r="AD272" s="1">
        <v>307</v>
      </c>
      <c r="AE272" s="1">
        <v>7.48</v>
      </c>
      <c r="AG272" s="1">
        <v>2.2999999999999998</v>
      </c>
      <c r="AK272" s="1">
        <v>67</v>
      </c>
      <c r="AL272" s="1">
        <v>967</v>
      </c>
      <c r="AR272" s="1">
        <v>62.1</v>
      </c>
      <c r="AT272" s="1">
        <v>7.3508000000000004</v>
      </c>
      <c r="AU272" s="1">
        <v>10.805299999999999</v>
      </c>
      <c r="AV272" s="1">
        <v>36.478050000000003</v>
      </c>
      <c r="AW272" s="1">
        <v>23.811720000000001</v>
      </c>
      <c r="AX272" s="1">
        <v>71.738650000000007</v>
      </c>
      <c r="AY272" s="1">
        <v>1.25</v>
      </c>
    </row>
    <row r="273" spans="4:51" x14ac:dyDescent="0.3">
      <c r="D273" s="2">
        <f t="shared" si="16"/>
        <v>1990</v>
      </c>
      <c r="E273" s="2">
        <f t="shared" si="17"/>
        <v>2</v>
      </c>
      <c r="F273" s="3" t="s">
        <v>175</v>
      </c>
      <c r="G273" s="4">
        <v>32919</v>
      </c>
      <c r="H273" s="1">
        <v>6606238</v>
      </c>
      <c r="I273" s="1">
        <v>661152</v>
      </c>
      <c r="J273" s="5" t="s">
        <v>176</v>
      </c>
      <c r="K273" s="1"/>
      <c r="L273" s="1" t="str">
        <f t="shared" si="18"/>
        <v xml:space="preserve">Oxundaån </v>
      </c>
      <c r="M273" s="1" t="s">
        <v>177</v>
      </c>
      <c r="N273" s="1">
        <v>0.5</v>
      </c>
      <c r="O273" s="1">
        <v>0.5</v>
      </c>
      <c r="Q273" s="1">
        <v>2.5</v>
      </c>
      <c r="R273" s="1">
        <v>9.3000000000000007</v>
      </c>
      <c r="T273" s="1">
        <v>47.1</v>
      </c>
      <c r="V273" s="1">
        <v>1.669</v>
      </c>
      <c r="W273" s="1">
        <v>95</v>
      </c>
      <c r="X273" s="1">
        <f t="shared" si="19"/>
        <v>0.12687840729173805</v>
      </c>
      <c r="Y273" s="1">
        <v>3.9E-2</v>
      </c>
      <c r="Z273" s="1">
        <v>21</v>
      </c>
      <c r="AD273" s="1">
        <v>1614</v>
      </c>
      <c r="AE273" s="1">
        <v>7.12</v>
      </c>
      <c r="AG273" s="1">
        <v>8.6999999999999993</v>
      </c>
      <c r="AK273" s="1">
        <v>59</v>
      </c>
      <c r="AL273" s="1">
        <v>2344</v>
      </c>
      <c r="AR273" s="1">
        <v>56.319999999999993</v>
      </c>
      <c r="AT273" s="1">
        <v>5.4740000000000011</v>
      </c>
      <c r="AU273" s="1">
        <v>11.277200000000001</v>
      </c>
      <c r="AV273" s="1">
        <v>31.373250000000002</v>
      </c>
      <c r="AW273" s="1">
        <v>21.150680000000001</v>
      </c>
      <c r="AX273" s="1">
        <v>88.267849999999996</v>
      </c>
      <c r="AY273" s="1">
        <v>3.85</v>
      </c>
    </row>
    <row r="274" spans="4:51" x14ac:dyDescent="0.3">
      <c r="D274" s="2">
        <f t="shared" si="16"/>
        <v>1990</v>
      </c>
      <c r="E274" s="2">
        <f t="shared" si="17"/>
        <v>3</v>
      </c>
      <c r="F274" s="3" t="s">
        <v>175</v>
      </c>
      <c r="G274" s="4">
        <v>32947</v>
      </c>
      <c r="H274" s="1">
        <v>6606238</v>
      </c>
      <c r="I274" s="1">
        <v>661152</v>
      </c>
      <c r="J274" s="5" t="s">
        <v>176</v>
      </c>
      <c r="K274" s="1"/>
      <c r="L274" s="1" t="str">
        <f t="shared" si="18"/>
        <v xml:space="preserve">Oxundaån </v>
      </c>
      <c r="M274" s="1" t="s">
        <v>177</v>
      </c>
      <c r="N274" s="1">
        <v>0.5</v>
      </c>
      <c r="O274" s="1">
        <v>0.5</v>
      </c>
      <c r="Q274" s="1">
        <v>2.1</v>
      </c>
      <c r="R274" s="1">
        <v>11.98</v>
      </c>
      <c r="T274" s="1">
        <v>48.4</v>
      </c>
      <c r="V274" s="1">
        <v>1.7490000000000001</v>
      </c>
      <c r="W274" s="1">
        <v>27</v>
      </c>
      <c r="X274" s="1">
        <f t="shared" si="19"/>
        <v>0.13835188152212152</v>
      </c>
      <c r="Y274" s="1">
        <v>4.7E-2</v>
      </c>
      <c r="Z274" s="1">
        <v>12</v>
      </c>
      <c r="AD274" s="1">
        <v>1331</v>
      </c>
      <c r="AE274" s="1">
        <v>7.72</v>
      </c>
      <c r="AG274" s="1">
        <v>9.1999999999999993</v>
      </c>
      <c r="AK274" s="1">
        <v>62</v>
      </c>
      <c r="AL274" s="1">
        <v>1964</v>
      </c>
      <c r="AR274" s="1">
        <v>60.96</v>
      </c>
      <c r="AT274" s="1">
        <v>5.4740000000000011</v>
      </c>
      <c r="AU274" s="1">
        <v>11.507099999999999</v>
      </c>
      <c r="AV274" s="1">
        <v>31.266900000000003</v>
      </c>
      <c r="AW274" s="1">
        <v>20.668940000000003</v>
      </c>
      <c r="AX274" s="1">
        <v>94.177999999999997</v>
      </c>
      <c r="AY274" s="1">
        <v>3.5</v>
      </c>
    </row>
    <row r="275" spans="4:51" x14ac:dyDescent="0.3">
      <c r="D275" s="2">
        <f t="shared" si="16"/>
        <v>1990</v>
      </c>
      <c r="E275" s="2">
        <f t="shared" si="17"/>
        <v>4</v>
      </c>
      <c r="F275" s="3" t="s">
        <v>178</v>
      </c>
      <c r="G275" s="4">
        <v>32980</v>
      </c>
      <c r="H275" s="1">
        <v>6606238</v>
      </c>
      <c r="I275" s="1">
        <v>661152</v>
      </c>
      <c r="J275" s="5" t="s">
        <v>176</v>
      </c>
      <c r="K275" s="1"/>
      <c r="L275" s="1" t="str">
        <f t="shared" si="18"/>
        <v xml:space="preserve">Oxundaån </v>
      </c>
      <c r="M275" s="1" t="s">
        <v>177</v>
      </c>
      <c r="N275" s="1">
        <v>0.5</v>
      </c>
      <c r="O275" s="1">
        <v>0.5</v>
      </c>
      <c r="Q275" s="1">
        <v>7.7</v>
      </c>
      <c r="R275" s="1">
        <v>11.5</v>
      </c>
      <c r="T275" s="1">
        <v>49.9</v>
      </c>
      <c r="V275" s="1">
        <v>1.764</v>
      </c>
      <c r="W275" s="1">
        <v>10</v>
      </c>
      <c r="X275" s="1">
        <f t="shared" si="19"/>
        <v>0.12421753285795278</v>
      </c>
      <c r="Y275" s="1">
        <v>4.3999999999999997E-2</v>
      </c>
      <c r="Z275" s="1">
        <v>5</v>
      </c>
      <c r="AD275" s="1">
        <v>930</v>
      </c>
      <c r="AE275" s="1">
        <v>7.91</v>
      </c>
      <c r="AG275" s="1">
        <v>7.8</v>
      </c>
      <c r="AK275" s="1">
        <v>49</v>
      </c>
      <c r="AL275" s="1">
        <v>1527</v>
      </c>
      <c r="AR275" s="1">
        <v>62.400000000000006</v>
      </c>
      <c r="AT275" s="1">
        <v>5.7867999999999995</v>
      </c>
      <c r="AU275" s="1">
        <v>11.4224</v>
      </c>
      <c r="AV275" s="1">
        <v>32.330400000000004</v>
      </c>
      <c r="AW275" s="1">
        <v>20.55424</v>
      </c>
      <c r="AX275" s="1">
        <v>98.934950000000001</v>
      </c>
      <c r="AY275" s="1">
        <v>3.05</v>
      </c>
    </row>
    <row r="276" spans="4:51" x14ac:dyDescent="0.3">
      <c r="D276" s="2">
        <f t="shared" si="16"/>
        <v>1990</v>
      </c>
      <c r="E276" s="2">
        <f t="shared" si="17"/>
        <v>5</v>
      </c>
      <c r="F276" s="3" t="s">
        <v>178</v>
      </c>
      <c r="G276" s="4">
        <v>33008</v>
      </c>
      <c r="H276" s="1">
        <v>6606238</v>
      </c>
      <c r="I276" s="1">
        <v>661152</v>
      </c>
      <c r="J276" s="5" t="s">
        <v>176</v>
      </c>
      <c r="K276" s="1"/>
      <c r="L276" s="1" t="str">
        <f t="shared" si="18"/>
        <v xml:space="preserve">Oxundaån </v>
      </c>
      <c r="M276" s="1" t="s">
        <v>177</v>
      </c>
      <c r="N276" s="1">
        <v>0.5</v>
      </c>
      <c r="O276" s="1">
        <v>0.5</v>
      </c>
      <c r="Q276" s="1">
        <v>15.2</v>
      </c>
      <c r="R276" s="1">
        <v>8.64</v>
      </c>
      <c r="T276" s="1">
        <v>49.1</v>
      </c>
      <c r="V276" s="1">
        <v>1.7889999999999999</v>
      </c>
      <c r="W276" s="1">
        <v>99</v>
      </c>
      <c r="X276" s="1">
        <f t="shared" si="19"/>
        <v>2.4391340206521961</v>
      </c>
      <c r="Y276" s="1">
        <v>4.7E-2</v>
      </c>
      <c r="Z276" s="1">
        <v>11</v>
      </c>
      <c r="AD276" s="1">
        <v>193</v>
      </c>
      <c r="AE276" s="1">
        <v>7.96</v>
      </c>
      <c r="AG276" s="1">
        <v>8.8000000000000007</v>
      </c>
      <c r="AK276" s="1">
        <v>64</v>
      </c>
      <c r="AL276" s="1">
        <v>1195</v>
      </c>
      <c r="AR276" s="1">
        <v>60.16</v>
      </c>
      <c r="AT276" s="1">
        <v>5.9432</v>
      </c>
      <c r="AU276" s="1">
        <v>11.5192</v>
      </c>
      <c r="AV276" s="1">
        <v>32.897600000000004</v>
      </c>
      <c r="AW276" s="1">
        <v>20.921280000000003</v>
      </c>
      <c r="AX276" s="1">
        <v>95.619499999999988</v>
      </c>
      <c r="AY276" s="1">
        <v>0.55000000000000004</v>
      </c>
    </row>
    <row r="277" spans="4:51" x14ac:dyDescent="0.3">
      <c r="D277" s="2">
        <f t="shared" si="16"/>
        <v>1990</v>
      </c>
      <c r="E277" s="2">
        <f t="shared" si="17"/>
        <v>6</v>
      </c>
      <c r="F277" s="3"/>
      <c r="G277" s="4">
        <v>33038</v>
      </c>
      <c r="H277" s="1">
        <v>6606238</v>
      </c>
      <c r="I277" s="1">
        <v>661152</v>
      </c>
      <c r="J277" s="5" t="s">
        <v>176</v>
      </c>
      <c r="K277" s="1"/>
      <c r="L277" s="1" t="str">
        <f t="shared" si="18"/>
        <v xml:space="preserve">Oxundaån </v>
      </c>
      <c r="M277" s="1" t="s">
        <v>177</v>
      </c>
      <c r="N277" s="1">
        <v>0.5</v>
      </c>
      <c r="O277" s="1">
        <v>0.5</v>
      </c>
      <c r="Q277" s="1">
        <v>17.7</v>
      </c>
      <c r="R277" s="1">
        <v>6.78</v>
      </c>
      <c r="T277" s="1">
        <v>51</v>
      </c>
      <c r="V277" s="1">
        <v>2.0190000000000001</v>
      </c>
      <c r="W277" s="1">
        <v>95</v>
      </c>
      <c r="X277" s="1">
        <f t="shared" si="19"/>
        <v>2.1947443458924463</v>
      </c>
      <c r="Y277" s="1">
        <v>4.8000000000000001E-2</v>
      </c>
      <c r="Z277" s="1">
        <v>19</v>
      </c>
      <c r="AD277" s="1">
        <v>39</v>
      </c>
      <c r="AE277" s="1">
        <v>7.85</v>
      </c>
      <c r="AG277" s="1">
        <v>7.9</v>
      </c>
      <c r="AK277" s="1">
        <v>74</v>
      </c>
      <c r="AL277" s="1">
        <v>911</v>
      </c>
      <c r="AR277" s="1">
        <v>64.800000000000011</v>
      </c>
      <c r="AT277" s="1">
        <v>6.7252000000000001</v>
      </c>
      <c r="AU277" s="1">
        <v>11.857999999999999</v>
      </c>
      <c r="AV277" s="1">
        <v>33.854750000000003</v>
      </c>
      <c r="AW277" s="1">
        <v>22.38944</v>
      </c>
      <c r="AX277" s="1">
        <v>93.745549999999994</v>
      </c>
      <c r="AY277" s="1">
        <v>0.25</v>
      </c>
    </row>
    <row r="278" spans="4:51" x14ac:dyDescent="0.3">
      <c r="D278" s="2">
        <f t="shared" si="16"/>
        <v>1990</v>
      </c>
      <c r="E278" s="2">
        <f t="shared" si="17"/>
        <v>7</v>
      </c>
      <c r="F278" s="3" t="s">
        <v>179</v>
      </c>
      <c r="G278" s="4">
        <v>33070</v>
      </c>
      <c r="H278" s="1">
        <v>6606238</v>
      </c>
      <c r="I278" s="1">
        <v>661152</v>
      </c>
      <c r="J278" s="5" t="s">
        <v>176</v>
      </c>
      <c r="K278" s="1"/>
      <c r="L278" s="1" t="str">
        <f t="shared" si="18"/>
        <v xml:space="preserve">Oxundaån </v>
      </c>
      <c r="M278" s="1" t="s">
        <v>177</v>
      </c>
      <c r="N278" s="1">
        <v>0.5</v>
      </c>
      <c r="O278" s="1">
        <v>0.5</v>
      </c>
      <c r="Q278" s="1">
        <v>18</v>
      </c>
      <c r="R278" s="1">
        <v>6.76</v>
      </c>
      <c r="T278" s="1">
        <v>50.9</v>
      </c>
      <c r="V278" s="1">
        <v>2.12</v>
      </c>
      <c r="W278" s="1">
        <v>12</v>
      </c>
      <c r="X278" s="1">
        <f t="shared" si="19"/>
        <v>0.24200041903466324</v>
      </c>
      <c r="Y278" s="1">
        <v>4.5999999999999999E-2</v>
      </c>
      <c r="Z278" s="1">
        <v>50</v>
      </c>
      <c r="AD278" s="1">
        <v>7</v>
      </c>
      <c r="AE278" s="1">
        <v>7.78</v>
      </c>
      <c r="AG278" s="1">
        <v>10.7</v>
      </c>
      <c r="AK278" s="1">
        <v>194</v>
      </c>
      <c r="AL278" s="1">
        <v>1012</v>
      </c>
      <c r="AR278" s="1">
        <v>62.32</v>
      </c>
      <c r="AT278" s="1">
        <v>5.3176000000000005</v>
      </c>
      <c r="AU278" s="1">
        <v>11.567599999999999</v>
      </c>
      <c r="AV278" s="1">
        <v>33.181200000000004</v>
      </c>
      <c r="AW278" s="1">
        <v>23.903480000000002</v>
      </c>
      <c r="AX278" s="1">
        <v>88.267849999999996</v>
      </c>
      <c r="AY278" s="1">
        <v>0.5</v>
      </c>
    </row>
    <row r="279" spans="4:51" x14ac:dyDescent="0.3">
      <c r="D279" s="2">
        <f t="shared" si="16"/>
        <v>1990</v>
      </c>
      <c r="E279" s="2">
        <f t="shared" si="17"/>
        <v>8</v>
      </c>
      <c r="F279" s="3" t="s">
        <v>179</v>
      </c>
      <c r="G279" s="4">
        <v>33100</v>
      </c>
      <c r="H279" s="1">
        <v>6606238</v>
      </c>
      <c r="I279" s="1">
        <v>661152</v>
      </c>
      <c r="J279" s="5" t="s">
        <v>176</v>
      </c>
      <c r="K279" s="1"/>
      <c r="L279" s="1" t="str">
        <f t="shared" si="18"/>
        <v xml:space="preserve">Oxundaån </v>
      </c>
      <c r="M279" s="1" t="s">
        <v>177</v>
      </c>
      <c r="N279" s="1">
        <v>0.5</v>
      </c>
      <c r="O279" s="1">
        <v>0.5</v>
      </c>
      <c r="Q279" s="1">
        <v>20.5</v>
      </c>
      <c r="R279" s="1">
        <v>7.37</v>
      </c>
      <c r="T279" s="1">
        <v>50.8</v>
      </c>
      <c r="V279" s="1">
        <v>2.1840000000000002</v>
      </c>
      <c r="W279" s="1">
        <v>32</v>
      </c>
      <c r="X279" s="1">
        <f t="shared" si="19"/>
        <v>0.9881792164674853</v>
      </c>
      <c r="Y279" s="1">
        <v>5.2999999999999999E-2</v>
      </c>
      <c r="Z279" s="1">
        <v>32</v>
      </c>
      <c r="AD279" s="1">
        <v>12</v>
      </c>
      <c r="AE279" s="1">
        <v>7.89</v>
      </c>
      <c r="AG279" s="1">
        <v>9.1</v>
      </c>
      <c r="AK279" s="1">
        <v>128</v>
      </c>
      <c r="AL279" s="1">
        <v>837</v>
      </c>
      <c r="AR279" s="1">
        <v>58.739999999999995</v>
      </c>
      <c r="AT279" s="1">
        <v>5.0048000000000004</v>
      </c>
      <c r="AU279" s="1">
        <v>11.579699999999999</v>
      </c>
      <c r="AV279" s="1">
        <v>32.436750000000004</v>
      </c>
      <c r="AW279" s="1">
        <v>23.444680000000002</v>
      </c>
      <c r="AX279" s="1">
        <v>83.606999999999999</v>
      </c>
      <c r="AY279" s="1">
        <v>0.8</v>
      </c>
    </row>
    <row r="280" spans="4:51" x14ac:dyDescent="0.3">
      <c r="D280" s="2">
        <f t="shared" si="16"/>
        <v>1990</v>
      </c>
      <c r="E280" s="2">
        <f t="shared" si="17"/>
        <v>9</v>
      </c>
      <c r="F280" s="3"/>
      <c r="G280" s="4">
        <v>33133</v>
      </c>
      <c r="H280" s="1">
        <v>6606238</v>
      </c>
      <c r="I280" s="1">
        <v>661152</v>
      </c>
      <c r="J280" s="5" t="s">
        <v>176</v>
      </c>
      <c r="K280" s="1"/>
      <c r="L280" s="1" t="str">
        <f t="shared" si="18"/>
        <v xml:space="preserve">Oxundaån </v>
      </c>
      <c r="M280" s="1" t="s">
        <v>177</v>
      </c>
      <c r="N280" s="1">
        <v>0.5</v>
      </c>
      <c r="O280" s="1">
        <v>0.5</v>
      </c>
      <c r="Q280" s="1">
        <v>13.3</v>
      </c>
      <c r="R280" s="1">
        <v>7.88</v>
      </c>
      <c r="T280" s="1">
        <v>49.7</v>
      </c>
      <c r="V280" s="1">
        <v>2.1560000000000001</v>
      </c>
      <c r="W280" s="1">
        <v>11</v>
      </c>
      <c r="X280" s="1">
        <f t="shared" si="19"/>
        <v>0.36022235802010866</v>
      </c>
      <c r="Y280" s="1">
        <v>4.4999999999999998E-2</v>
      </c>
      <c r="Z280" s="1">
        <v>21</v>
      </c>
      <c r="AD280" s="1">
        <v>22</v>
      </c>
      <c r="AE280" s="1">
        <v>8.15</v>
      </c>
      <c r="AG280" s="1">
        <v>8.4</v>
      </c>
      <c r="AK280" s="1">
        <v>124</v>
      </c>
      <c r="AL280" s="1">
        <v>1182</v>
      </c>
      <c r="AR280" s="1">
        <v>57.199999999999996</v>
      </c>
      <c r="AT280" s="1">
        <v>5.4740000000000011</v>
      </c>
      <c r="AU280" s="1">
        <v>11.5192</v>
      </c>
      <c r="AV280" s="1">
        <v>33.500250000000001</v>
      </c>
      <c r="AW280" s="1">
        <v>24.775200000000002</v>
      </c>
      <c r="AX280" s="1">
        <v>83.2226</v>
      </c>
      <c r="AY280" s="1">
        <v>0.3</v>
      </c>
    </row>
    <row r="281" spans="4:51" x14ac:dyDescent="0.3">
      <c r="D281" s="2">
        <f t="shared" si="16"/>
        <v>1990</v>
      </c>
      <c r="E281" s="2">
        <f t="shared" si="17"/>
        <v>10</v>
      </c>
      <c r="F281" s="3" t="s">
        <v>180</v>
      </c>
      <c r="G281" s="4">
        <v>33161</v>
      </c>
      <c r="H281" s="1">
        <v>6606238</v>
      </c>
      <c r="I281" s="1">
        <v>661152</v>
      </c>
      <c r="J281" s="5" t="s">
        <v>176</v>
      </c>
      <c r="K281" s="1"/>
      <c r="L281" s="1" t="str">
        <f t="shared" si="18"/>
        <v xml:space="preserve">Oxundaån </v>
      </c>
      <c r="M281" s="1" t="s">
        <v>177</v>
      </c>
      <c r="N281" s="1">
        <v>0.5</v>
      </c>
      <c r="O281" s="1">
        <v>0.5</v>
      </c>
      <c r="Q281" s="1">
        <v>9</v>
      </c>
      <c r="R281" s="1">
        <v>8.5</v>
      </c>
      <c r="T281" s="1">
        <v>50</v>
      </c>
      <c r="V281" s="1">
        <v>2.13</v>
      </c>
      <c r="W281" s="1">
        <v>47</v>
      </c>
      <c r="X281" s="1">
        <f t="shared" si="19"/>
        <v>0.43895474285124803</v>
      </c>
      <c r="Y281" s="1">
        <v>4.2999999999999997E-2</v>
      </c>
      <c r="AD281" s="1">
        <v>80</v>
      </c>
      <c r="AE281" s="1">
        <v>7.74</v>
      </c>
      <c r="AG281" s="1">
        <v>5.4</v>
      </c>
      <c r="AK281" s="1">
        <v>52</v>
      </c>
      <c r="AL281" s="1">
        <v>952</v>
      </c>
      <c r="AR281" s="1">
        <v>57.12</v>
      </c>
      <c r="AT281" s="1">
        <v>5.1612</v>
      </c>
      <c r="AU281" s="1">
        <v>11.373999999999999</v>
      </c>
      <c r="AV281" s="1">
        <v>33.145750000000007</v>
      </c>
      <c r="AW281" s="1">
        <v>23.307040000000001</v>
      </c>
      <c r="AX281" s="1">
        <v>86.538049999999998</v>
      </c>
      <c r="AY281" s="1">
        <v>1</v>
      </c>
    </row>
    <row r="282" spans="4:51" x14ac:dyDescent="0.3">
      <c r="D282" s="2">
        <f t="shared" si="16"/>
        <v>1990</v>
      </c>
      <c r="E282" s="2">
        <f t="shared" si="17"/>
        <v>11</v>
      </c>
      <c r="F282" s="3" t="s">
        <v>180</v>
      </c>
      <c r="G282" s="4">
        <v>33192</v>
      </c>
      <c r="H282" s="1">
        <v>6606238</v>
      </c>
      <c r="I282" s="1">
        <v>661152</v>
      </c>
      <c r="J282" s="5" t="s">
        <v>176</v>
      </c>
      <c r="K282" s="1"/>
      <c r="L282" s="1" t="str">
        <f t="shared" si="18"/>
        <v xml:space="preserve">Oxundaån </v>
      </c>
      <c r="M282" s="1" t="s">
        <v>177</v>
      </c>
      <c r="N282" s="1">
        <v>0.5</v>
      </c>
      <c r="O282" s="1">
        <v>0.5</v>
      </c>
      <c r="Q282" s="1">
        <v>3.7</v>
      </c>
      <c r="R282" s="1">
        <v>9.9</v>
      </c>
      <c r="T282" s="1">
        <v>51</v>
      </c>
      <c r="V282" s="1">
        <v>2.0529999999999999</v>
      </c>
      <c r="W282" s="1">
        <v>90</v>
      </c>
      <c r="X282" s="1">
        <f t="shared" si="19"/>
        <v>0.38156514432288907</v>
      </c>
      <c r="Y282" s="1">
        <v>4.9000000000000002E-2</v>
      </c>
      <c r="Z282" s="1">
        <v>27</v>
      </c>
      <c r="AD282" s="1">
        <v>347</v>
      </c>
      <c r="AE282" s="1">
        <v>7.58</v>
      </c>
      <c r="AG282" s="1">
        <v>5.7</v>
      </c>
      <c r="AK282" s="1">
        <v>94</v>
      </c>
      <c r="AL282" s="1">
        <v>1128</v>
      </c>
      <c r="AR282" s="1">
        <v>59.84</v>
      </c>
      <c r="AT282" s="1">
        <v>4.8483999999999998</v>
      </c>
      <c r="AU282" s="1">
        <v>12.1968</v>
      </c>
      <c r="AV282" s="1">
        <v>32.224050000000005</v>
      </c>
      <c r="AW282" s="1">
        <v>24.041120000000003</v>
      </c>
      <c r="AX282" s="1">
        <v>95.379249999999999</v>
      </c>
      <c r="AY282" s="1">
        <v>2.2999999999999998</v>
      </c>
    </row>
    <row r="283" spans="4:51" x14ac:dyDescent="0.3">
      <c r="D283" s="2">
        <f t="shared" si="16"/>
        <v>1990</v>
      </c>
      <c r="E283" s="2">
        <f t="shared" si="17"/>
        <v>12</v>
      </c>
      <c r="F283" s="3" t="s">
        <v>175</v>
      </c>
      <c r="G283" s="4">
        <v>33224</v>
      </c>
      <c r="H283" s="1">
        <v>6606238</v>
      </c>
      <c r="I283" s="1">
        <v>661152</v>
      </c>
      <c r="J283" s="5" t="s">
        <v>176</v>
      </c>
      <c r="K283" s="1"/>
      <c r="L283" s="1" t="str">
        <f t="shared" si="18"/>
        <v xml:space="preserve">Oxundaån </v>
      </c>
      <c r="M283" s="1" t="s">
        <v>177</v>
      </c>
      <c r="N283" s="1">
        <v>0.5</v>
      </c>
      <c r="O283" s="1">
        <v>0.5</v>
      </c>
      <c r="Q283" s="1">
        <v>1.2</v>
      </c>
      <c r="R283" s="1">
        <v>8.65</v>
      </c>
      <c r="T283" s="1">
        <v>52.3</v>
      </c>
      <c r="V283" s="1">
        <v>2.081</v>
      </c>
      <c r="W283" s="1">
        <v>145</v>
      </c>
      <c r="X283" s="1">
        <f t="shared" si="19"/>
        <v>0.31603640509467851</v>
      </c>
      <c r="Y283" s="1">
        <v>0.06</v>
      </c>
      <c r="Z283" s="1">
        <v>29</v>
      </c>
      <c r="AD283" s="1">
        <v>823</v>
      </c>
      <c r="AE283" s="1">
        <v>7.38</v>
      </c>
      <c r="AG283" s="1">
        <v>2.1</v>
      </c>
      <c r="AK283" s="1">
        <v>87</v>
      </c>
      <c r="AL283" s="1">
        <v>1378</v>
      </c>
      <c r="AR283" s="1">
        <v>63.6</v>
      </c>
      <c r="AT283" s="1">
        <v>5.4740000000000011</v>
      </c>
      <c r="AU283" s="1">
        <v>12.8744</v>
      </c>
      <c r="AV283" s="1">
        <v>30.770600000000002</v>
      </c>
      <c r="AW283" s="1">
        <v>23.077640000000002</v>
      </c>
      <c r="AX283" s="1">
        <v>99.655699999999982</v>
      </c>
      <c r="AY283" s="1">
        <v>4.1500000000000004</v>
      </c>
    </row>
    <row r="284" spans="4:51" x14ac:dyDescent="0.3">
      <c r="D284" s="2">
        <f t="shared" si="16"/>
        <v>1991</v>
      </c>
      <c r="E284" s="2">
        <f t="shared" si="17"/>
        <v>1</v>
      </c>
      <c r="F284" s="3" t="s">
        <v>175</v>
      </c>
      <c r="G284" s="4">
        <v>33253</v>
      </c>
      <c r="H284" s="1">
        <v>6606238</v>
      </c>
      <c r="I284" s="1">
        <v>661152</v>
      </c>
      <c r="J284" s="5" t="s">
        <v>176</v>
      </c>
      <c r="K284" s="1"/>
      <c r="L284" s="1" t="str">
        <f t="shared" si="18"/>
        <v xml:space="preserve">Oxundaån </v>
      </c>
      <c r="M284" s="1" t="s">
        <v>177</v>
      </c>
      <c r="N284" s="1">
        <v>0.5</v>
      </c>
      <c r="O284" s="1">
        <v>0.5</v>
      </c>
      <c r="Q284" s="1">
        <v>0.9</v>
      </c>
      <c r="R284" s="1">
        <v>9.02</v>
      </c>
      <c r="T284" s="1">
        <v>49.3</v>
      </c>
      <c r="V284" s="1">
        <v>1.849</v>
      </c>
      <c r="W284" s="1">
        <v>93</v>
      </c>
      <c r="X284" s="1">
        <f t="shared" si="19"/>
        <v>0.12483133332777713</v>
      </c>
      <c r="Y284" s="1">
        <v>5.5E-2</v>
      </c>
      <c r="Z284" s="1">
        <v>29</v>
      </c>
      <c r="AD284" s="1">
        <v>1159</v>
      </c>
      <c r="AE284" s="1">
        <v>7.18</v>
      </c>
      <c r="AG284" s="1">
        <v>11</v>
      </c>
      <c r="AK284" s="1">
        <v>85</v>
      </c>
      <c r="AL284" s="1">
        <v>1948</v>
      </c>
      <c r="AR284" s="1">
        <v>58.040000000000006</v>
      </c>
      <c r="AT284" s="1">
        <v>5.1612</v>
      </c>
      <c r="AU284" s="1">
        <v>12.0274</v>
      </c>
      <c r="AV284" s="1">
        <v>29.778000000000002</v>
      </c>
      <c r="AW284" s="1">
        <v>22.274740000000001</v>
      </c>
      <c r="AX284" s="1">
        <v>101.57769999999999</v>
      </c>
      <c r="AY284" s="1">
        <v>4.95</v>
      </c>
    </row>
    <row r="285" spans="4:51" x14ac:dyDescent="0.3">
      <c r="D285" s="2">
        <f t="shared" si="16"/>
        <v>1991</v>
      </c>
      <c r="E285" s="2">
        <f t="shared" si="17"/>
        <v>2</v>
      </c>
      <c r="F285" s="3" t="s">
        <v>175</v>
      </c>
      <c r="G285" s="4">
        <v>33283</v>
      </c>
      <c r="H285" s="1">
        <v>6606238</v>
      </c>
      <c r="I285" s="1">
        <v>661152</v>
      </c>
      <c r="J285" s="5" t="s">
        <v>176</v>
      </c>
      <c r="K285" s="1"/>
      <c r="L285" s="1" t="str">
        <f t="shared" si="18"/>
        <v xml:space="preserve">Oxundaån </v>
      </c>
      <c r="M285" s="1" t="s">
        <v>177</v>
      </c>
      <c r="N285" s="1">
        <v>0.5</v>
      </c>
      <c r="O285" s="1">
        <v>0.5</v>
      </c>
      <c r="Q285" s="1">
        <v>0.8</v>
      </c>
      <c r="R285" s="1">
        <v>9.18</v>
      </c>
      <c r="T285" s="1">
        <v>51.5</v>
      </c>
      <c r="V285" s="1">
        <v>2.02</v>
      </c>
      <c r="W285" s="1">
        <v>77</v>
      </c>
      <c r="X285" s="1">
        <f t="shared" si="19"/>
        <v>9.566181667241154E-2</v>
      </c>
      <c r="Y285" s="1">
        <v>6.9000000000000006E-2</v>
      </c>
      <c r="Z285" s="1">
        <v>29</v>
      </c>
      <c r="AD285" s="1">
        <v>1537</v>
      </c>
      <c r="AE285" s="1">
        <v>7.15</v>
      </c>
      <c r="AG285" s="1">
        <v>3.9</v>
      </c>
      <c r="AK285" s="1">
        <v>75</v>
      </c>
      <c r="AL285" s="1">
        <v>1992</v>
      </c>
      <c r="AR285" s="1">
        <v>62.04</v>
      </c>
      <c r="AT285" s="1">
        <v>5.2003000000000004</v>
      </c>
      <c r="AU285" s="1">
        <v>12.632400000000001</v>
      </c>
      <c r="AV285" s="1">
        <v>30.557900000000004</v>
      </c>
      <c r="AW285" s="1">
        <v>22.710599999999999</v>
      </c>
      <c r="AX285" s="1">
        <v>109.36179999999999</v>
      </c>
      <c r="AY285" s="1">
        <v>5.65</v>
      </c>
    </row>
    <row r="286" spans="4:51" x14ac:dyDescent="0.3">
      <c r="D286" s="2">
        <f t="shared" si="16"/>
        <v>1991</v>
      </c>
      <c r="E286" s="2">
        <f t="shared" si="17"/>
        <v>3</v>
      </c>
      <c r="F286" s="3" t="s">
        <v>175</v>
      </c>
      <c r="G286" s="4">
        <v>33311</v>
      </c>
      <c r="H286" s="1">
        <v>6606238</v>
      </c>
      <c r="I286" s="1">
        <v>661152</v>
      </c>
      <c r="J286" s="5" t="s">
        <v>176</v>
      </c>
      <c r="K286" s="1"/>
      <c r="L286" s="1" t="str">
        <f t="shared" si="18"/>
        <v xml:space="preserve">Oxundaån </v>
      </c>
      <c r="M286" s="1" t="s">
        <v>177</v>
      </c>
      <c r="N286" s="1">
        <v>0.5</v>
      </c>
      <c r="O286" s="1">
        <v>0.5</v>
      </c>
      <c r="Q286" s="1">
        <v>2.2000000000000002</v>
      </c>
      <c r="R286" s="1">
        <v>8.4600000000000009</v>
      </c>
      <c r="T286" s="1">
        <v>48.4</v>
      </c>
      <c r="V286" s="1">
        <v>1.9590000000000001</v>
      </c>
      <c r="W286" s="1">
        <v>65</v>
      </c>
      <c r="X286" s="1">
        <f t="shared" si="19"/>
        <v>8.665394890437568E-2</v>
      </c>
      <c r="Y286" s="1">
        <v>0.121</v>
      </c>
      <c r="Z286" s="1">
        <v>19</v>
      </c>
      <c r="AD286" s="1">
        <v>1255</v>
      </c>
      <c r="AE286" s="1">
        <v>7.13</v>
      </c>
      <c r="AG286" s="1">
        <v>16.3</v>
      </c>
      <c r="AK286" s="1">
        <v>57</v>
      </c>
      <c r="AL286" s="1">
        <v>1831</v>
      </c>
      <c r="AR286" s="1">
        <v>57.539999999999992</v>
      </c>
      <c r="AT286" s="1">
        <v>5.5912999999999995</v>
      </c>
      <c r="AU286" s="1">
        <v>10.986800000000001</v>
      </c>
      <c r="AV286" s="1">
        <v>29.707100000000001</v>
      </c>
      <c r="AW286" s="1">
        <v>23.765840000000001</v>
      </c>
      <c r="AX286" s="1">
        <v>94.658499999999989</v>
      </c>
      <c r="AY286" s="1">
        <v>5.0999999999999996</v>
      </c>
    </row>
    <row r="287" spans="4:51" x14ac:dyDescent="0.3">
      <c r="D287" s="2">
        <f t="shared" si="16"/>
        <v>1991</v>
      </c>
      <c r="E287" s="2">
        <f t="shared" si="17"/>
        <v>4</v>
      </c>
      <c r="F287" s="3" t="s">
        <v>178</v>
      </c>
      <c r="G287" s="4">
        <v>33345</v>
      </c>
      <c r="H287" s="1">
        <v>6606238</v>
      </c>
      <c r="I287" s="1">
        <v>661152</v>
      </c>
      <c r="J287" s="5" t="s">
        <v>176</v>
      </c>
      <c r="K287" s="1"/>
      <c r="L287" s="1" t="str">
        <f t="shared" si="18"/>
        <v xml:space="preserve">Oxundaån </v>
      </c>
      <c r="M287" s="1" t="s">
        <v>177</v>
      </c>
      <c r="N287" s="1">
        <v>0.5</v>
      </c>
      <c r="O287" s="1">
        <v>0.5</v>
      </c>
      <c r="Q287" s="1">
        <v>7.6</v>
      </c>
      <c r="R287" s="1">
        <v>10.44</v>
      </c>
      <c r="T287" s="1">
        <v>46.8</v>
      </c>
      <c r="V287" s="1">
        <v>2.0579999999999998</v>
      </c>
      <c r="W287" s="1">
        <v>14</v>
      </c>
      <c r="X287" s="1">
        <f t="shared" si="19"/>
        <v>7.9397565454320376E-2</v>
      </c>
      <c r="Y287" s="1">
        <v>5.2999999999999999E-2</v>
      </c>
      <c r="Z287" s="1">
        <v>12</v>
      </c>
      <c r="AD287" s="1">
        <v>687</v>
      </c>
      <c r="AE287" s="1">
        <v>7.57</v>
      </c>
      <c r="AG287" s="1">
        <v>9</v>
      </c>
      <c r="AK287" s="1">
        <v>86</v>
      </c>
      <c r="AL287" s="1">
        <v>1797</v>
      </c>
      <c r="AR287" s="1">
        <v>58.040000000000006</v>
      </c>
      <c r="AT287" s="1">
        <v>5.0830000000000002</v>
      </c>
      <c r="AU287" s="1">
        <v>10.793200000000001</v>
      </c>
      <c r="AV287" s="1">
        <v>28.998100000000001</v>
      </c>
      <c r="AW287" s="1">
        <v>21.471840000000004</v>
      </c>
      <c r="AX287" s="1">
        <v>84.85629999999999</v>
      </c>
      <c r="AY287" s="1">
        <v>4.7</v>
      </c>
    </row>
    <row r="288" spans="4:51" x14ac:dyDescent="0.3">
      <c r="D288" s="2">
        <f t="shared" si="16"/>
        <v>1991</v>
      </c>
      <c r="E288" s="2">
        <f t="shared" si="17"/>
        <v>5</v>
      </c>
      <c r="F288" s="3" t="s">
        <v>178</v>
      </c>
      <c r="G288" s="4">
        <v>33373</v>
      </c>
      <c r="H288" s="1">
        <v>6606238</v>
      </c>
      <c r="I288" s="1">
        <v>661152</v>
      </c>
      <c r="J288" s="5" t="s">
        <v>176</v>
      </c>
      <c r="K288" s="1"/>
      <c r="L288" s="1" t="str">
        <f t="shared" si="18"/>
        <v xml:space="preserve">Oxundaån </v>
      </c>
      <c r="M288" s="1" t="s">
        <v>177</v>
      </c>
      <c r="N288" s="1">
        <v>0.5</v>
      </c>
      <c r="O288" s="1">
        <v>0.5</v>
      </c>
      <c r="Q288" s="1">
        <v>11</v>
      </c>
      <c r="R288" s="1">
        <v>11.4</v>
      </c>
      <c r="T288" s="1">
        <v>48.1</v>
      </c>
      <c r="V288" s="1">
        <v>2.052</v>
      </c>
      <c r="W288" s="1">
        <v>16</v>
      </c>
      <c r="X288" s="1">
        <f t="shared" si="19"/>
        <v>0.36035026434494466</v>
      </c>
      <c r="Y288" s="1">
        <v>5.6000000000000001E-2</v>
      </c>
      <c r="Z288" s="1">
        <v>9</v>
      </c>
      <c r="AD288" s="1">
        <v>254</v>
      </c>
      <c r="AE288" s="1">
        <v>8.06</v>
      </c>
      <c r="AG288" s="1">
        <v>7.1</v>
      </c>
      <c r="AK288" s="1">
        <v>64</v>
      </c>
      <c r="AL288" s="1">
        <v>1073</v>
      </c>
      <c r="AR288" s="1">
        <v>59.56</v>
      </c>
      <c r="AT288" s="1">
        <v>5.3567000000000009</v>
      </c>
      <c r="AU288" s="1">
        <v>10.9384</v>
      </c>
      <c r="AV288" s="1">
        <v>30.557900000000004</v>
      </c>
      <c r="AW288" s="1">
        <v>23.169400000000003</v>
      </c>
      <c r="AX288" s="1">
        <v>96.724649999999983</v>
      </c>
      <c r="AY288" s="1">
        <v>3.55</v>
      </c>
    </row>
    <row r="289" spans="4:51" x14ac:dyDescent="0.3">
      <c r="D289" s="2">
        <f t="shared" si="16"/>
        <v>1991</v>
      </c>
      <c r="E289" s="2">
        <f t="shared" si="17"/>
        <v>6</v>
      </c>
      <c r="F289" s="3"/>
      <c r="G289" s="4">
        <v>33400</v>
      </c>
      <c r="H289" s="1">
        <v>6606238</v>
      </c>
      <c r="I289" s="1">
        <v>661152</v>
      </c>
      <c r="J289" s="5" t="s">
        <v>176</v>
      </c>
      <c r="K289" s="1"/>
      <c r="L289" s="1" t="str">
        <f t="shared" si="18"/>
        <v xml:space="preserve">Oxundaån </v>
      </c>
      <c r="M289" s="1" t="s">
        <v>177</v>
      </c>
      <c r="N289" s="1">
        <v>0.5</v>
      </c>
      <c r="O289" s="1">
        <v>0.5</v>
      </c>
      <c r="Q289" s="1">
        <v>14.8</v>
      </c>
      <c r="R289" s="1">
        <v>7.97</v>
      </c>
      <c r="T289" s="1">
        <v>48.8</v>
      </c>
      <c r="V289" s="1">
        <v>2.0990000000000002</v>
      </c>
      <c r="W289" s="1">
        <v>85</v>
      </c>
      <c r="X289" s="1">
        <f t="shared" si="19"/>
        <v>0.8595828572286095</v>
      </c>
      <c r="Y289" s="1">
        <v>0.06</v>
      </c>
      <c r="Z289" s="1">
        <v>12</v>
      </c>
      <c r="AD289" s="1">
        <v>174</v>
      </c>
      <c r="AE289" s="1">
        <v>7.58</v>
      </c>
      <c r="AG289" s="1">
        <v>8.6</v>
      </c>
      <c r="AK289" s="1">
        <v>80</v>
      </c>
      <c r="AL289" s="1">
        <v>847</v>
      </c>
      <c r="AR289" s="1">
        <v>60.099999999999994</v>
      </c>
      <c r="AT289" s="1">
        <v>5.4349000000000007</v>
      </c>
      <c r="AU289" s="1">
        <v>11.543399999999998</v>
      </c>
      <c r="AV289" s="1">
        <v>29.317150000000002</v>
      </c>
      <c r="AW289" s="1">
        <v>21.747119999999999</v>
      </c>
      <c r="AX289" s="1">
        <v>90.141799999999989</v>
      </c>
      <c r="AY289" s="1">
        <v>2.25</v>
      </c>
    </row>
    <row r="290" spans="4:51" x14ac:dyDescent="0.3">
      <c r="D290" s="2">
        <f t="shared" si="16"/>
        <v>1991</v>
      </c>
      <c r="E290" s="2">
        <f t="shared" si="17"/>
        <v>7</v>
      </c>
      <c r="F290" s="3" t="s">
        <v>179</v>
      </c>
      <c r="G290" s="4">
        <v>33434</v>
      </c>
      <c r="H290" s="1">
        <v>6606238</v>
      </c>
      <c r="I290" s="1">
        <v>661152</v>
      </c>
      <c r="J290" s="5" t="s">
        <v>176</v>
      </c>
      <c r="K290" s="1"/>
      <c r="L290" s="1" t="str">
        <f t="shared" si="18"/>
        <v xml:space="preserve">Oxundaån </v>
      </c>
      <c r="M290" s="1" t="s">
        <v>177</v>
      </c>
      <c r="N290" s="1">
        <v>0.5</v>
      </c>
      <c r="O290" s="1">
        <v>0.5</v>
      </c>
      <c r="Q290" s="1">
        <v>20.5</v>
      </c>
      <c r="R290" s="1">
        <v>7.98</v>
      </c>
      <c r="T290" s="1">
        <v>47.7</v>
      </c>
      <c r="V290" s="1">
        <v>2.2410000000000001</v>
      </c>
      <c r="W290" s="1">
        <v>13</v>
      </c>
      <c r="X290" s="1">
        <f t="shared" si="19"/>
        <v>0.46912632267915838</v>
      </c>
      <c r="Y290" s="1">
        <v>4.9000000000000002E-2</v>
      </c>
      <c r="Z290" s="1">
        <v>17</v>
      </c>
      <c r="AD290" s="1">
        <v>73</v>
      </c>
      <c r="AE290" s="1">
        <v>7.96</v>
      </c>
      <c r="AG290" s="1">
        <v>5.4</v>
      </c>
      <c r="AK290" s="1">
        <v>75</v>
      </c>
      <c r="AL290" s="1">
        <v>860</v>
      </c>
      <c r="AR290" s="1">
        <v>59.080000000000005</v>
      </c>
      <c r="AT290" s="1">
        <v>5.3567000000000009</v>
      </c>
      <c r="AU290" s="1">
        <v>10.805299999999999</v>
      </c>
      <c r="AV290" s="1">
        <v>30.026150000000001</v>
      </c>
      <c r="AW290" s="1">
        <v>21.586539999999999</v>
      </c>
      <c r="AX290" s="1">
        <v>78.129299999999986</v>
      </c>
      <c r="AY290" s="1">
        <v>0.55000000000000004</v>
      </c>
    </row>
    <row r="291" spans="4:51" x14ac:dyDescent="0.3">
      <c r="D291" s="2">
        <f t="shared" si="16"/>
        <v>1991</v>
      </c>
      <c r="E291" s="2">
        <f t="shared" si="17"/>
        <v>8</v>
      </c>
      <c r="F291" s="3" t="s">
        <v>179</v>
      </c>
      <c r="G291" s="4">
        <v>33470</v>
      </c>
      <c r="H291" s="1">
        <v>6606238</v>
      </c>
      <c r="I291" s="1">
        <v>661152</v>
      </c>
      <c r="J291" s="5" t="s">
        <v>176</v>
      </c>
      <c r="K291" s="1"/>
      <c r="L291" s="1" t="str">
        <f t="shared" si="18"/>
        <v xml:space="preserve">Oxundaån </v>
      </c>
      <c r="M291" s="1" t="s">
        <v>177</v>
      </c>
      <c r="N291" s="1">
        <v>0.5</v>
      </c>
      <c r="O291" s="1">
        <v>0.5</v>
      </c>
      <c r="Q291" s="1">
        <v>19.399999999999999</v>
      </c>
      <c r="R291" s="1">
        <v>6.96</v>
      </c>
      <c r="T291" s="1">
        <v>45.2</v>
      </c>
      <c r="V291" s="1">
        <v>2.1949999999999998</v>
      </c>
      <c r="W291" s="1">
        <v>11</v>
      </c>
      <c r="X291" s="1">
        <f t="shared" si="19"/>
        <v>0.21438679637069918</v>
      </c>
      <c r="Y291" s="1">
        <v>4.8000000000000001E-2</v>
      </c>
      <c r="Z291" s="1">
        <v>42</v>
      </c>
      <c r="AD291" s="1">
        <v>49</v>
      </c>
      <c r="AE291" s="1">
        <v>7.72</v>
      </c>
      <c r="AG291" s="1">
        <v>6.3</v>
      </c>
      <c r="AK291" s="1">
        <v>154</v>
      </c>
      <c r="AL291" s="1">
        <v>1292</v>
      </c>
      <c r="AR291" s="1">
        <v>56.319999999999993</v>
      </c>
      <c r="AT291" s="1">
        <v>5.3176000000000005</v>
      </c>
      <c r="AU291" s="1">
        <v>10.115599999999999</v>
      </c>
      <c r="AV291" s="1">
        <v>29.24625</v>
      </c>
      <c r="AW291" s="1">
        <v>22.80236</v>
      </c>
      <c r="AX291" s="1">
        <v>67.558299999999988</v>
      </c>
      <c r="AY291" s="1">
        <v>1.1499999999999999</v>
      </c>
    </row>
    <row r="292" spans="4:51" x14ac:dyDescent="0.3">
      <c r="D292" s="2">
        <f t="shared" si="16"/>
        <v>1991</v>
      </c>
      <c r="E292" s="2">
        <f t="shared" si="17"/>
        <v>9</v>
      </c>
      <c r="F292" s="3"/>
      <c r="G292" s="4">
        <v>33497</v>
      </c>
      <c r="H292" s="1">
        <v>6606238</v>
      </c>
      <c r="I292" s="1">
        <v>661152</v>
      </c>
      <c r="J292" s="5" t="s">
        <v>176</v>
      </c>
      <c r="K292" s="1"/>
      <c r="L292" s="1" t="str">
        <f t="shared" si="18"/>
        <v xml:space="preserve">Oxundaån </v>
      </c>
      <c r="M292" s="1" t="s">
        <v>177</v>
      </c>
      <c r="N292" s="1">
        <v>0.5</v>
      </c>
      <c r="O292" s="1">
        <v>0.5</v>
      </c>
      <c r="Q292" s="1">
        <v>13.5</v>
      </c>
      <c r="R292" s="1">
        <v>9.33</v>
      </c>
      <c r="T292" s="1">
        <v>45.7</v>
      </c>
      <c r="V292" s="1">
        <v>2.1760000000000002</v>
      </c>
      <c r="W292" s="1">
        <v>10</v>
      </c>
      <c r="X292" s="1">
        <f t="shared" si="19"/>
        <v>0.36326002048975836</v>
      </c>
      <c r="Y292" s="1">
        <v>4.5999999999999999E-2</v>
      </c>
      <c r="Z292" s="1">
        <v>15</v>
      </c>
      <c r="AD292" s="1">
        <v>20</v>
      </c>
      <c r="AE292" s="1">
        <v>8.19</v>
      </c>
      <c r="AG292" s="1">
        <v>11.2</v>
      </c>
      <c r="AK292" s="1">
        <v>124</v>
      </c>
      <c r="AL292" s="1">
        <v>1321</v>
      </c>
      <c r="AR292" s="1">
        <v>55.72</v>
      </c>
      <c r="AT292" s="1">
        <v>4.9266000000000005</v>
      </c>
      <c r="AU292" s="1">
        <v>10.4544</v>
      </c>
      <c r="AV292" s="1">
        <v>30.097050000000003</v>
      </c>
      <c r="AW292" s="1">
        <v>22.435320000000001</v>
      </c>
      <c r="AX292" s="1">
        <v>68.182949999999991</v>
      </c>
      <c r="AY292" s="1">
        <v>0.7</v>
      </c>
    </row>
    <row r="293" spans="4:51" x14ac:dyDescent="0.3">
      <c r="D293" s="2">
        <f t="shared" si="16"/>
        <v>1991</v>
      </c>
      <c r="E293" s="2">
        <f t="shared" si="17"/>
        <v>10</v>
      </c>
      <c r="F293" s="3" t="s">
        <v>180</v>
      </c>
      <c r="G293" s="4">
        <v>33527</v>
      </c>
      <c r="H293" s="1">
        <v>6606238</v>
      </c>
      <c r="I293" s="1">
        <v>661152</v>
      </c>
      <c r="J293" s="5" t="s">
        <v>176</v>
      </c>
      <c r="K293" s="1"/>
      <c r="L293" s="1" t="str">
        <f t="shared" si="18"/>
        <v xml:space="preserve">Oxundaån </v>
      </c>
      <c r="M293" s="1" t="s">
        <v>177</v>
      </c>
      <c r="N293" s="1">
        <v>0.5</v>
      </c>
      <c r="O293" s="1">
        <v>0.5</v>
      </c>
      <c r="Q293" s="1">
        <v>10.8</v>
      </c>
      <c r="R293" s="1">
        <v>8.1300000000000008</v>
      </c>
      <c r="T293" s="1">
        <v>46.4</v>
      </c>
      <c r="V293" s="1">
        <v>2.2400000000000002</v>
      </c>
      <c r="W293" s="1">
        <v>88</v>
      </c>
      <c r="X293" s="1">
        <f t="shared" si="19"/>
        <v>0.8827446562912451</v>
      </c>
      <c r="Y293" s="1">
        <v>5.2999999999999999E-2</v>
      </c>
      <c r="Z293" s="1">
        <v>29</v>
      </c>
      <c r="AD293" s="1">
        <v>12</v>
      </c>
      <c r="AE293" s="1">
        <v>7.71</v>
      </c>
      <c r="AG293" s="1">
        <v>3</v>
      </c>
      <c r="AK293" s="1">
        <v>84</v>
      </c>
      <c r="AL293" s="1">
        <v>910</v>
      </c>
      <c r="AR293" s="1">
        <v>57</v>
      </c>
      <c r="AT293" s="1">
        <v>5.2003000000000004</v>
      </c>
      <c r="AU293" s="1">
        <v>10.8779</v>
      </c>
      <c r="AV293" s="1">
        <v>29.600750000000001</v>
      </c>
      <c r="AW293" s="1">
        <v>22.481200000000001</v>
      </c>
      <c r="AX293" s="1">
        <v>67.27</v>
      </c>
      <c r="AY293" s="1">
        <v>0.75</v>
      </c>
    </row>
    <row r="294" spans="4:51" x14ac:dyDescent="0.3">
      <c r="D294" s="2">
        <f t="shared" si="16"/>
        <v>1991</v>
      </c>
      <c r="E294" s="2">
        <f t="shared" si="17"/>
        <v>11</v>
      </c>
      <c r="F294" s="3" t="s">
        <v>180</v>
      </c>
      <c r="G294" s="4">
        <v>33556</v>
      </c>
      <c r="H294" s="1">
        <v>6606238</v>
      </c>
      <c r="I294" s="1">
        <v>661152</v>
      </c>
      <c r="J294" s="5" t="s">
        <v>176</v>
      </c>
      <c r="K294" s="1"/>
      <c r="L294" s="1" t="str">
        <f t="shared" si="18"/>
        <v xml:space="preserve">Oxundaån </v>
      </c>
      <c r="M294" s="1" t="s">
        <v>177</v>
      </c>
      <c r="N294" s="1">
        <v>0.5</v>
      </c>
      <c r="O294" s="1">
        <v>0.5</v>
      </c>
      <c r="Q294" s="1">
        <v>3.5</v>
      </c>
      <c r="R294" s="1">
        <v>10.44</v>
      </c>
      <c r="T294" s="1">
        <v>47.9</v>
      </c>
      <c r="V294" s="1">
        <v>2.3610000000000002</v>
      </c>
      <c r="W294" s="1">
        <v>131</v>
      </c>
      <c r="X294" s="1">
        <f t="shared" si="19"/>
        <v>0.70303513865397871</v>
      </c>
      <c r="Y294" s="1">
        <v>7.4999999999999997E-2</v>
      </c>
      <c r="Z294" s="1">
        <v>33</v>
      </c>
      <c r="AD294" s="1">
        <v>196</v>
      </c>
      <c r="AE294" s="1">
        <v>7.69</v>
      </c>
      <c r="AG294" s="1">
        <v>4.5</v>
      </c>
      <c r="AK294" s="1">
        <v>78</v>
      </c>
      <c r="AL294" s="1">
        <v>1131</v>
      </c>
      <c r="AR294" s="1">
        <v>57.92</v>
      </c>
      <c r="AT294" s="1">
        <v>5.1612</v>
      </c>
      <c r="AU294" s="1">
        <v>10.7448</v>
      </c>
      <c r="AV294" s="1">
        <v>29.423500000000001</v>
      </c>
      <c r="AW294" s="1">
        <v>22.5959</v>
      </c>
      <c r="AX294" s="1">
        <v>70.873750000000001</v>
      </c>
      <c r="AY294" s="1">
        <v>1.55</v>
      </c>
    </row>
    <row r="295" spans="4:51" x14ac:dyDescent="0.3">
      <c r="D295" s="2">
        <f t="shared" si="16"/>
        <v>1991</v>
      </c>
      <c r="E295" s="2">
        <f t="shared" si="17"/>
        <v>12</v>
      </c>
      <c r="F295" s="3" t="s">
        <v>175</v>
      </c>
      <c r="G295" s="4">
        <v>33588</v>
      </c>
      <c r="H295" s="1">
        <v>6606238</v>
      </c>
      <c r="I295" s="1">
        <v>661152</v>
      </c>
      <c r="J295" s="5" t="s">
        <v>176</v>
      </c>
      <c r="K295" s="1"/>
      <c r="L295" s="1" t="str">
        <f t="shared" si="18"/>
        <v xml:space="preserve">Oxundaån </v>
      </c>
      <c r="M295" s="1" t="s">
        <v>177</v>
      </c>
      <c r="N295" s="1">
        <v>0.5</v>
      </c>
      <c r="O295" s="1">
        <v>0.5</v>
      </c>
      <c r="Q295" s="1">
        <v>1.5</v>
      </c>
      <c r="R295" s="1">
        <v>11.18</v>
      </c>
      <c r="T295" s="1">
        <v>49.9</v>
      </c>
      <c r="V295" s="1">
        <v>2.2549999999999999</v>
      </c>
      <c r="W295" s="1">
        <v>90</v>
      </c>
      <c r="X295" s="1">
        <f t="shared" si="19"/>
        <v>0.34893224701738318</v>
      </c>
      <c r="Y295" s="1">
        <v>4.1000000000000002E-2</v>
      </c>
      <c r="Z295" s="1">
        <v>24</v>
      </c>
      <c r="AD295" s="1">
        <v>450</v>
      </c>
      <c r="AE295" s="1">
        <v>7.62</v>
      </c>
      <c r="AG295" s="1">
        <v>2.2999999999999998</v>
      </c>
      <c r="AK295" s="1">
        <v>65</v>
      </c>
      <c r="AL295" s="1">
        <v>1127</v>
      </c>
      <c r="AR295" s="1">
        <v>61.08</v>
      </c>
      <c r="AT295" s="1">
        <v>5.3176000000000005</v>
      </c>
      <c r="AU295" s="1">
        <v>11.870099999999999</v>
      </c>
      <c r="AV295" s="1">
        <v>28.998100000000001</v>
      </c>
      <c r="AW295" s="1">
        <v>22.458259999999999</v>
      </c>
      <c r="AX295" s="1">
        <v>75.822900000000004</v>
      </c>
      <c r="AY295" s="1">
        <v>2.25</v>
      </c>
    </row>
    <row r="296" spans="4:51" x14ac:dyDescent="0.3">
      <c r="D296" s="2">
        <f t="shared" si="16"/>
        <v>1992</v>
      </c>
      <c r="E296" s="2">
        <f t="shared" si="17"/>
        <v>1</v>
      </c>
      <c r="F296" s="3" t="s">
        <v>175</v>
      </c>
      <c r="G296" s="4">
        <v>33617</v>
      </c>
      <c r="H296" s="1">
        <v>6606238</v>
      </c>
      <c r="I296" s="1">
        <v>661152</v>
      </c>
      <c r="J296" s="5" t="s">
        <v>176</v>
      </c>
      <c r="K296" s="1"/>
      <c r="L296" s="1" t="str">
        <f t="shared" si="18"/>
        <v xml:space="preserve">Oxundaån </v>
      </c>
      <c r="M296" s="1" t="s">
        <v>177</v>
      </c>
      <c r="N296" s="1">
        <v>0.5</v>
      </c>
      <c r="O296" s="1">
        <v>0.5</v>
      </c>
      <c r="Q296" s="1">
        <v>1.1000000000000001</v>
      </c>
      <c r="R296" s="1">
        <v>10.66</v>
      </c>
      <c r="T296" s="1">
        <v>50.8</v>
      </c>
      <c r="V296" s="1">
        <v>2.3130000000000002</v>
      </c>
      <c r="W296" s="1">
        <v>39</v>
      </c>
      <c r="X296" s="1">
        <f t="shared" si="19"/>
        <v>9.4558115518652466E-2</v>
      </c>
      <c r="Y296" s="1">
        <v>4.4999999999999998E-2</v>
      </c>
      <c r="Z296" s="1">
        <v>17</v>
      </c>
      <c r="AD296" s="1">
        <v>717</v>
      </c>
      <c r="AE296" s="1">
        <v>7.43</v>
      </c>
      <c r="AG296" s="1">
        <v>7</v>
      </c>
      <c r="AK296" s="1">
        <v>43</v>
      </c>
      <c r="AL296" s="1">
        <v>1565</v>
      </c>
      <c r="AR296" s="1">
        <v>61</v>
      </c>
      <c r="AT296" s="1">
        <v>5.8650000000000002</v>
      </c>
      <c r="AU296" s="1">
        <v>12.257299999999999</v>
      </c>
      <c r="AV296" s="1">
        <v>30.203400000000002</v>
      </c>
      <c r="AW296" s="1">
        <v>24.866960000000002</v>
      </c>
      <c r="AX296" s="1">
        <v>73.997</v>
      </c>
      <c r="AY296" s="1">
        <v>4.2</v>
      </c>
    </row>
    <row r="297" spans="4:51" x14ac:dyDescent="0.3">
      <c r="D297" s="2">
        <f t="shared" si="16"/>
        <v>1992</v>
      </c>
      <c r="E297" s="2">
        <f t="shared" si="17"/>
        <v>2</v>
      </c>
      <c r="F297" s="3" t="s">
        <v>175</v>
      </c>
      <c r="G297" s="4">
        <v>33647</v>
      </c>
      <c r="H297" s="1">
        <v>6606238</v>
      </c>
      <c r="I297" s="1">
        <v>661152</v>
      </c>
      <c r="J297" s="5" t="s">
        <v>176</v>
      </c>
      <c r="K297" s="1"/>
      <c r="L297" s="1" t="str">
        <f t="shared" si="18"/>
        <v xml:space="preserve">Oxundaån </v>
      </c>
      <c r="M297" s="1" t="s">
        <v>177</v>
      </c>
      <c r="N297" s="1">
        <v>0.5</v>
      </c>
      <c r="O297" s="1">
        <v>0.5</v>
      </c>
      <c r="Q297" s="1">
        <v>1.7</v>
      </c>
      <c r="R297" s="1">
        <v>13.05</v>
      </c>
      <c r="T297" s="1">
        <v>52.5</v>
      </c>
      <c r="V297" s="1">
        <v>2.431</v>
      </c>
      <c r="W297" s="1">
        <v>9</v>
      </c>
      <c r="X297" s="1">
        <f t="shared" si="19"/>
        <v>3.0914808347667758E-2</v>
      </c>
      <c r="Y297" s="1">
        <v>4.3999999999999997E-2</v>
      </c>
      <c r="Z297" s="1">
        <v>6</v>
      </c>
      <c r="AD297" s="1">
        <v>268</v>
      </c>
      <c r="AE297" s="1">
        <v>7.56</v>
      </c>
      <c r="AG297" s="1">
        <v>4.3</v>
      </c>
      <c r="AK297" s="1">
        <v>43</v>
      </c>
      <c r="AL297" s="1">
        <v>1132</v>
      </c>
      <c r="AR297" s="1">
        <v>65.08</v>
      </c>
      <c r="AT297" s="1">
        <v>5.3958000000000004</v>
      </c>
      <c r="AU297" s="1">
        <v>12.051599999999999</v>
      </c>
      <c r="AV297" s="1">
        <v>27.899150000000002</v>
      </c>
      <c r="AW297" s="1">
        <v>24.270520000000001</v>
      </c>
      <c r="AX297" s="1">
        <v>75.822900000000004</v>
      </c>
      <c r="AY297" s="1">
        <v>4</v>
      </c>
    </row>
    <row r="298" spans="4:51" x14ac:dyDescent="0.3">
      <c r="D298" s="2">
        <f t="shared" si="16"/>
        <v>1992</v>
      </c>
      <c r="E298" s="2">
        <f t="shared" si="17"/>
        <v>3</v>
      </c>
      <c r="F298" s="3" t="s">
        <v>175</v>
      </c>
      <c r="G298" s="4">
        <v>33679</v>
      </c>
      <c r="H298" s="1">
        <v>6606238</v>
      </c>
      <c r="I298" s="1">
        <v>661152</v>
      </c>
      <c r="J298" s="5" t="s">
        <v>176</v>
      </c>
      <c r="K298" s="1"/>
      <c r="L298" s="1" t="str">
        <f t="shared" si="18"/>
        <v xml:space="preserve">Oxundaån </v>
      </c>
      <c r="M298" s="1" t="s">
        <v>177</v>
      </c>
      <c r="N298" s="1">
        <v>0.5</v>
      </c>
      <c r="O298" s="1">
        <v>0.5</v>
      </c>
      <c r="Q298" s="1">
        <v>3.7</v>
      </c>
      <c r="R298" s="1">
        <v>13.33</v>
      </c>
      <c r="T298" s="1">
        <v>44.5</v>
      </c>
      <c r="V298" s="1">
        <v>2.0609999999999999</v>
      </c>
      <c r="W298" s="1">
        <v>14</v>
      </c>
      <c r="X298" s="1">
        <f t="shared" si="19"/>
        <v>5.5408594493612483E-2</v>
      </c>
      <c r="Y298" s="1">
        <v>7.4999999999999997E-2</v>
      </c>
      <c r="Z298" s="1">
        <v>11</v>
      </c>
      <c r="AD298" s="1">
        <v>657</v>
      </c>
      <c r="AE298" s="1">
        <v>7.55</v>
      </c>
      <c r="AG298" s="1">
        <v>9.3000000000000007</v>
      </c>
      <c r="AK298" s="1">
        <v>53</v>
      </c>
      <c r="AL298" s="1">
        <v>1354</v>
      </c>
      <c r="AR298" s="1">
        <v>54.44</v>
      </c>
      <c r="AT298" s="1">
        <v>5.0048000000000004</v>
      </c>
      <c r="AU298" s="1">
        <v>10.103499999999999</v>
      </c>
      <c r="AV298" s="1">
        <v>27.721900000000002</v>
      </c>
      <c r="AW298" s="1">
        <v>21.127740000000003</v>
      </c>
      <c r="AX298" s="1">
        <v>61.984499999999997</v>
      </c>
      <c r="AY298" s="1">
        <v>3.3</v>
      </c>
    </row>
    <row r="299" spans="4:51" x14ac:dyDescent="0.3">
      <c r="D299" s="2">
        <f t="shared" si="16"/>
        <v>1992</v>
      </c>
      <c r="E299" s="2">
        <f t="shared" si="17"/>
        <v>4</v>
      </c>
      <c r="F299" s="3" t="s">
        <v>178</v>
      </c>
      <c r="G299" s="4">
        <v>33708</v>
      </c>
      <c r="H299" s="1">
        <v>6606238</v>
      </c>
      <c r="I299" s="1">
        <v>661152</v>
      </c>
      <c r="J299" s="5" t="s">
        <v>176</v>
      </c>
      <c r="K299" s="1"/>
      <c r="L299" s="1" t="str">
        <f t="shared" si="18"/>
        <v xml:space="preserve">Oxundaån </v>
      </c>
      <c r="M299" s="1" t="s">
        <v>177</v>
      </c>
      <c r="N299" s="1">
        <v>0.5</v>
      </c>
      <c r="O299" s="1">
        <v>0.5</v>
      </c>
      <c r="Q299" s="1">
        <v>5.5</v>
      </c>
      <c r="R299" s="1">
        <v>13.56</v>
      </c>
      <c r="T299" s="1">
        <v>46.7</v>
      </c>
      <c r="V299" s="1">
        <v>2.1739999999999999</v>
      </c>
      <c r="W299" s="1">
        <v>8</v>
      </c>
      <c r="X299" s="1">
        <f t="shared" si="19"/>
        <v>0.10717677815312927</v>
      </c>
      <c r="Y299" s="1">
        <v>5.1999999999999998E-2</v>
      </c>
      <c r="Z299" s="1">
        <v>9</v>
      </c>
      <c r="AD299" s="1">
        <v>468</v>
      </c>
      <c r="AE299" s="1">
        <v>8.02</v>
      </c>
      <c r="AG299" s="1">
        <v>5.4</v>
      </c>
      <c r="AK299" s="1">
        <v>51</v>
      </c>
      <c r="AL299" s="1">
        <v>1457</v>
      </c>
      <c r="AR299" s="1">
        <v>56.92</v>
      </c>
      <c r="AT299" s="1">
        <v>5.2394000000000007</v>
      </c>
      <c r="AU299" s="1">
        <v>10.8416</v>
      </c>
      <c r="AV299" s="1">
        <v>28.856300000000001</v>
      </c>
      <c r="AW299" s="1">
        <v>22.251799999999999</v>
      </c>
      <c r="AX299" s="1">
        <v>68.855649999999997</v>
      </c>
      <c r="AY299" s="1">
        <v>3.4</v>
      </c>
    </row>
    <row r="300" spans="4:51" x14ac:dyDescent="0.3">
      <c r="D300" s="2">
        <f t="shared" si="16"/>
        <v>1992</v>
      </c>
      <c r="E300" s="2">
        <f t="shared" si="17"/>
        <v>5</v>
      </c>
      <c r="F300" s="3" t="s">
        <v>178</v>
      </c>
      <c r="G300" s="4">
        <v>33736</v>
      </c>
      <c r="H300" s="1">
        <v>6606238</v>
      </c>
      <c r="I300" s="1">
        <v>661152</v>
      </c>
      <c r="J300" s="5" t="s">
        <v>176</v>
      </c>
      <c r="K300" s="1"/>
      <c r="L300" s="1" t="str">
        <f t="shared" si="18"/>
        <v xml:space="preserve">Oxundaån </v>
      </c>
      <c r="M300" s="1" t="s">
        <v>177</v>
      </c>
      <c r="N300" s="1">
        <v>0.5</v>
      </c>
      <c r="O300" s="1">
        <v>0.5</v>
      </c>
      <c r="Q300" s="1">
        <v>11.8</v>
      </c>
      <c r="R300" s="1">
        <v>12.58</v>
      </c>
      <c r="T300" s="1">
        <v>45.9</v>
      </c>
      <c r="V300" s="1">
        <v>2.1989999999999998</v>
      </c>
      <c r="W300" s="1">
        <v>10</v>
      </c>
      <c r="X300" s="1">
        <f t="shared" si="19"/>
        <v>0.45623661272727439</v>
      </c>
      <c r="Y300" s="1">
        <v>5.1999999999999998E-2</v>
      </c>
      <c r="Z300" s="1">
        <v>9</v>
      </c>
      <c r="AD300" s="1">
        <v>221</v>
      </c>
      <c r="AE300" s="1">
        <v>8.35</v>
      </c>
      <c r="AG300" s="1">
        <v>5.3</v>
      </c>
      <c r="AK300" s="1">
        <v>52</v>
      </c>
      <c r="AL300" s="1">
        <v>1148</v>
      </c>
      <c r="AR300" s="1">
        <v>58.2</v>
      </c>
      <c r="AT300" s="1">
        <v>5.5130999999999997</v>
      </c>
      <c r="AU300" s="1">
        <v>10.236599999999999</v>
      </c>
      <c r="AV300" s="1">
        <v>29.600750000000001</v>
      </c>
      <c r="AW300" s="1">
        <v>23.26116</v>
      </c>
      <c r="AX300" s="1">
        <v>69.768599999999992</v>
      </c>
      <c r="AY300" s="1">
        <v>2.15</v>
      </c>
    </row>
    <row r="301" spans="4:51" x14ac:dyDescent="0.3">
      <c r="D301" s="2">
        <f t="shared" si="16"/>
        <v>1992</v>
      </c>
      <c r="E301" s="2">
        <f t="shared" si="17"/>
        <v>6</v>
      </c>
      <c r="F301" s="3"/>
      <c r="G301" s="4">
        <v>33766</v>
      </c>
      <c r="H301" s="1">
        <v>6606238</v>
      </c>
      <c r="I301" s="1">
        <v>661152</v>
      </c>
      <c r="J301" s="5" t="s">
        <v>176</v>
      </c>
      <c r="K301" s="1"/>
      <c r="L301" s="1" t="str">
        <f t="shared" si="18"/>
        <v xml:space="preserve">Oxundaån </v>
      </c>
      <c r="M301" s="1" t="s">
        <v>177</v>
      </c>
      <c r="N301" s="1">
        <v>0.5</v>
      </c>
      <c r="O301" s="1">
        <v>0.5</v>
      </c>
      <c r="Q301" s="1">
        <v>21.1</v>
      </c>
      <c r="R301" s="1">
        <v>8.19</v>
      </c>
      <c r="T301" s="1">
        <v>44.8</v>
      </c>
      <c r="V301" s="1">
        <v>2</v>
      </c>
      <c r="W301" s="1">
        <v>9</v>
      </c>
      <c r="X301" s="1">
        <f t="shared" si="19"/>
        <v>0.42231350344423768</v>
      </c>
      <c r="Y301" s="1">
        <v>6.6000000000000003E-2</v>
      </c>
      <c r="Z301" s="1">
        <v>13</v>
      </c>
      <c r="AD301" s="1">
        <v>25</v>
      </c>
      <c r="AE301" s="1">
        <v>8.06</v>
      </c>
      <c r="AG301" s="1">
        <v>5.7</v>
      </c>
      <c r="AK301" s="1">
        <v>83</v>
      </c>
      <c r="AL301" s="1">
        <v>942</v>
      </c>
      <c r="AR301" s="1">
        <v>52.92</v>
      </c>
      <c r="AT301" s="1">
        <v>5.6695000000000002</v>
      </c>
      <c r="AU301" s="1">
        <v>11.119899999999999</v>
      </c>
      <c r="AV301" s="1">
        <v>30.238850000000003</v>
      </c>
      <c r="AW301" s="1">
        <v>23.605259999999998</v>
      </c>
      <c r="AX301" s="1">
        <v>71.978899999999996</v>
      </c>
      <c r="AY301" s="1">
        <v>0.9</v>
      </c>
    </row>
    <row r="302" spans="4:51" x14ac:dyDescent="0.3">
      <c r="D302" s="2">
        <f t="shared" si="16"/>
        <v>1992</v>
      </c>
      <c r="E302" s="2">
        <f t="shared" si="17"/>
        <v>7</v>
      </c>
      <c r="F302" s="3" t="s">
        <v>179</v>
      </c>
      <c r="G302" s="4">
        <v>33801</v>
      </c>
      <c r="H302" s="1">
        <v>6606238</v>
      </c>
      <c r="I302" s="1">
        <v>661152</v>
      </c>
      <c r="J302" s="5" t="s">
        <v>176</v>
      </c>
      <c r="K302" s="1"/>
      <c r="L302" s="1" t="str">
        <f t="shared" si="18"/>
        <v xml:space="preserve">Oxundaån </v>
      </c>
      <c r="M302" s="1" t="s">
        <v>177</v>
      </c>
      <c r="N302" s="1">
        <v>0.5</v>
      </c>
      <c r="O302" s="1">
        <v>0.5</v>
      </c>
      <c r="Q302" s="1">
        <v>20</v>
      </c>
      <c r="R302" s="1">
        <v>8.2100000000000009</v>
      </c>
      <c r="T302" s="1">
        <v>45</v>
      </c>
      <c r="V302" s="1">
        <v>2.2000000000000002</v>
      </c>
      <c r="W302" s="1">
        <v>15</v>
      </c>
      <c r="X302" s="1">
        <f t="shared" si="19"/>
        <v>1.0295834930167034</v>
      </c>
      <c r="Y302" s="1">
        <v>5.7000000000000002E-2</v>
      </c>
      <c r="Z302" s="1">
        <v>27</v>
      </c>
      <c r="AD302" s="1">
        <v>5</v>
      </c>
      <c r="AE302" s="1">
        <v>8.27</v>
      </c>
      <c r="AG302" s="1">
        <v>6.4</v>
      </c>
      <c r="AK302" s="1">
        <v>100</v>
      </c>
      <c r="AL302" s="1">
        <v>2338</v>
      </c>
      <c r="AR302" s="1">
        <v>53.96</v>
      </c>
      <c r="AT302" s="1">
        <v>5.5130999999999997</v>
      </c>
      <c r="AU302" s="1">
        <v>11.373999999999999</v>
      </c>
      <c r="AV302" s="1">
        <v>31.727750000000004</v>
      </c>
      <c r="AW302" s="1">
        <v>23.100579999999997</v>
      </c>
      <c r="AX302" s="1">
        <v>64.675300000000007</v>
      </c>
      <c r="AY302" s="1">
        <v>1.2</v>
      </c>
    </row>
    <row r="303" spans="4:51" x14ac:dyDescent="0.3">
      <c r="D303" s="2">
        <f t="shared" si="16"/>
        <v>1992</v>
      </c>
      <c r="E303" s="2">
        <f t="shared" si="17"/>
        <v>8</v>
      </c>
      <c r="F303" s="3" t="s">
        <v>179</v>
      </c>
      <c r="G303" s="4">
        <v>33829</v>
      </c>
      <c r="H303" s="1">
        <v>6606238</v>
      </c>
      <c r="I303" s="1">
        <v>661152</v>
      </c>
      <c r="J303" s="5" t="s">
        <v>176</v>
      </c>
      <c r="K303" s="1"/>
      <c r="L303" s="1" t="str">
        <f t="shared" si="18"/>
        <v xml:space="preserve">Oxundaån </v>
      </c>
      <c r="M303" s="1" t="s">
        <v>177</v>
      </c>
      <c r="N303" s="1">
        <v>0.5</v>
      </c>
      <c r="O303" s="1">
        <v>0.5</v>
      </c>
      <c r="Q303" s="1">
        <v>19.2</v>
      </c>
      <c r="R303" s="1">
        <v>8.8800000000000008</v>
      </c>
      <c r="T303" s="1">
        <v>42.4</v>
      </c>
      <c r="V303" s="1">
        <v>2.0209999999999999</v>
      </c>
      <c r="W303" s="1">
        <v>18</v>
      </c>
      <c r="X303" s="1">
        <f t="shared" si="19"/>
        <v>1.3587957555712542</v>
      </c>
      <c r="Y303" s="1">
        <v>0.05</v>
      </c>
      <c r="Z303" s="1">
        <v>38</v>
      </c>
      <c r="AD303" s="1">
        <v>6</v>
      </c>
      <c r="AE303" s="1">
        <v>8.34</v>
      </c>
      <c r="AG303" s="1">
        <v>6.7</v>
      </c>
      <c r="AK303" s="1">
        <v>121</v>
      </c>
      <c r="AL303" s="1">
        <v>1803</v>
      </c>
      <c r="AR303" s="1">
        <v>47.839999999999996</v>
      </c>
      <c r="AT303" s="1">
        <v>5.5130999999999997</v>
      </c>
      <c r="AU303" s="1">
        <v>10.793200000000001</v>
      </c>
      <c r="AV303" s="1">
        <v>31.550500000000003</v>
      </c>
      <c r="AW303" s="1">
        <v>22.985880000000002</v>
      </c>
      <c r="AX303" s="1">
        <v>60.2547</v>
      </c>
      <c r="AY303" s="1">
        <v>2.5</v>
      </c>
    </row>
    <row r="304" spans="4:51" x14ac:dyDescent="0.3">
      <c r="D304" s="2">
        <f t="shared" si="16"/>
        <v>1992</v>
      </c>
      <c r="E304" s="2">
        <f t="shared" si="17"/>
        <v>9</v>
      </c>
      <c r="F304" s="3"/>
      <c r="G304" s="4">
        <v>33861</v>
      </c>
      <c r="H304" s="1">
        <v>6606238</v>
      </c>
      <c r="I304" s="1">
        <v>661152</v>
      </c>
      <c r="J304" s="5" t="s">
        <v>176</v>
      </c>
      <c r="K304" s="1"/>
      <c r="L304" s="1" t="str">
        <f t="shared" si="18"/>
        <v xml:space="preserve">Oxundaån </v>
      </c>
      <c r="M304" s="1" t="s">
        <v>177</v>
      </c>
      <c r="N304" s="1">
        <v>0.5</v>
      </c>
      <c r="O304" s="1">
        <v>0.5</v>
      </c>
      <c r="Q304" s="1">
        <v>14.5</v>
      </c>
      <c r="R304" s="1">
        <v>7.41</v>
      </c>
      <c r="T304" s="1">
        <v>44.3</v>
      </c>
      <c r="V304" s="1">
        <v>2.1179999999999999</v>
      </c>
      <c r="W304" s="1">
        <v>14</v>
      </c>
      <c r="X304" s="1">
        <f t="shared" si="19"/>
        <v>0.19920472037699896</v>
      </c>
      <c r="Y304" s="1">
        <v>0.05</v>
      </c>
      <c r="Z304" s="1">
        <v>55</v>
      </c>
      <c r="AD304" s="1">
        <v>24</v>
      </c>
      <c r="AE304" s="1">
        <v>7.74</v>
      </c>
      <c r="AG304" s="1">
        <v>8.4</v>
      </c>
      <c r="AK304" s="1">
        <v>176</v>
      </c>
      <c r="AL304" s="1">
        <v>1861</v>
      </c>
      <c r="AR304" s="1">
        <v>51.48</v>
      </c>
      <c r="AT304" s="1">
        <v>5.2785000000000002</v>
      </c>
      <c r="AU304" s="1">
        <v>10.1761</v>
      </c>
      <c r="AV304" s="1">
        <v>31.302350000000004</v>
      </c>
      <c r="AW304" s="1">
        <v>23.192339999999998</v>
      </c>
      <c r="AX304" s="1">
        <v>59.870299999999993</v>
      </c>
      <c r="AY304" s="1">
        <v>4.25</v>
      </c>
    </row>
    <row r="305" spans="4:51" x14ac:dyDescent="0.3">
      <c r="D305" s="2">
        <f t="shared" si="16"/>
        <v>1992</v>
      </c>
      <c r="E305" s="2">
        <f t="shared" si="17"/>
        <v>10</v>
      </c>
      <c r="F305" s="3" t="s">
        <v>180</v>
      </c>
      <c r="G305" s="4">
        <v>33891</v>
      </c>
      <c r="H305" s="1">
        <v>6606238</v>
      </c>
      <c r="I305" s="1">
        <v>661152</v>
      </c>
      <c r="J305" s="5" t="s">
        <v>176</v>
      </c>
      <c r="K305" s="1"/>
      <c r="L305" s="1" t="str">
        <f t="shared" si="18"/>
        <v xml:space="preserve">Oxundaån </v>
      </c>
      <c r="M305" s="1" t="s">
        <v>177</v>
      </c>
      <c r="N305" s="1">
        <v>0.5</v>
      </c>
      <c r="O305" s="1">
        <v>0.5</v>
      </c>
      <c r="Q305" s="1">
        <v>7.7</v>
      </c>
      <c r="R305" s="1">
        <v>7.45</v>
      </c>
      <c r="T305" s="1">
        <v>47</v>
      </c>
      <c r="V305" s="1">
        <v>2.286</v>
      </c>
      <c r="W305" s="1">
        <v>84</v>
      </c>
      <c r="X305" s="1">
        <f t="shared" si="19"/>
        <v>0.61756963399391196</v>
      </c>
      <c r="Y305" s="1">
        <v>4.1000000000000002E-2</v>
      </c>
      <c r="Z305" s="1">
        <v>39</v>
      </c>
      <c r="AD305" s="1">
        <v>72</v>
      </c>
      <c r="AE305" s="1">
        <v>7.68</v>
      </c>
      <c r="AG305" s="1">
        <v>3.2</v>
      </c>
      <c r="AK305" s="1">
        <v>91</v>
      </c>
      <c r="AL305" s="1">
        <v>1406</v>
      </c>
      <c r="AR305" s="1">
        <v>57.08</v>
      </c>
      <c r="AT305" s="1">
        <v>5.5522</v>
      </c>
      <c r="AU305" s="1">
        <v>10.430199999999999</v>
      </c>
      <c r="AV305" s="1">
        <v>32.755800000000001</v>
      </c>
      <c r="AW305" s="1">
        <v>24.064060000000001</v>
      </c>
      <c r="AX305" s="1">
        <v>65.636300000000006</v>
      </c>
      <c r="AY305" s="1">
        <v>5.0999999999999996</v>
      </c>
    </row>
    <row r="306" spans="4:51" x14ac:dyDescent="0.3">
      <c r="D306" s="2">
        <f t="shared" si="16"/>
        <v>1992</v>
      </c>
      <c r="E306" s="2">
        <f t="shared" si="17"/>
        <v>11</v>
      </c>
      <c r="F306" s="3" t="s">
        <v>180</v>
      </c>
      <c r="G306" s="4">
        <v>33924</v>
      </c>
      <c r="H306" s="1">
        <v>6606238</v>
      </c>
      <c r="I306" s="1">
        <v>661152</v>
      </c>
      <c r="J306" s="5" t="s">
        <v>176</v>
      </c>
      <c r="K306" s="1"/>
      <c r="L306" s="1" t="str">
        <f t="shared" si="18"/>
        <v xml:space="preserve">Oxundaån </v>
      </c>
      <c r="M306" s="1" t="s">
        <v>177</v>
      </c>
      <c r="N306" s="1">
        <v>0.5</v>
      </c>
      <c r="O306" s="1">
        <v>0.5</v>
      </c>
      <c r="Q306" s="1">
        <v>2.2999999999999998</v>
      </c>
      <c r="R306" s="1">
        <v>10.14</v>
      </c>
      <c r="T306" s="1">
        <v>47.6</v>
      </c>
      <c r="V306" s="1">
        <v>2.4340000000000002</v>
      </c>
      <c r="W306" s="1">
        <v>111</v>
      </c>
      <c r="X306" s="1">
        <f t="shared" si="19"/>
        <v>0.43919248268397809</v>
      </c>
      <c r="Y306" s="1">
        <v>5.7000000000000002E-2</v>
      </c>
      <c r="Z306" s="1">
        <v>30</v>
      </c>
      <c r="AD306" s="1">
        <v>242</v>
      </c>
      <c r="AE306" s="1">
        <v>7.6</v>
      </c>
      <c r="AG306" s="1">
        <v>6.5</v>
      </c>
      <c r="AK306" s="1">
        <v>59</v>
      </c>
      <c r="AL306" s="1">
        <v>1074</v>
      </c>
      <c r="AR306" s="1">
        <v>59.800000000000004</v>
      </c>
      <c r="AT306" s="1">
        <v>5.5522</v>
      </c>
      <c r="AU306" s="1">
        <v>11.119899999999999</v>
      </c>
      <c r="AV306" s="1">
        <v>31.408700000000003</v>
      </c>
      <c r="AW306" s="1">
        <v>24.018180000000001</v>
      </c>
      <c r="AX306" s="1">
        <v>68.230999999999995</v>
      </c>
      <c r="AY306" s="1">
        <v>4</v>
      </c>
    </row>
    <row r="307" spans="4:51" x14ac:dyDescent="0.3">
      <c r="D307" s="2">
        <f t="shared" si="16"/>
        <v>1992</v>
      </c>
      <c r="E307" s="2">
        <f t="shared" si="17"/>
        <v>12</v>
      </c>
      <c r="F307" s="3" t="s">
        <v>175</v>
      </c>
      <c r="G307" s="4">
        <v>33953</v>
      </c>
      <c r="H307" s="1">
        <v>6606238</v>
      </c>
      <c r="I307" s="1">
        <v>661152</v>
      </c>
      <c r="J307" s="5" t="s">
        <v>176</v>
      </c>
      <c r="K307" s="1"/>
      <c r="L307" s="1" t="str">
        <f t="shared" si="18"/>
        <v xml:space="preserve">Oxundaån </v>
      </c>
      <c r="M307" s="1" t="s">
        <v>177</v>
      </c>
      <c r="N307" s="1">
        <v>0.5</v>
      </c>
      <c r="O307" s="1">
        <v>0.5</v>
      </c>
      <c r="Q307" s="1">
        <v>1.5</v>
      </c>
      <c r="R307" s="1">
        <v>10.99</v>
      </c>
      <c r="T307" s="1">
        <v>48.5</v>
      </c>
      <c r="V307" s="1">
        <v>2.1589999999999998</v>
      </c>
      <c r="W307" s="1">
        <v>128</v>
      </c>
      <c r="X307" s="1">
        <f t="shared" si="19"/>
        <v>0.45274821445443769</v>
      </c>
      <c r="Y307" s="1">
        <v>5.8999999999999997E-2</v>
      </c>
      <c r="Z307" s="1">
        <v>25</v>
      </c>
      <c r="AD307" s="1">
        <v>595</v>
      </c>
      <c r="AE307" s="1">
        <v>7.58</v>
      </c>
      <c r="AG307" s="1">
        <v>7.7</v>
      </c>
      <c r="AK307" s="1">
        <v>63</v>
      </c>
      <c r="AL307" s="1">
        <v>1495</v>
      </c>
      <c r="AR307" s="1">
        <v>60.4</v>
      </c>
      <c r="AT307" s="1">
        <v>5.8650000000000002</v>
      </c>
      <c r="AU307" s="1">
        <v>11.9064</v>
      </c>
      <c r="AV307" s="1">
        <v>30.061600000000002</v>
      </c>
      <c r="AW307" s="1">
        <v>24.33934</v>
      </c>
      <c r="AX307" s="1">
        <v>79.042249999999996</v>
      </c>
      <c r="AY307" s="1">
        <v>4.2</v>
      </c>
    </row>
    <row r="308" spans="4:51" x14ac:dyDescent="0.3">
      <c r="D308" s="2">
        <f t="shared" si="16"/>
        <v>1993</v>
      </c>
      <c r="E308" s="2">
        <f t="shared" si="17"/>
        <v>1</v>
      </c>
      <c r="F308" s="3" t="s">
        <v>175</v>
      </c>
      <c r="G308" s="4">
        <v>33987</v>
      </c>
      <c r="H308" s="1">
        <v>6606238</v>
      </c>
      <c r="I308" s="1">
        <v>661152</v>
      </c>
      <c r="J308" s="5" t="s">
        <v>176</v>
      </c>
      <c r="K308" s="1"/>
      <c r="L308" s="1" t="str">
        <f t="shared" si="18"/>
        <v xml:space="preserve">Oxundaån </v>
      </c>
      <c r="M308" s="1" t="s">
        <v>177</v>
      </c>
      <c r="N308" s="1">
        <v>0.5</v>
      </c>
      <c r="O308" s="1">
        <v>0.5</v>
      </c>
      <c r="Q308" s="1">
        <v>1.2</v>
      </c>
      <c r="R308" s="1">
        <v>11.51</v>
      </c>
      <c r="T308" s="1">
        <v>51</v>
      </c>
      <c r="V308" s="1">
        <v>2.286</v>
      </c>
      <c r="W308" s="1">
        <v>149</v>
      </c>
      <c r="X308" s="1">
        <f t="shared" si="19"/>
        <v>0.4798462504220391</v>
      </c>
      <c r="Y308" s="1">
        <v>6.2E-2</v>
      </c>
      <c r="Z308" s="1">
        <v>21</v>
      </c>
      <c r="AD308" s="1">
        <v>760</v>
      </c>
      <c r="AE308" s="1">
        <v>7.55</v>
      </c>
      <c r="AG308" s="1">
        <v>5.3</v>
      </c>
      <c r="AK308" s="1">
        <v>52</v>
      </c>
      <c r="AL308" s="1">
        <v>1473</v>
      </c>
      <c r="AR308" s="1">
        <v>63.040000000000006</v>
      </c>
      <c r="AT308" s="1">
        <v>5.9040999999999997</v>
      </c>
      <c r="AU308" s="1">
        <v>12.2936</v>
      </c>
      <c r="AV308" s="1">
        <v>32.117700000000006</v>
      </c>
      <c r="AW308" s="1">
        <v>24.84402</v>
      </c>
      <c r="AX308" s="1">
        <v>79.330550000000002</v>
      </c>
      <c r="AY308" s="1">
        <v>4.5</v>
      </c>
    </row>
    <row r="309" spans="4:51" x14ac:dyDescent="0.3">
      <c r="D309" s="2">
        <f t="shared" si="16"/>
        <v>1993</v>
      </c>
      <c r="E309" s="2">
        <f t="shared" si="17"/>
        <v>2</v>
      </c>
      <c r="F309" s="3" t="s">
        <v>175</v>
      </c>
      <c r="G309" s="4">
        <v>34015</v>
      </c>
      <c r="H309" s="1">
        <v>6606238</v>
      </c>
      <c r="I309" s="1">
        <v>661152</v>
      </c>
      <c r="J309" s="5" t="s">
        <v>176</v>
      </c>
      <c r="K309" s="1"/>
      <c r="L309" s="1" t="str">
        <f t="shared" si="18"/>
        <v xml:space="preserve">Oxundaån </v>
      </c>
      <c r="M309" s="1" t="s">
        <v>177</v>
      </c>
      <c r="N309" s="1">
        <v>0.5</v>
      </c>
      <c r="O309" s="1">
        <v>0.5</v>
      </c>
      <c r="Q309" s="1">
        <v>2.2000000000000002</v>
      </c>
      <c r="R309" s="1">
        <v>13.17</v>
      </c>
      <c r="T309" s="1">
        <v>50.9</v>
      </c>
      <c r="V309" s="1">
        <v>2.2719999999999998</v>
      </c>
      <c r="W309" s="1">
        <v>14</v>
      </c>
      <c r="X309" s="1">
        <f t="shared" si="19"/>
        <v>4.7873454771287231E-2</v>
      </c>
      <c r="Y309" s="1">
        <v>4.7E-2</v>
      </c>
      <c r="Z309" s="1">
        <v>15</v>
      </c>
      <c r="AD309" s="1">
        <v>819</v>
      </c>
      <c r="AE309" s="1">
        <v>7.54</v>
      </c>
      <c r="AG309" s="1">
        <v>5.8</v>
      </c>
      <c r="AK309" s="1">
        <v>49</v>
      </c>
      <c r="AL309" s="1">
        <v>1606</v>
      </c>
      <c r="AR309" s="1">
        <v>63.52</v>
      </c>
      <c r="AT309" s="1">
        <v>5.8650000000000002</v>
      </c>
      <c r="AU309" s="1">
        <v>12.3178</v>
      </c>
      <c r="AV309" s="1">
        <v>33.110300000000002</v>
      </c>
      <c r="AW309" s="1">
        <v>25.004600000000003</v>
      </c>
      <c r="AX309" s="1">
        <v>82.501850000000005</v>
      </c>
      <c r="AY309" s="1">
        <v>3.9</v>
      </c>
    </row>
    <row r="310" spans="4:51" x14ac:dyDescent="0.3">
      <c r="D310" s="2">
        <f t="shared" si="16"/>
        <v>1993</v>
      </c>
      <c r="E310" s="2">
        <f t="shared" si="17"/>
        <v>3</v>
      </c>
      <c r="F310" s="3" t="s">
        <v>175</v>
      </c>
      <c r="G310" s="4">
        <v>34044</v>
      </c>
      <c r="H310" s="1">
        <v>6606238</v>
      </c>
      <c r="I310" s="1">
        <v>661152</v>
      </c>
      <c r="J310" s="5" t="s">
        <v>176</v>
      </c>
      <c r="K310" s="1"/>
      <c r="L310" s="1" t="str">
        <f t="shared" si="18"/>
        <v xml:space="preserve">Oxundaån </v>
      </c>
      <c r="M310" s="1" t="s">
        <v>177</v>
      </c>
      <c r="N310" s="1">
        <v>0.5</v>
      </c>
      <c r="O310" s="1">
        <v>0.5</v>
      </c>
      <c r="Q310" s="1">
        <v>2.2999999999999998</v>
      </c>
      <c r="R310" s="1">
        <v>13.1</v>
      </c>
      <c r="T310" s="1">
        <v>51.4</v>
      </c>
      <c r="V310" s="1">
        <v>2.4289999999999998</v>
      </c>
      <c r="W310" s="1">
        <v>31</v>
      </c>
      <c r="X310" s="1">
        <f t="shared" si="19"/>
        <v>0.11987613431697119</v>
      </c>
      <c r="Y310" s="1">
        <v>4.8000000000000001E-2</v>
      </c>
      <c r="Z310" s="1">
        <v>10</v>
      </c>
      <c r="AD310" s="1">
        <v>575</v>
      </c>
      <c r="AE310" s="1">
        <v>7.59</v>
      </c>
      <c r="AG310" s="1">
        <v>4.7</v>
      </c>
      <c r="AK310" s="1">
        <v>39</v>
      </c>
      <c r="AL310" s="1">
        <v>1326</v>
      </c>
      <c r="AR310" s="1">
        <v>64</v>
      </c>
      <c r="AT310" s="1">
        <v>5.8258999999999999</v>
      </c>
      <c r="AU310" s="1">
        <v>11.9427</v>
      </c>
      <c r="AV310" s="1">
        <v>31.479600000000001</v>
      </c>
      <c r="AW310" s="1">
        <v>24.981660000000002</v>
      </c>
      <c r="AX310" s="1">
        <v>76.783900000000003</v>
      </c>
      <c r="AY310" s="1">
        <v>3.3</v>
      </c>
    </row>
    <row r="311" spans="4:51" x14ac:dyDescent="0.3">
      <c r="D311" s="2">
        <f t="shared" si="16"/>
        <v>1993</v>
      </c>
      <c r="E311" s="2">
        <f t="shared" si="17"/>
        <v>4</v>
      </c>
      <c r="F311" s="3" t="s">
        <v>178</v>
      </c>
      <c r="G311" s="4">
        <v>34073</v>
      </c>
      <c r="H311" s="1">
        <v>6606238</v>
      </c>
      <c r="I311" s="1">
        <v>661152</v>
      </c>
      <c r="J311" s="5" t="s">
        <v>176</v>
      </c>
      <c r="K311" s="1"/>
      <c r="L311" s="1" t="str">
        <f t="shared" si="18"/>
        <v xml:space="preserve">Oxundaån </v>
      </c>
      <c r="M311" s="1" t="s">
        <v>177</v>
      </c>
      <c r="N311" s="1">
        <v>0.5</v>
      </c>
      <c r="O311" s="1">
        <v>0.5</v>
      </c>
      <c r="Q311" s="1">
        <v>5.2</v>
      </c>
      <c r="R311" s="1">
        <v>12.99</v>
      </c>
      <c r="T311" s="1">
        <v>48.2</v>
      </c>
      <c r="V311" s="1">
        <v>2.3980000000000001</v>
      </c>
      <c r="W311" s="1">
        <v>13</v>
      </c>
      <c r="X311" s="1">
        <f t="shared" si="19"/>
        <v>6.6683635455376616E-2</v>
      </c>
      <c r="Y311" s="1">
        <v>3.9E-2</v>
      </c>
      <c r="Z311" s="1">
        <v>9</v>
      </c>
      <c r="AD311" s="1">
        <v>408</v>
      </c>
      <c r="AE311" s="1">
        <v>7.61</v>
      </c>
      <c r="AG311" s="1">
        <v>6.3</v>
      </c>
      <c r="AK311" s="1">
        <v>57</v>
      </c>
      <c r="AL311" s="1">
        <v>1045</v>
      </c>
      <c r="AR311" s="1">
        <v>64.92</v>
      </c>
      <c r="AT311" s="1">
        <v>5.7477</v>
      </c>
      <c r="AU311" s="1">
        <v>11.8096</v>
      </c>
      <c r="AV311" s="1">
        <v>30.309750000000001</v>
      </c>
      <c r="AW311" s="1">
        <v>25.073420000000002</v>
      </c>
      <c r="AX311" s="1">
        <v>67.942699999999988</v>
      </c>
      <c r="AY311" s="1">
        <v>3.1</v>
      </c>
    </row>
    <row r="312" spans="4:51" x14ac:dyDescent="0.3">
      <c r="D312" s="2">
        <f t="shared" si="16"/>
        <v>1993</v>
      </c>
      <c r="E312" s="2">
        <f t="shared" si="17"/>
        <v>5</v>
      </c>
      <c r="F312" s="3" t="s">
        <v>178</v>
      </c>
      <c r="G312" s="4">
        <v>34106</v>
      </c>
      <c r="H312" s="1">
        <v>6606238</v>
      </c>
      <c r="I312" s="1">
        <v>661152</v>
      </c>
      <c r="J312" s="5" t="s">
        <v>176</v>
      </c>
      <c r="K312" s="1"/>
      <c r="L312" s="1" t="str">
        <f t="shared" si="18"/>
        <v xml:space="preserve">Oxundaån </v>
      </c>
      <c r="M312" s="1" t="s">
        <v>177</v>
      </c>
      <c r="N312" s="1">
        <v>0.5</v>
      </c>
      <c r="O312" s="1">
        <v>0.5</v>
      </c>
      <c r="Q312" s="1">
        <v>17.7</v>
      </c>
      <c r="R312" s="1">
        <v>10.14</v>
      </c>
      <c r="T312" s="1">
        <v>49.2</v>
      </c>
      <c r="V312" s="1">
        <v>2.403</v>
      </c>
      <c r="W312" s="1">
        <v>7</v>
      </c>
      <c r="X312" s="1">
        <f t="shared" si="19"/>
        <v>0.29525263728231926</v>
      </c>
      <c r="Y312" s="1">
        <v>4.2999999999999997E-2</v>
      </c>
      <c r="Z312" s="1">
        <v>7</v>
      </c>
      <c r="AD312" s="1">
        <v>17</v>
      </c>
      <c r="AE312" s="1">
        <v>8.1199999999999992</v>
      </c>
      <c r="AG312" s="1">
        <v>4.9000000000000004</v>
      </c>
      <c r="AK312" s="1">
        <v>43</v>
      </c>
      <c r="AL312" s="1">
        <v>828</v>
      </c>
      <c r="AR312" s="1">
        <v>61.44</v>
      </c>
      <c r="AT312" s="1">
        <v>5.3567000000000009</v>
      </c>
      <c r="AU312" s="1">
        <v>11.1562</v>
      </c>
      <c r="AV312" s="1">
        <v>32.224050000000005</v>
      </c>
      <c r="AW312" s="1">
        <v>23.536440000000002</v>
      </c>
      <c r="AX312" s="1">
        <v>74.237249999999989</v>
      </c>
      <c r="AY312" s="1">
        <v>2.15</v>
      </c>
    </row>
    <row r="313" spans="4:51" x14ac:dyDescent="0.3">
      <c r="D313" s="2">
        <f t="shared" si="16"/>
        <v>1993</v>
      </c>
      <c r="E313" s="2">
        <f t="shared" si="17"/>
        <v>6</v>
      </c>
      <c r="F313" s="3"/>
      <c r="G313" s="4">
        <v>34135</v>
      </c>
      <c r="H313" s="1">
        <v>6606238</v>
      </c>
      <c r="I313" s="1">
        <v>661152</v>
      </c>
      <c r="J313" s="5" t="s">
        <v>176</v>
      </c>
      <c r="K313" s="1"/>
      <c r="L313" s="1" t="str">
        <f t="shared" si="18"/>
        <v xml:space="preserve">Oxundaån </v>
      </c>
      <c r="M313" s="1" t="s">
        <v>177</v>
      </c>
      <c r="N313" s="1">
        <v>0.5</v>
      </c>
      <c r="O313" s="1">
        <v>0.5</v>
      </c>
      <c r="Q313" s="1">
        <v>16.600000000000001</v>
      </c>
      <c r="R313" s="1">
        <v>8.24</v>
      </c>
      <c r="T313" s="1">
        <v>49.8</v>
      </c>
      <c r="V313" s="1">
        <v>2.492</v>
      </c>
      <c r="W313" s="1">
        <v>51</v>
      </c>
      <c r="X313" s="1">
        <f t="shared" si="19"/>
        <v>1.1121749930571585</v>
      </c>
      <c r="Y313" s="1">
        <v>4.4999999999999998E-2</v>
      </c>
      <c r="Z313" s="1">
        <v>12</v>
      </c>
      <c r="AD313" s="1">
        <v>21</v>
      </c>
      <c r="AE313" s="1">
        <v>7.86</v>
      </c>
      <c r="AG313" s="1">
        <v>8.6999999999999993</v>
      </c>
      <c r="AK313" s="1">
        <v>76</v>
      </c>
      <c r="AL313" s="1">
        <v>1068</v>
      </c>
      <c r="AR313" s="1">
        <v>61.879999999999995</v>
      </c>
      <c r="AT313" s="1">
        <v>5.6303999999999998</v>
      </c>
      <c r="AU313" s="1">
        <v>11.2651</v>
      </c>
      <c r="AV313" s="1">
        <v>32.791250000000005</v>
      </c>
      <c r="AW313" s="1">
        <v>24.041120000000003</v>
      </c>
      <c r="AX313" s="1">
        <v>70.681550000000001</v>
      </c>
      <c r="AY313" s="1">
        <v>2.2000000000000002</v>
      </c>
    </row>
    <row r="314" spans="4:51" x14ac:dyDescent="0.3">
      <c r="D314" s="2">
        <f t="shared" si="16"/>
        <v>1993</v>
      </c>
      <c r="E314" s="2">
        <f t="shared" si="17"/>
        <v>7</v>
      </c>
      <c r="F314" s="3" t="s">
        <v>179</v>
      </c>
      <c r="G314" s="4">
        <v>34164</v>
      </c>
      <c r="H314" s="1">
        <v>6606238</v>
      </c>
      <c r="I314" s="1">
        <v>661152</v>
      </c>
      <c r="J314" s="5" t="s">
        <v>176</v>
      </c>
      <c r="K314" s="1"/>
      <c r="L314" s="1" t="str">
        <f t="shared" si="18"/>
        <v xml:space="preserve">Oxundaån </v>
      </c>
      <c r="M314" s="1" t="s">
        <v>177</v>
      </c>
      <c r="N314" s="1">
        <v>0.5</v>
      </c>
      <c r="O314" s="1">
        <v>0.5</v>
      </c>
      <c r="Q314" s="1">
        <v>18.3</v>
      </c>
      <c r="R314" s="1">
        <v>6.78</v>
      </c>
      <c r="T314" s="1">
        <v>49.7</v>
      </c>
      <c r="V314" s="1">
        <v>2.3809999999999998</v>
      </c>
      <c r="W314" s="1">
        <v>102</v>
      </c>
      <c r="X314" s="1">
        <f t="shared" si="19"/>
        <v>1.7154113341487933</v>
      </c>
      <c r="Y314" s="1">
        <v>3.7999999999999999E-2</v>
      </c>
      <c r="Z314" s="1">
        <v>13</v>
      </c>
      <c r="AD314" s="1">
        <v>50</v>
      </c>
      <c r="AE314" s="1">
        <v>7.69</v>
      </c>
      <c r="AG314" s="1">
        <v>5.7</v>
      </c>
      <c r="AK314" s="1">
        <v>84</v>
      </c>
      <c r="AL314" s="1">
        <v>1188</v>
      </c>
      <c r="AR314" s="1">
        <v>63.4</v>
      </c>
      <c r="AT314" s="1">
        <v>5.7085999999999997</v>
      </c>
      <c r="AU314" s="1">
        <v>11.216699999999999</v>
      </c>
      <c r="AV314" s="1">
        <v>31.585950000000004</v>
      </c>
      <c r="AW314" s="1">
        <v>25.371640000000003</v>
      </c>
      <c r="AX314" s="1">
        <v>64.867500000000007</v>
      </c>
      <c r="AY314" s="1">
        <v>0.9</v>
      </c>
    </row>
    <row r="315" spans="4:51" x14ac:dyDescent="0.3">
      <c r="D315" s="2">
        <f t="shared" si="16"/>
        <v>1993</v>
      </c>
      <c r="E315" s="2">
        <f t="shared" si="17"/>
        <v>8</v>
      </c>
      <c r="F315" s="3" t="s">
        <v>179</v>
      </c>
      <c r="G315" s="4">
        <v>34197</v>
      </c>
      <c r="H315" s="1">
        <v>6606238</v>
      </c>
      <c r="I315" s="1">
        <v>661152</v>
      </c>
      <c r="J315" s="5" t="s">
        <v>176</v>
      </c>
      <c r="K315" s="1"/>
      <c r="L315" s="1" t="str">
        <f t="shared" si="18"/>
        <v xml:space="preserve">Oxundaån </v>
      </c>
      <c r="M315" s="1" t="s">
        <v>177</v>
      </c>
      <c r="N315" s="1">
        <v>0.5</v>
      </c>
      <c r="O315" s="1">
        <v>0.5</v>
      </c>
      <c r="Q315" s="1">
        <v>18.600000000000001</v>
      </c>
      <c r="R315" s="1">
        <v>10.23</v>
      </c>
      <c r="T315" s="1">
        <v>48.1</v>
      </c>
      <c r="V315" s="1">
        <v>2.5129999999999999</v>
      </c>
      <c r="W315" s="1">
        <v>13</v>
      </c>
      <c r="X315" s="1">
        <f t="shared" si="19"/>
        <v>0.68128828494278515</v>
      </c>
      <c r="Y315" s="1">
        <v>0.04</v>
      </c>
      <c r="Z315" s="1">
        <v>26</v>
      </c>
      <c r="AD315" s="1">
        <v>5</v>
      </c>
      <c r="AE315" s="1">
        <v>8.19</v>
      </c>
      <c r="AG315" s="1">
        <v>4.9000000000000004</v>
      </c>
      <c r="AK315" s="1">
        <v>93</v>
      </c>
      <c r="AL315" s="1">
        <v>1413</v>
      </c>
      <c r="AR315" s="1">
        <v>58.56</v>
      </c>
      <c r="AT315" s="1">
        <v>5.5522</v>
      </c>
      <c r="AU315" s="1">
        <v>10.321299999999999</v>
      </c>
      <c r="AV315" s="1">
        <v>30.522450000000003</v>
      </c>
      <c r="AW315" s="1">
        <v>23.811720000000001</v>
      </c>
      <c r="AX315" s="1">
        <v>61.600099999999998</v>
      </c>
      <c r="AY315" s="1">
        <v>0.4</v>
      </c>
    </row>
    <row r="316" spans="4:51" x14ac:dyDescent="0.3">
      <c r="D316" s="2">
        <f t="shared" si="16"/>
        <v>1993</v>
      </c>
      <c r="E316" s="2">
        <f t="shared" si="17"/>
        <v>9</v>
      </c>
      <c r="F316" s="3"/>
      <c r="G316" s="4">
        <v>34227</v>
      </c>
      <c r="H316" s="1">
        <v>6606238</v>
      </c>
      <c r="I316" s="1">
        <v>661152</v>
      </c>
      <c r="J316" s="5" t="s">
        <v>176</v>
      </c>
      <c r="K316" s="1"/>
      <c r="L316" s="1" t="str">
        <f t="shared" si="18"/>
        <v xml:space="preserve">Oxundaån </v>
      </c>
      <c r="M316" s="1" t="s">
        <v>177</v>
      </c>
      <c r="N316" s="1">
        <v>0.5</v>
      </c>
      <c r="O316" s="1">
        <v>0.5</v>
      </c>
      <c r="Q316" s="1">
        <v>11.8</v>
      </c>
      <c r="R316" s="1">
        <v>8.93</v>
      </c>
      <c r="T316" s="1">
        <v>47.8</v>
      </c>
      <c r="V316" s="1">
        <v>2.4470000000000001</v>
      </c>
      <c r="W316" s="1">
        <v>17</v>
      </c>
      <c r="X316" s="1">
        <f t="shared" si="19"/>
        <v>0.29003211253250394</v>
      </c>
      <c r="Y316" s="1">
        <v>4.2999999999999997E-2</v>
      </c>
      <c r="Z316" s="1">
        <v>16</v>
      </c>
      <c r="AD316" s="1">
        <v>10</v>
      </c>
      <c r="AE316" s="1">
        <v>7.91</v>
      </c>
      <c r="AG316" s="1">
        <v>7</v>
      </c>
      <c r="AK316" s="1">
        <v>70</v>
      </c>
      <c r="AL316" s="1">
        <v>819</v>
      </c>
      <c r="AR316" s="1">
        <v>55.919999999999995</v>
      </c>
      <c r="AT316" s="1">
        <v>5.2394000000000007</v>
      </c>
      <c r="AU316" s="1">
        <v>10.0672</v>
      </c>
      <c r="AV316" s="1">
        <v>31.125100000000003</v>
      </c>
      <c r="AW316" s="1">
        <v>23.651139999999998</v>
      </c>
      <c r="AX316" s="1">
        <v>59.966399999999993</v>
      </c>
      <c r="AY316" s="1">
        <v>0.3</v>
      </c>
    </row>
    <row r="317" spans="4:51" x14ac:dyDescent="0.3">
      <c r="D317" s="2">
        <f t="shared" si="16"/>
        <v>1993</v>
      </c>
      <c r="E317" s="2">
        <f t="shared" si="17"/>
        <v>10</v>
      </c>
      <c r="F317" s="3" t="s">
        <v>180</v>
      </c>
      <c r="G317" s="4">
        <v>34256</v>
      </c>
      <c r="H317" s="1">
        <v>6606238</v>
      </c>
      <c r="I317" s="1">
        <v>661152</v>
      </c>
      <c r="J317" s="5" t="s">
        <v>176</v>
      </c>
      <c r="K317" s="1"/>
      <c r="L317" s="1" t="str">
        <f t="shared" si="18"/>
        <v xml:space="preserve">Oxundaån </v>
      </c>
      <c r="M317" s="1" t="s">
        <v>177</v>
      </c>
      <c r="N317" s="1">
        <v>0.5</v>
      </c>
      <c r="O317" s="1">
        <v>0.5</v>
      </c>
      <c r="Q317" s="1">
        <v>8.9</v>
      </c>
      <c r="R317" s="1">
        <v>8.35</v>
      </c>
      <c r="T317" s="1">
        <v>48.4</v>
      </c>
      <c r="V317" s="1">
        <v>2.4510000000000001</v>
      </c>
      <c r="W317" s="1">
        <v>33</v>
      </c>
      <c r="X317" s="1">
        <f t="shared" si="19"/>
        <v>0.30579990681413816</v>
      </c>
      <c r="Y317" s="1">
        <v>0.04</v>
      </c>
      <c r="Z317" s="1">
        <v>12</v>
      </c>
      <c r="AD317" s="1">
        <v>27</v>
      </c>
      <c r="AE317" s="1">
        <v>7.74</v>
      </c>
      <c r="AG317" s="1">
        <v>6.3</v>
      </c>
      <c r="AK317" s="1">
        <v>87</v>
      </c>
      <c r="AL317" s="1">
        <v>961</v>
      </c>
      <c r="AR317" s="1">
        <v>60.599999999999994</v>
      </c>
      <c r="AT317" s="1">
        <v>5.7085999999999997</v>
      </c>
      <c r="AU317" s="1">
        <v>10.127699999999999</v>
      </c>
      <c r="AV317" s="1">
        <v>31.798650000000002</v>
      </c>
      <c r="AW317" s="1">
        <v>23.628200000000003</v>
      </c>
      <c r="AX317" s="1">
        <v>61.359849999999994</v>
      </c>
      <c r="AY317" s="1">
        <v>0.4</v>
      </c>
    </row>
    <row r="318" spans="4:51" x14ac:dyDescent="0.3">
      <c r="D318" s="2">
        <f t="shared" si="16"/>
        <v>1993</v>
      </c>
      <c r="E318" s="2">
        <f t="shared" si="17"/>
        <v>11</v>
      </c>
      <c r="F318" s="3" t="s">
        <v>180</v>
      </c>
      <c r="G318" s="4">
        <v>34288</v>
      </c>
      <c r="H318" s="1">
        <v>6606238</v>
      </c>
      <c r="I318" s="1">
        <v>661152</v>
      </c>
      <c r="J318" s="5" t="s">
        <v>176</v>
      </c>
      <c r="K318" s="1"/>
      <c r="L318" s="1" t="str">
        <f t="shared" si="18"/>
        <v xml:space="preserve">Oxundaån </v>
      </c>
      <c r="M318" s="1" t="s">
        <v>177</v>
      </c>
      <c r="N318" s="1">
        <v>0.5</v>
      </c>
      <c r="O318" s="1">
        <v>0.5</v>
      </c>
      <c r="Q318" s="1">
        <v>2.8</v>
      </c>
      <c r="R318" s="1">
        <v>11.45</v>
      </c>
      <c r="T318" s="1">
        <v>49.4</v>
      </c>
      <c r="V318" s="1">
        <v>2.4550000000000001</v>
      </c>
      <c r="W318" s="1">
        <v>55</v>
      </c>
      <c r="X318" s="1">
        <f t="shared" si="19"/>
        <v>0.34250032896751859</v>
      </c>
      <c r="Y318" s="1">
        <v>6.3E-2</v>
      </c>
      <c r="Z318" s="1">
        <v>19</v>
      </c>
      <c r="AD318" s="1">
        <v>156</v>
      </c>
      <c r="AE318" s="1">
        <v>7.78</v>
      </c>
      <c r="AG318" s="1">
        <v>2.4</v>
      </c>
      <c r="AK318" s="1">
        <v>82</v>
      </c>
      <c r="AL318" s="1">
        <v>808</v>
      </c>
      <c r="AR318" s="1">
        <v>61.879999999999995</v>
      </c>
      <c r="AT318" s="1">
        <v>5.7477</v>
      </c>
      <c r="AU318" s="1">
        <v>10.769</v>
      </c>
      <c r="AV318" s="1">
        <v>32.153150000000004</v>
      </c>
      <c r="AW318" s="1">
        <v>25.417520000000003</v>
      </c>
      <c r="AX318" s="1">
        <v>61.696199999999997</v>
      </c>
      <c r="AY318" s="1">
        <v>0.8</v>
      </c>
    </row>
    <row r="319" spans="4:51" x14ac:dyDescent="0.3">
      <c r="D319" s="2">
        <f t="shared" si="16"/>
        <v>1993</v>
      </c>
      <c r="E319" s="2">
        <f t="shared" si="17"/>
        <v>12</v>
      </c>
      <c r="F319" s="3" t="s">
        <v>175</v>
      </c>
      <c r="G319" s="4">
        <v>34318</v>
      </c>
      <c r="H319" s="1">
        <v>6606238</v>
      </c>
      <c r="I319" s="1">
        <v>661152</v>
      </c>
      <c r="J319" s="5" t="s">
        <v>176</v>
      </c>
      <c r="K319" s="1"/>
      <c r="L319" s="1" t="str">
        <f t="shared" si="18"/>
        <v xml:space="preserve">Oxundaån </v>
      </c>
      <c r="M319" s="1" t="s">
        <v>177</v>
      </c>
      <c r="N319" s="1">
        <v>0.5</v>
      </c>
      <c r="O319" s="1">
        <v>0.5</v>
      </c>
      <c r="Q319" s="1">
        <v>1.2</v>
      </c>
      <c r="R319" s="1">
        <v>10.8</v>
      </c>
      <c r="T319" s="1">
        <v>51.6</v>
      </c>
      <c r="V319" s="1">
        <v>2.5259999999999998</v>
      </c>
      <c r="W319" s="1">
        <v>100</v>
      </c>
      <c r="X319" s="1">
        <f t="shared" si="19"/>
        <v>0.48662918617741807</v>
      </c>
      <c r="Y319" s="1">
        <v>5.8000000000000003E-2</v>
      </c>
      <c r="Z319" s="1">
        <v>17</v>
      </c>
      <c r="AD319" s="1">
        <v>375</v>
      </c>
      <c r="AE319" s="1">
        <v>7.73</v>
      </c>
      <c r="AG319" s="1">
        <v>2.8</v>
      </c>
      <c r="AK319" s="1">
        <v>48</v>
      </c>
      <c r="AL319" s="1">
        <v>1097</v>
      </c>
      <c r="AR319" s="1">
        <v>63.64</v>
      </c>
      <c r="AT319" s="1">
        <v>6.0213999999999999</v>
      </c>
      <c r="AU319" s="1">
        <v>11.6281</v>
      </c>
      <c r="AV319" s="1">
        <v>33.287550000000003</v>
      </c>
      <c r="AW319" s="1">
        <v>25.66986</v>
      </c>
      <c r="AX319" s="1">
        <v>70.008849999999995</v>
      </c>
      <c r="AY319" s="1">
        <v>1.3</v>
      </c>
    </row>
    <row r="320" spans="4:51" x14ac:dyDescent="0.3">
      <c r="D320" s="2">
        <f t="shared" si="16"/>
        <v>1994</v>
      </c>
      <c r="E320" s="2">
        <f t="shared" si="17"/>
        <v>1</v>
      </c>
      <c r="F320" s="3" t="s">
        <v>175</v>
      </c>
      <c r="G320" s="4">
        <v>34351</v>
      </c>
      <c r="H320" s="1">
        <v>6606238</v>
      </c>
      <c r="I320" s="1">
        <v>661152</v>
      </c>
      <c r="J320" s="5" t="s">
        <v>176</v>
      </c>
      <c r="K320" s="1"/>
      <c r="L320" s="1" t="str">
        <f t="shared" si="18"/>
        <v xml:space="preserve">Oxundaån </v>
      </c>
      <c r="M320" s="1" t="s">
        <v>177</v>
      </c>
      <c r="N320" s="1">
        <v>0.5</v>
      </c>
      <c r="O320" s="1">
        <v>0.5</v>
      </c>
      <c r="Q320" s="1">
        <v>0.9</v>
      </c>
      <c r="R320" s="1">
        <v>9.5500000000000007</v>
      </c>
      <c r="T320" s="1">
        <v>49.9</v>
      </c>
      <c r="V320" s="1">
        <v>2.3610000000000002</v>
      </c>
      <c r="W320" s="1">
        <v>109</v>
      </c>
      <c r="X320" s="1">
        <f t="shared" si="19"/>
        <v>0.19278874366108081</v>
      </c>
      <c r="Y320" s="1">
        <v>6.3E-2</v>
      </c>
      <c r="Z320" s="1">
        <v>40</v>
      </c>
      <c r="AD320" s="1">
        <v>1326</v>
      </c>
      <c r="AE320" s="1">
        <v>7.3</v>
      </c>
      <c r="AG320" s="1">
        <v>8.5</v>
      </c>
      <c r="AK320" s="1">
        <v>62</v>
      </c>
      <c r="AL320" s="1">
        <v>1689</v>
      </c>
      <c r="AR320" s="1">
        <v>61.44</v>
      </c>
      <c r="AT320" s="1">
        <v>5.9040999999999997</v>
      </c>
      <c r="AU320" s="1">
        <v>11.0352</v>
      </c>
      <c r="AV320" s="1">
        <v>31.621400000000005</v>
      </c>
      <c r="AW320" s="1">
        <v>24.33934</v>
      </c>
      <c r="AX320" s="1">
        <v>67.846599999999995</v>
      </c>
      <c r="AY320" s="1">
        <v>3.3</v>
      </c>
    </row>
    <row r="321" spans="4:51" x14ac:dyDescent="0.3">
      <c r="D321" s="2">
        <f t="shared" si="16"/>
        <v>1994</v>
      </c>
      <c r="E321" s="2">
        <f t="shared" si="17"/>
        <v>2</v>
      </c>
      <c r="F321" s="3" t="s">
        <v>175</v>
      </c>
      <c r="G321" s="4">
        <v>34379</v>
      </c>
      <c r="H321" s="1">
        <v>6606238</v>
      </c>
      <c r="I321" s="1">
        <v>661152</v>
      </c>
      <c r="J321" s="5" t="s">
        <v>176</v>
      </c>
      <c r="K321" s="1"/>
      <c r="L321" s="1" t="str">
        <f t="shared" si="18"/>
        <v xml:space="preserve">Oxundaån </v>
      </c>
      <c r="M321" s="1" t="s">
        <v>177</v>
      </c>
      <c r="N321" s="1">
        <v>0.5</v>
      </c>
      <c r="O321" s="1">
        <v>0.5</v>
      </c>
      <c r="Q321" s="1">
        <v>0.3</v>
      </c>
      <c r="R321" s="1">
        <v>9.17</v>
      </c>
      <c r="T321" s="1">
        <v>50.5</v>
      </c>
      <c r="V321" s="1">
        <v>2.302</v>
      </c>
      <c r="W321" s="1">
        <v>107</v>
      </c>
      <c r="X321" s="1">
        <f t="shared" si="19"/>
        <v>0.14301111105656863</v>
      </c>
      <c r="Y321" s="1">
        <v>7.1999999999999995E-2</v>
      </c>
      <c r="Z321" s="1">
        <v>29</v>
      </c>
      <c r="AD321" s="1">
        <v>1199</v>
      </c>
      <c r="AE321" s="1">
        <v>7.2</v>
      </c>
      <c r="AG321" s="1">
        <v>6.2</v>
      </c>
      <c r="AK321" s="1">
        <v>54</v>
      </c>
      <c r="AL321" s="1">
        <v>1619</v>
      </c>
      <c r="AR321" s="1">
        <v>60.679999999999993</v>
      </c>
      <c r="AT321" s="1">
        <v>5.8650000000000002</v>
      </c>
      <c r="AU321" s="1">
        <v>11.494999999999999</v>
      </c>
      <c r="AV321" s="1">
        <v>30.557900000000004</v>
      </c>
      <c r="AW321" s="1">
        <v>23.513500000000001</v>
      </c>
      <c r="AX321" s="1">
        <v>71.978899999999996</v>
      </c>
      <c r="AY321" s="1">
        <v>4.4000000000000004</v>
      </c>
    </row>
    <row r="322" spans="4:51" x14ac:dyDescent="0.3">
      <c r="D322" s="2">
        <f t="shared" ref="D322:D385" si="20">YEAR(G322)</f>
        <v>1994</v>
      </c>
      <c r="E322" s="2">
        <f t="shared" ref="E322:E385" si="21">MONTH(G322)</f>
        <v>3</v>
      </c>
      <c r="F322" s="3" t="s">
        <v>175</v>
      </c>
      <c r="G322" s="4">
        <v>34407</v>
      </c>
      <c r="H322" s="1">
        <v>6606238</v>
      </c>
      <c r="I322" s="1">
        <v>661152</v>
      </c>
      <c r="J322" s="5" t="s">
        <v>176</v>
      </c>
      <c r="K322" s="1"/>
      <c r="L322" s="1" t="str">
        <f t="shared" ref="L322:L385" si="22">CONCATENATE(J322," ",K322)</f>
        <v xml:space="preserve">Oxundaån </v>
      </c>
      <c r="M322" s="1" t="s">
        <v>177</v>
      </c>
      <c r="N322" s="1">
        <v>0.5</v>
      </c>
      <c r="O322" s="1">
        <v>0.5</v>
      </c>
      <c r="Q322" s="1">
        <v>2</v>
      </c>
      <c r="R322" s="1">
        <v>8.08</v>
      </c>
      <c r="T322" s="1">
        <v>49.6</v>
      </c>
      <c r="V322" s="1">
        <v>2.3559999999999999</v>
      </c>
      <c r="W322" s="1">
        <v>79</v>
      </c>
      <c r="X322" s="1">
        <f t="shared" ref="X322:X385" si="23">W322 * (1/((10^((0.0901821 + (2729.92 /(273.15 + Q322)))-AE322)+1)))</f>
        <v>0.13649725252318815</v>
      </c>
      <c r="Y322" s="1">
        <v>7.4999999999999997E-2</v>
      </c>
      <c r="Z322" s="1">
        <v>36</v>
      </c>
      <c r="AD322" s="1">
        <v>923</v>
      </c>
      <c r="AE322" s="1">
        <v>7.25</v>
      </c>
      <c r="AG322" s="1">
        <v>11.9</v>
      </c>
      <c r="AK322" s="1">
        <v>73</v>
      </c>
      <c r="AL322" s="1">
        <v>1806</v>
      </c>
      <c r="AR322" s="1">
        <v>60.4</v>
      </c>
      <c r="AT322" s="1">
        <v>5.9040999999999997</v>
      </c>
      <c r="AU322" s="1">
        <v>10.9747</v>
      </c>
      <c r="AV322" s="1">
        <v>31.798650000000002</v>
      </c>
      <c r="AW322" s="1">
        <v>24.499920000000003</v>
      </c>
      <c r="AX322" s="1">
        <v>64.43504999999999</v>
      </c>
      <c r="AY322" s="1">
        <v>3.8</v>
      </c>
    </row>
    <row r="323" spans="4:51" x14ac:dyDescent="0.3">
      <c r="D323" s="2">
        <f t="shared" si="20"/>
        <v>1994</v>
      </c>
      <c r="E323" s="2">
        <f t="shared" si="21"/>
        <v>4</v>
      </c>
      <c r="F323" s="3" t="s">
        <v>178</v>
      </c>
      <c r="G323" s="4">
        <v>34437</v>
      </c>
      <c r="H323" s="1">
        <v>6606238</v>
      </c>
      <c r="I323" s="1">
        <v>661152</v>
      </c>
      <c r="J323" s="5" t="s">
        <v>176</v>
      </c>
      <c r="K323" s="1"/>
      <c r="L323" s="1" t="str">
        <f t="shared" si="22"/>
        <v xml:space="preserve">Oxundaån </v>
      </c>
      <c r="M323" s="1" t="s">
        <v>177</v>
      </c>
      <c r="N323" s="1">
        <v>0.5</v>
      </c>
      <c r="O323" s="1">
        <v>0.5</v>
      </c>
      <c r="Q323" s="1">
        <v>5.8</v>
      </c>
      <c r="R323" s="1">
        <v>12.01</v>
      </c>
      <c r="T323" s="1">
        <v>42.5</v>
      </c>
      <c r="V323" s="1">
        <v>2.1619999999999999</v>
      </c>
      <c r="W323" s="1">
        <v>11</v>
      </c>
      <c r="X323" s="1">
        <f t="shared" si="23"/>
        <v>4.1989073644481144E-2</v>
      </c>
      <c r="Y323" s="1">
        <v>6.0999999999999999E-2</v>
      </c>
      <c r="Z323" s="1">
        <v>10</v>
      </c>
      <c r="AD323" s="1">
        <v>575</v>
      </c>
      <c r="AE323" s="1">
        <v>7.46</v>
      </c>
      <c r="AG323" s="1">
        <v>8.8000000000000007</v>
      </c>
      <c r="AK323" s="1">
        <v>55</v>
      </c>
      <c r="AL323" s="1">
        <v>1220</v>
      </c>
      <c r="AR323" s="1">
        <v>52.400000000000006</v>
      </c>
      <c r="AT323" s="1">
        <v>4.7702</v>
      </c>
      <c r="AU323" s="1">
        <v>9.0507999999999988</v>
      </c>
      <c r="AV323" s="1">
        <v>28.218200000000003</v>
      </c>
      <c r="AW323" s="1">
        <v>21.035980000000002</v>
      </c>
      <c r="AX323" s="1">
        <v>51.701799999999999</v>
      </c>
      <c r="AY323" s="1">
        <v>3.2</v>
      </c>
    </row>
    <row r="324" spans="4:51" x14ac:dyDescent="0.3">
      <c r="D324" s="2">
        <f t="shared" si="20"/>
        <v>1994</v>
      </c>
      <c r="E324" s="2">
        <f t="shared" si="21"/>
        <v>5</v>
      </c>
      <c r="F324" s="3" t="s">
        <v>178</v>
      </c>
      <c r="G324" s="4">
        <v>34471</v>
      </c>
      <c r="H324" s="1">
        <v>6606238</v>
      </c>
      <c r="I324" s="1">
        <v>661152</v>
      </c>
      <c r="J324" s="5" t="s">
        <v>176</v>
      </c>
      <c r="K324" s="1"/>
      <c r="L324" s="1" t="str">
        <f t="shared" si="22"/>
        <v xml:space="preserve">Oxundaån </v>
      </c>
      <c r="M324" s="1" t="s">
        <v>177</v>
      </c>
      <c r="N324" s="1">
        <v>0.5</v>
      </c>
      <c r="O324" s="1">
        <v>0.5</v>
      </c>
      <c r="Q324" s="1">
        <v>13</v>
      </c>
      <c r="R324" s="1">
        <v>12.11</v>
      </c>
      <c r="T324" s="1">
        <v>45.5</v>
      </c>
      <c r="V324" s="1">
        <v>2.3199999999999998</v>
      </c>
      <c r="W324" s="1">
        <v>10</v>
      </c>
      <c r="X324" s="1">
        <f t="shared" si="23"/>
        <v>0.66063845412983202</v>
      </c>
      <c r="Y324" s="1">
        <v>0.06</v>
      </c>
      <c r="Z324" s="1">
        <v>8</v>
      </c>
      <c r="AD324" s="1">
        <v>7</v>
      </c>
      <c r="AE324" s="1">
        <v>8.48</v>
      </c>
      <c r="AG324" s="1">
        <v>7.2</v>
      </c>
      <c r="AK324" s="1">
        <v>54</v>
      </c>
      <c r="AL324" s="1">
        <v>909</v>
      </c>
      <c r="AR324" s="1">
        <v>55.4</v>
      </c>
      <c r="AT324" s="1">
        <v>5.0439000000000007</v>
      </c>
      <c r="AU324" s="1">
        <v>9.5106000000000002</v>
      </c>
      <c r="AV324" s="1">
        <v>31.266900000000003</v>
      </c>
      <c r="AW324" s="1">
        <v>22.710599999999999</v>
      </c>
      <c r="AX324" s="1">
        <v>57.179499999999997</v>
      </c>
      <c r="AY324" s="1">
        <v>0.9</v>
      </c>
    </row>
    <row r="325" spans="4:51" x14ac:dyDescent="0.3">
      <c r="D325" s="2">
        <f t="shared" si="20"/>
        <v>1994</v>
      </c>
      <c r="E325" s="2">
        <f t="shared" si="21"/>
        <v>6</v>
      </c>
      <c r="F325" s="3"/>
      <c r="G325" s="4">
        <v>34499</v>
      </c>
      <c r="H325" s="1">
        <v>6606238</v>
      </c>
      <c r="I325" s="1">
        <v>661152</v>
      </c>
      <c r="J325" s="5" t="s">
        <v>176</v>
      </c>
      <c r="K325" s="1"/>
      <c r="L325" s="1" t="str">
        <f t="shared" si="22"/>
        <v xml:space="preserve">Oxundaån </v>
      </c>
      <c r="M325" s="1" t="s">
        <v>177</v>
      </c>
      <c r="N325" s="1">
        <v>0.5</v>
      </c>
      <c r="O325" s="1">
        <v>0.5</v>
      </c>
      <c r="Q325" s="1">
        <v>18.2</v>
      </c>
      <c r="R325" s="1">
        <v>9.19</v>
      </c>
      <c r="T325" s="1">
        <v>46.7</v>
      </c>
      <c r="V325" s="1">
        <v>2.4020000000000001</v>
      </c>
      <c r="W325" s="1">
        <v>12</v>
      </c>
      <c r="X325" s="1">
        <f t="shared" si="23"/>
        <v>0.39321588979752409</v>
      </c>
      <c r="Y325" s="1">
        <v>4.7E-2</v>
      </c>
      <c r="Z325" s="1">
        <v>7</v>
      </c>
      <c r="AD325" s="1">
        <v>4</v>
      </c>
      <c r="AE325" s="1">
        <v>7.99</v>
      </c>
      <c r="AG325" s="1">
        <v>5.5</v>
      </c>
      <c r="AK325" s="1">
        <v>45</v>
      </c>
      <c r="AL325" s="1">
        <v>789</v>
      </c>
      <c r="AR325" s="1">
        <v>56.559999999999995</v>
      </c>
      <c r="AT325" s="1">
        <v>5.2003000000000004</v>
      </c>
      <c r="AU325" s="1">
        <v>9.8131000000000004</v>
      </c>
      <c r="AV325" s="1">
        <v>32.294950000000007</v>
      </c>
      <c r="AW325" s="1">
        <v>22.572960000000002</v>
      </c>
      <c r="AX325" s="1">
        <v>56.747050000000002</v>
      </c>
      <c r="AY325" s="1">
        <v>0.4</v>
      </c>
    </row>
    <row r="326" spans="4:51" x14ac:dyDescent="0.3">
      <c r="D326" s="2">
        <f t="shared" si="20"/>
        <v>1994</v>
      </c>
      <c r="E326" s="2">
        <f t="shared" si="21"/>
        <v>7</v>
      </c>
      <c r="F326" s="3" t="s">
        <v>179</v>
      </c>
      <c r="G326" s="4">
        <v>34529</v>
      </c>
      <c r="H326" s="1">
        <v>6606238</v>
      </c>
      <c r="I326" s="1">
        <v>661152</v>
      </c>
      <c r="J326" s="5" t="s">
        <v>176</v>
      </c>
      <c r="K326" s="1"/>
      <c r="L326" s="1" t="str">
        <f t="shared" si="22"/>
        <v xml:space="preserve">Oxundaån </v>
      </c>
      <c r="M326" s="1" t="s">
        <v>177</v>
      </c>
      <c r="N326" s="1">
        <v>0.5</v>
      </c>
      <c r="O326" s="1">
        <v>0.5</v>
      </c>
      <c r="Q326" s="1">
        <v>24.5</v>
      </c>
      <c r="R326" s="1">
        <v>12.16</v>
      </c>
      <c r="T326" s="1">
        <v>43.1</v>
      </c>
      <c r="V326" s="1">
        <v>2.0779999999999998</v>
      </c>
      <c r="W326" s="1">
        <v>14</v>
      </c>
      <c r="X326" s="1">
        <f t="shared" si="23"/>
        <v>3.6555202735069745</v>
      </c>
      <c r="Y326" s="1">
        <v>5.8000000000000003E-2</v>
      </c>
      <c r="Z326" s="1">
        <v>8</v>
      </c>
      <c r="AD326" s="1">
        <v>13</v>
      </c>
      <c r="AE326" s="1">
        <v>8.81</v>
      </c>
      <c r="AG326" s="1">
        <v>4.0999999999999996</v>
      </c>
      <c r="AK326" s="1">
        <v>48</v>
      </c>
      <c r="AL326" s="1">
        <v>1034</v>
      </c>
      <c r="AR326" s="1">
        <v>49.519999999999996</v>
      </c>
      <c r="AT326" s="1">
        <v>5.3567000000000009</v>
      </c>
      <c r="AU326" s="1">
        <v>9.9945999999999984</v>
      </c>
      <c r="AV326" s="1">
        <v>32.01135</v>
      </c>
      <c r="AW326" s="1">
        <v>23.0547</v>
      </c>
      <c r="AX326" s="1">
        <v>53.623800000000003</v>
      </c>
      <c r="AY326" s="1">
        <v>0.9</v>
      </c>
    </row>
    <row r="327" spans="4:51" x14ac:dyDescent="0.3">
      <c r="D327" s="2">
        <f t="shared" si="20"/>
        <v>1994</v>
      </c>
      <c r="E327" s="2">
        <f t="shared" si="21"/>
        <v>8</v>
      </c>
      <c r="F327" s="3" t="s">
        <v>179</v>
      </c>
      <c r="G327" s="4">
        <v>34561</v>
      </c>
      <c r="H327" s="1">
        <v>6606238</v>
      </c>
      <c r="I327" s="1">
        <v>661152</v>
      </c>
      <c r="J327" s="5" t="s">
        <v>176</v>
      </c>
      <c r="K327" s="1"/>
      <c r="L327" s="1" t="str">
        <f t="shared" si="22"/>
        <v xml:space="preserve">Oxundaån </v>
      </c>
      <c r="M327" s="1" t="s">
        <v>177</v>
      </c>
      <c r="N327" s="1">
        <v>0.5</v>
      </c>
      <c r="O327" s="1">
        <v>0.5</v>
      </c>
      <c r="Q327" s="1">
        <v>17.600000000000001</v>
      </c>
      <c r="R327" s="1">
        <v>3.41</v>
      </c>
      <c r="T327" s="1">
        <v>44.4</v>
      </c>
      <c r="V327" s="1">
        <v>2.141</v>
      </c>
      <c r="W327" s="1">
        <v>146</v>
      </c>
      <c r="X327" s="1">
        <f t="shared" si="23"/>
        <v>1.6594777527845646</v>
      </c>
      <c r="Y327" s="1">
        <v>3.5999999999999997E-2</v>
      </c>
      <c r="Z327" s="1">
        <v>103</v>
      </c>
      <c r="AD327" s="1">
        <v>20</v>
      </c>
      <c r="AE327" s="1">
        <v>7.54</v>
      </c>
      <c r="AG327" s="1">
        <v>7.2</v>
      </c>
      <c r="AK327" s="1">
        <v>172</v>
      </c>
      <c r="AL327" s="1">
        <v>1271</v>
      </c>
      <c r="AR327" s="1">
        <v>50.279999999999994</v>
      </c>
      <c r="AT327" s="1">
        <v>5.6303999999999998</v>
      </c>
      <c r="AU327" s="1">
        <v>10.4544</v>
      </c>
      <c r="AV327" s="1">
        <v>31.798650000000002</v>
      </c>
      <c r="AW327" s="1">
        <v>24.545800000000003</v>
      </c>
      <c r="AX327" s="1">
        <v>51.269349999999996</v>
      </c>
      <c r="AY327" s="1">
        <v>2.5</v>
      </c>
    </row>
    <row r="328" spans="4:51" x14ac:dyDescent="0.3">
      <c r="D328" s="2">
        <f t="shared" si="20"/>
        <v>1994</v>
      </c>
      <c r="E328" s="2">
        <f t="shared" si="21"/>
        <v>9</v>
      </c>
      <c r="F328" s="3"/>
      <c r="G328" s="4">
        <v>34590</v>
      </c>
      <c r="H328" s="1">
        <v>6606238</v>
      </c>
      <c r="I328" s="1">
        <v>661152</v>
      </c>
      <c r="J328" s="5" t="s">
        <v>176</v>
      </c>
      <c r="K328" s="1"/>
      <c r="L328" s="1" t="str">
        <f t="shared" si="22"/>
        <v xml:space="preserve">Oxundaån </v>
      </c>
      <c r="M328" s="1" t="s">
        <v>177</v>
      </c>
      <c r="N328" s="1">
        <v>0.5</v>
      </c>
      <c r="O328" s="1">
        <v>0.5</v>
      </c>
      <c r="Q328" s="1">
        <v>14.8</v>
      </c>
      <c r="R328" s="1">
        <v>8.7799999999999994</v>
      </c>
      <c r="T328" s="1">
        <v>42.5</v>
      </c>
      <c r="V328" s="1">
        <v>2.206</v>
      </c>
      <c r="W328" s="1">
        <v>8</v>
      </c>
      <c r="X328" s="1">
        <f t="shared" si="23"/>
        <v>0.14934442303298559</v>
      </c>
      <c r="Y328" s="1">
        <v>3.3000000000000002E-2</v>
      </c>
      <c r="Z328" s="1">
        <v>45</v>
      </c>
      <c r="AD328" s="1">
        <v>17</v>
      </c>
      <c r="AE328" s="1">
        <v>7.85</v>
      </c>
      <c r="AG328" s="1">
        <v>7.9</v>
      </c>
      <c r="AK328" s="1">
        <v>138</v>
      </c>
      <c r="AL328" s="1">
        <v>1141</v>
      </c>
      <c r="AR328" s="1">
        <v>49.400000000000006</v>
      </c>
      <c r="AT328" s="1">
        <v>4.8483999999999998</v>
      </c>
      <c r="AU328" s="1">
        <v>9.4016999999999999</v>
      </c>
      <c r="AV328" s="1">
        <v>28.749950000000005</v>
      </c>
      <c r="AW328" s="1">
        <v>21.471840000000004</v>
      </c>
      <c r="AX328" s="1">
        <v>48.482449999999993</v>
      </c>
      <c r="AY328" s="1">
        <v>1.6</v>
      </c>
    </row>
    <row r="329" spans="4:51" x14ac:dyDescent="0.3">
      <c r="D329" s="2">
        <f t="shared" si="20"/>
        <v>1994</v>
      </c>
      <c r="E329" s="2">
        <f t="shared" si="21"/>
        <v>10</v>
      </c>
      <c r="F329" s="3" t="s">
        <v>180</v>
      </c>
      <c r="G329" s="4">
        <v>34625</v>
      </c>
      <c r="H329" s="1">
        <v>6606238</v>
      </c>
      <c r="I329" s="1">
        <v>661152</v>
      </c>
      <c r="J329" s="5" t="s">
        <v>176</v>
      </c>
      <c r="K329" s="1"/>
      <c r="L329" s="1" t="str">
        <f t="shared" si="22"/>
        <v xml:space="preserve">Oxundaån </v>
      </c>
      <c r="M329" s="1" t="s">
        <v>177</v>
      </c>
      <c r="N329" s="1">
        <v>0.5</v>
      </c>
      <c r="O329" s="1">
        <v>0.5</v>
      </c>
      <c r="Q329" s="1">
        <v>6.2</v>
      </c>
      <c r="R329" s="1">
        <v>9.98</v>
      </c>
      <c r="T329" s="1">
        <v>42.3</v>
      </c>
      <c r="V329" s="1">
        <v>2.1789999999999998</v>
      </c>
      <c r="W329" s="1">
        <v>15</v>
      </c>
      <c r="X329" s="1">
        <f t="shared" si="23"/>
        <v>0.12875526764805995</v>
      </c>
      <c r="Y329" s="1">
        <v>3.6999999999999998E-2</v>
      </c>
      <c r="Z329" s="1">
        <v>25</v>
      </c>
      <c r="AD329" s="1">
        <v>183</v>
      </c>
      <c r="AE329" s="1">
        <v>7.8</v>
      </c>
      <c r="AG329" s="1">
        <v>6.1</v>
      </c>
      <c r="AK329" s="1">
        <v>76</v>
      </c>
      <c r="AL329" s="1">
        <v>1275</v>
      </c>
      <c r="AR329" s="1">
        <v>50.16</v>
      </c>
      <c r="AT329" s="1">
        <v>4.6528999999999998</v>
      </c>
      <c r="AU329" s="1">
        <v>8.8330000000000002</v>
      </c>
      <c r="AV329" s="1">
        <v>23.893300000000004</v>
      </c>
      <c r="AW329" s="1">
        <v>21.150680000000001</v>
      </c>
      <c r="AX329" s="1">
        <v>49.395399999999995</v>
      </c>
      <c r="AY329" s="1">
        <v>2.1</v>
      </c>
    </row>
    <row r="330" spans="4:51" x14ac:dyDescent="0.3">
      <c r="D330" s="2">
        <f t="shared" si="20"/>
        <v>1994</v>
      </c>
      <c r="E330" s="2">
        <f t="shared" si="21"/>
        <v>11</v>
      </c>
      <c r="F330" s="3" t="s">
        <v>180</v>
      </c>
      <c r="G330" s="4">
        <v>34654</v>
      </c>
      <c r="H330" s="1">
        <v>6606238</v>
      </c>
      <c r="I330" s="1">
        <v>661152</v>
      </c>
      <c r="J330" s="5" t="s">
        <v>176</v>
      </c>
      <c r="K330" s="1"/>
      <c r="L330" s="1" t="str">
        <f t="shared" si="22"/>
        <v xml:space="preserve">Oxundaån </v>
      </c>
      <c r="M330" s="1" t="s">
        <v>177</v>
      </c>
      <c r="N330" s="1">
        <v>0.5</v>
      </c>
      <c r="O330" s="1">
        <v>0.5</v>
      </c>
      <c r="Q330" s="1">
        <v>3.2</v>
      </c>
      <c r="R330" s="1">
        <v>10.39</v>
      </c>
      <c r="T330" s="1">
        <v>44.5</v>
      </c>
      <c r="V330" s="1">
        <v>2.2909999999999999</v>
      </c>
      <c r="W330" s="1">
        <v>31</v>
      </c>
      <c r="X330" s="1">
        <f t="shared" si="23"/>
        <v>0.16609593032928438</v>
      </c>
      <c r="Y330" s="1">
        <v>4.1000000000000002E-2</v>
      </c>
      <c r="Z330" s="1">
        <v>19</v>
      </c>
      <c r="AD330" s="1">
        <v>275</v>
      </c>
      <c r="AE330" s="1">
        <v>7.7</v>
      </c>
      <c r="AG330" s="1">
        <v>4.0999999999999996</v>
      </c>
      <c r="AK330" s="1">
        <v>43</v>
      </c>
      <c r="AL330" s="1">
        <v>983</v>
      </c>
      <c r="AR330" s="1">
        <v>53.92</v>
      </c>
      <c r="AT330" s="1">
        <v>5.0048000000000004</v>
      </c>
      <c r="AU330" s="1">
        <v>9.4984999999999999</v>
      </c>
      <c r="AV330" s="1">
        <v>30.876950000000001</v>
      </c>
      <c r="AW330" s="1">
        <v>21.93064</v>
      </c>
      <c r="AX330" s="1">
        <v>58.524899999999995</v>
      </c>
      <c r="AY330" s="1">
        <v>2.5</v>
      </c>
    </row>
    <row r="331" spans="4:51" x14ac:dyDescent="0.3">
      <c r="D331" s="2">
        <f t="shared" si="20"/>
        <v>1994</v>
      </c>
      <c r="E331" s="2">
        <f t="shared" si="21"/>
        <v>12</v>
      </c>
      <c r="F331" s="3" t="s">
        <v>175</v>
      </c>
      <c r="G331" s="4">
        <v>34682</v>
      </c>
      <c r="H331" s="1">
        <v>6606238</v>
      </c>
      <c r="I331" s="1">
        <v>661152</v>
      </c>
      <c r="J331" s="5" t="s">
        <v>176</v>
      </c>
      <c r="K331" s="1"/>
      <c r="L331" s="1" t="str">
        <f t="shared" si="22"/>
        <v xml:space="preserve">Oxundaån </v>
      </c>
      <c r="M331" s="1" t="s">
        <v>177</v>
      </c>
      <c r="N331" s="1">
        <v>0.5</v>
      </c>
      <c r="O331" s="1">
        <v>0.5</v>
      </c>
      <c r="Q331" s="1">
        <v>2.1</v>
      </c>
      <c r="R331" s="1">
        <v>10.16</v>
      </c>
      <c r="T331" s="1">
        <v>46.5</v>
      </c>
      <c r="V331" s="1">
        <v>2.286</v>
      </c>
      <c r="W331" s="1">
        <v>57</v>
      </c>
      <c r="X331" s="1">
        <f t="shared" si="23"/>
        <v>0.25455604348943217</v>
      </c>
      <c r="Y331" s="1">
        <v>0.04</v>
      </c>
      <c r="Z331" s="1">
        <v>18</v>
      </c>
      <c r="AD331" s="1">
        <v>387</v>
      </c>
      <c r="AE331" s="1">
        <v>7.66</v>
      </c>
      <c r="AG331" s="1">
        <v>5.9</v>
      </c>
      <c r="AK331" s="1">
        <v>36</v>
      </c>
      <c r="AL331" s="1">
        <v>1157</v>
      </c>
      <c r="AR331" s="1">
        <v>54.24</v>
      </c>
      <c r="AT331" s="1">
        <v>5.2785000000000002</v>
      </c>
      <c r="AU331" s="1">
        <v>9.9582999999999995</v>
      </c>
      <c r="AV331" s="1">
        <v>28.785400000000003</v>
      </c>
      <c r="AW331" s="1">
        <v>22.710599999999999</v>
      </c>
      <c r="AX331" s="1">
        <v>63.762349999999991</v>
      </c>
      <c r="AY331" s="1">
        <v>2.7</v>
      </c>
    </row>
    <row r="332" spans="4:51" x14ac:dyDescent="0.3">
      <c r="D332" s="2">
        <f t="shared" si="20"/>
        <v>1995</v>
      </c>
      <c r="E332" s="2">
        <f t="shared" si="21"/>
        <v>1</v>
      </c>
      <c r="F332" s="3" t="s">
        <v>175</v>
      </c>
      <c r="G332" s="4">
        <v>34716</v>
      </c>
      <c r="H332" s="1">
        <v>6606238</v>
      </c>
      <c r="I332" s="1">
        <v>661152</v>
      </c>
      <c r="J332" s="5" t="s">
        <v>176</v>
      </c>
      <c r="K332" s="1"/>
      <c r="L332" s="1" t="str">
        <f t="shared" si="22"/>
        <v xml:space="preserve">Oxundaån </v>
      </c>
      <c r="M332" s="1" t="s">
        <v>177</v>
      </c>
      <c r="N332" s="1">
        <v>0.5</v>
      </c>
      <c r="O332" s="1">
        <v>0.5</v>
      </c>
      <c r="Q332" s="1">
        <v>0.7</v>
      </c>
      <c r="R332" s="1">
        <v>10.45</v>
      </c>
      <c r="T332" s="1">
        <v>49.1</v>
      </c>
      <c r="V332" s="1">
        <v>2.2869999999999999</v>
      </c>
      <c r="W332" s="1">
        <v>53</v>
      </c>
      <c r="X332" s="1">
        <f t="shared" si="23"/>
        <v>0.11079393020540272</v>
      </c>
      <c r="Y332" s="1">
        <v>5.1999999999999998E-2</v>
      </c>
      <c r="Z332" s="1">
        <v>23</v>
      </c>
      <c r="AD332" s="1">
        <v>777</v>
      </c>
      <c r="AE332" s="1">
        <v>7.38</v>
      </c>
      <c r="AG332" s="1">
        <v>5.3</v>
      </c>
      <c r="AK332" s="1">
        <v>70</v>
      </c>
      <c r="AL332" s="1">
        <v>1420</v>
      </c>
      <c r="AR332" s="1">
        <v>58.56</v>
      </c>
      <c r="AT332" s="1">
        <v>5.7085999999999997</v>
      </c>
      <c r="AU332" s="1">
        <v>10.998900000000001</v>
      </c>
      <c r="AV332" s="1">
        <v>27.225600000000004</v>
      </c>
      <c r="AW332" s="1">
        <v>24.29346</v>
      </c>
      <c r="AX332" s="1">
        <v>69.191999999999993</v>
      </c>
      <c r="AY332" s="1">
        <v>3.55</v>
      </c>
    </row>
    <row r="333" spans="4:51" x14ac:dyDescent="0.3">
      <c r="D333" s="2">
        <f t="shared" si="20"/>
        <v>1995</v>
      </c>
      <c r="E333" s="2">
        <f t="shared" si="21"/>
        <v>2</v>
      </c>
      <c r="F333" s="3" t="s">
        <v>175</v>
      </c>
      <c r="G333" s="4">
        <v>34745</v>
      </c>
      <c r="H333" s="1">
        <v>6606238</v>
      </c>
      <c r="I333" s="1">
        <v>661152</v>
      </c>
      <c r="J333" s="5" t="s">
        <v>176</v>
      </c>
      <c r="K333" s="1"/>
      <c r="L333" s="1" t="str">
        <f t="shared" si="22"/>
        <v xml:space="preserve">Oxundaån </v>
      </c>
      <c r="M333" s="1" t="s">
        <v>177</v>
      </c>
      <c r="N333" s="1">
        <v>0.5</v>
      </c>
      <c r="O333" s="1">
        <v>0.5</v>
      </c>
      <c r="Q333" s="1">
        <v>1</v>
      </c>
      <c r="R333" s="1">
        <v>9.64</v>
      </c>
      <c r="T333" s="1">
        <v>48.1</v>
      </c>
      <c r="V333" s="1">
        <v>2.1970000000000001</v>
      </c>
      <c r="W333" s="1">
        <v>49</v>
      </c>
      <c r="X333" s="1">
        <f t="shared" si="23"/>
        <v>8.1569924575334837E-2</v>
      </c>
      <c r="Y333" s="1">
        <v>5.8000000000000003E-2</v>
      </c>
      <c r="Z333" s="1">
        <v>28</v>
      </c>
      <c r="AD333" s="1">
        <v>987</v>
      </c>
      <c r="AE333" s="1">
        <v>7.27</v>
      </c>
      <c r="AG333" s="1">
        <v>7.2</v>
      </c>
      <c r="AK333" s="1">
        <v>54</v>
      </c>
      <c r="AL333" s="1">
        <v>1679</v>
      </c>
      <c r="AR333" s="1">
        <v>57.64</v>
      </c>
      <c r="AT333" s="1">
        <v>5.5130999999999997</v>
      </c>
      <c r="AU333" s="1">
        <v>10.648</v>
      </c>
      <c r="AV333" s="1">
        <v>28.005500000000005</v>
      </c>
      <c r="AW333" s="1">
        <v>24.087000000000003</v>
      </c>
      <c r="AX333" s="1">
        <v>65.251900000000006</v>
      </c>
      <c r="AY333" s="1">
        <v>3.95</v>
      </c>
    </row>
    <row r="334" spans="4:51" x14ac:dyDescent="0.3">
      <c r="D334" s="2">
        <f t="shared" si="20"/>
        <v>1995</v>
      </c>
      <c r="E334" s="2">
        <f t="shared" si="21"/>
        <v>3</v>
      </c>
      <c r="F334" s="3" t="s">
        <v>175</v>
      </c>
      <c r="G334" s="4">
        <v>34774</v>
      </c>
      <c r="H334" s="1">
        <v>6606238</v>
      </c>
      <c r="I334" s="1">
        <v>661152</v>
      </c>
      <c r="J334" s="5" t="s">
        <v>176</v>
      </c>
      <c r="K334" s="1"/>
      <c r="L334" s="1" t="str">
        <f t="shared" si="22"/>
        <v xml:space="preserve">Oxundaån </v>
      </c>
      <c r="M334" s="1" t="s">
        <v>177</v>
      </c>
      <c r="N334" s="1">
        <v>0.5</v>
      </c>
      <c r="O334" s="1">
        <v>0.5</v>
      </c>
      <c r="Q334" s="1">
        <v>2.9</v>
      </c>
      <c r="R334" s="1">
        <v>10.56</v>
      </c>
      <c r="T334" s="1">
        <v>38.799999999999997</v>
      </c>
      <c r="V334" s="1">
        <v>1.738</v>
      </c>
      <c r="W334" s="1">
        <v>18</v>
      </c>
      <c r="X334" s="1">
        <f t="shared" si="23"/>
        <v>3.273985781582428E-2</v>
      </c>
      <c r="Y334" s="1">
        <v>7.4999999999999997E-2</v>
      </c>
      <c r="Z334" s="1">
        <v>36</v>
      </c>
      <c r="AD334" s="1">
        <v>1188</v>
      </c>
      <c r="AE334" s="1">
        <v>7.24</v>
      </c>
      <c r="AG334" s="1">
        <v>11.7</v>
      </c>
      <c r="AK334" s="1">
        <v>76</v>
      </c>
      <c r="AL334" s="1">
        <v>2063</v>
      </c>
      <c r="AR334" s="1">
        <v>45.519999999999996</v>
      </c>
      <c r="AT334" s="1">
        <v>4.6138000000000003</v>
      </c>
      <c r="AU334" s="1">
        <v>8.4457999999999984</v>
      </c>
      <c r="AV334" s="1">
        <v>22.758900000000004</v>
      </c>
      <c r="AW334" s="1">
        <v>18.397880000000001</v>
      </c>
      <c r="AX334" s="1">
        <v>52.278399999999998</v>
      </c>
      <c r="AY334" s="1">
        <v>4.9800000000000004</v>
      </c>
    </row>
    <row r="335" spans="4:51" x14ac:dyDescent="0.3">
      <c r="D335" s="2">
        <f t="shared" si="20"/>
        <v>1995</v>
      </c>
      <c r="E335" s="2">
        <f t="shared" si="21"/>
        <v>4</v>
      </c>
      <c r="F335" s="3" t="s">
        <v>178</v>
      </c>
      <c r="G335" s="4">
        <v>34808</v>
      </c>
      <c r="H335" s="1">
        <v>6606238</v>
      </c>
      <c r="I335" s="1">
        <v>661152</v>
      </c>
      <c r="J335" s="5" t="s">
        <v>176</v>
      </c>
      <c r="K335" s="1"/>
      <c r="L335" s="1" t="str">
        <f t="shared" si="22"/>
        <v xml:space="preserve">Oxundaån </v>
      </c>
      <c r="M335" s="1" t="s">
        <v>177</v>
      </c>
      <c r="N335" s="1">
        <v>0.5</v>
      </c>
      <c r="O335" s="1">
        <v>0.5</v>
      </c>
      <c r="Q335" s="1">
        <v>6.1</v>
      </c>
      <c r="R335" s="1">
        <v>10.75</v>
      </c>
      <c r="T335" s="1">
        <v>42.5</v>
      </c>
      <c r="V335" s="1">
        <v>2.1110000000000002</v>
      </c>
      <c r="W335" s="1">
        <v>18</v>
      </c>
      <c r="X335" s="1">
        <f t="shared" si="23"/>
        <v>0.17981682800239546</v>
      </c>
      <c r="Y335" s="1">
        <v>5.6000000000000001E-2</v>
      </c>
      <c r="Z335" s="1">
        <v>11</v>
      </c>
      <c r="AD335" s="1">
        <v>443</v>
      </c>
      <c r="AE335" s="1">
        <v>7.87</v>
      </c>
      <c r="AG335" s="1">
        <v>18.3</v>
      </c>
      <c r="AK335" s="1">
        <v>48</v>
      </c>
      <c r="AL335" s="1">
        <v>1181</v>
      </c>
      <c r="AR335" s="1">
        <v>51.319999999999993</v>
      </c>
      <c r="AT335" s="1">
        <v>4.5356000000000005</v>
      </c>
      <c r="AU335" s="1">
        <v>8.7482999999999986</v>
      </c>
      <c r="AV335" s="1">
        <v>29.38805</v>
      </c>
      <c r="AW335" s="1">
        <v>20.944220000000001</v>
      </c>
      <c r="AX335" s="1">
        <v>55.401649999999997</v>
      </c>
      <c r="AY335" s="1">
        <v>2.86</v>
      </c>
    </row>
    <row r="336" spans="4:51" x14ac:dyDescent="0.3">
      <c r="D336" s="2">
        <f t="shared" si="20"/>
        <v>1995</v>
      </c>
      <c r="E336" s="2">
        <f t="shared" si="21"/>
        <v>5</v>
      </c>
      <c r="F336" s="3" t="s">
        <v>178</v>
      </c>
      <c r="G336" s="4">
        <v>34834</v>
      </c>
      <c r="H336" s="1">
        <v>6606238</v>
      </c>
      <c r="I336" s="1">
        <v>661152</v>
      </c>
      <c r="J336" s="5" t="s">
        <v>176</v>
      </c>
      <c r="K336" s="1"/>
      <c r="L336" s="1" t="str">
        <f t="shared" si="22"/>
        <v xml:space="preserve">Oxundaån </v>
      </c>
      <c r="M336" s="1" t="s">
        <v>177</v>
      </c>
      <c r="N336" s="1">
        <v>0.5</v>
      </c>
      <c r="O336" s="1">
        <v>0.5</v>
      </c>
      <c r="Q336" s="1">
        <v>9</v>
      </c>
      <c r="R336" s="1">
        <v>10.14</v>
      </c>
      <c r="T336" s="1">
        <v>40.200000000000003</v>
      </c>
      <c r="V336" s="1">
        <v>1.9890000000000001</v>
      </c>
      <c r="W336" s="1">
        <v>16</v>
      </c>
      <c r="X336" s="1">
        <f t="shared" si="23"/>
        <v>0.15287884842995997</v>
      </c>
      <c r="Y336" s="1">
        <v>6.8000000000000005E-2</v>
      </c>
      <c r="Z336" s="1">
        <v>9</v>
      </c>
      <c r="AD336" s="1">
        <v>527</v>
      </c>
      <c r="AE336" s="1">
        <v>7.75</v>
      </c>
      <c r="AG336" s="1">
        <v>8.5</v>
      </c>
      <c r="AK336" s="1">
        <v>51</v>
      </c>
      <c r="AL336" s="1">
        <v>1006</v>
      </c>
      <c r="AR336" s="1">
        <v>48.760000000000005</v>
      </c>
      <c r="AT336" s="1">
        <v>4.5356000000000005</v>
      </c>
      <c r="AU336" s="1">
        <v>8.0222999999999995</v>
      </c>
      <c r="AV336" s="1">
        <v>26.445700000000002</v>
      </c>
      <c r="AW336" s="1">
        <v>19.315480000000001</v>
      </c>
      <c r="AX336" s="1">
        <v>48.05</v>
      </c>
      <c r="AY336" s="1">
        <v>2.19</v>
      </c>
    </row>
    <row r="337" spans="4:51" x14ac:dyDescent="0.3">
      <c r="D337" s="2">
        <f t="shared" si="20"/>
        <v>1995</v>
      </c>
      <c r="E337" s="2">
        <f t="shared" si="21"/>
        <v>6</v>
      </c>
      <c r="F337" s="3"/>
      <c r="G337" s="4">
        <v>34864</v>
      </c>
      <c r="H337" s="1">
        <v>6606238</v>
      </c>
      <c r="I337" s="1">
        <v>661152</v>
      </c>
      <c r="J337" s="5" t="s">
        <v>176</v>
      </c>
      <c r="K337" s="1"/>
      <c r="L337" s="1" t="str">
        <f t="shared" si="22"/>
        <v xml:space="preserve">Oxundaån </v>
      </c>
      <c r="M337" s="1" t="s">
        <v>177</v>
      </c>
      <c r="N337" s="1">
        <v>0.5</v>
      </c>
      <c r="O337" s="1">
        <v>0.5</v>
      </c>
      <c r="Q337" s="1">
        <v>18.2</v>
      </c>
      <c r="R337" s="1">
        <v>9.0299999999999994</v>
      </c>
      <c r="T337" s="1">
        <v>41.8</v>
      </c>
      <c r="V337" s="1">
        <v>2.089</v>
      </c>
      <c r="W337" s="1">
        <v>51</v>
      </c>
      <c r="X337" s="1">
        <f t="shared" si="23"/>
        <v>1.221685282303308</v>
      </c>
      <c r="Y337" s="1">
        <v>6.8000000000000005E-2</v>
      </c>
      <c r="Z337" s="1">
        <v>21</v>
      </c>
      <c r="AD337" s="1">
        <v>233</v>
      </c>
      <c r="AE337" s="1">
        <v>7.85</v>
      </c>
      <c r="AG337" s="1">
        <v>3.1</v>
      </c>
      <c r="AK337" s="1">
        <v>51</v>
      </c>
      <c r="AL337" s="1">
        <v>890</v>
      </c>
      <c r="AR337" s="1">
        <v>48.84</v>
      </c>
      <c r="AT337" s="1">
        <v>4.4574000000000007</v>
      </c>
      <c r="AU337" s="1">
        <v>8.2158999999999995</v>
      </c>
      <c r="AV337" s="1">
        <v>26.5166</v>
      </c>
      <c r="AW337" s="1">
        <v>19.43018</v>
      </c>
      <c r="AX337" s="1">
        <v>47.617549999999994</v>
      </c>
      <c r="AY337" s="1">
        <v>1.66</v>
      </c>
    </row>
    <row r="338" spans="4:51" x14ac:dyDescent="0.3">
      <c r="D338" s="2">
        <f t="shared" si="20"/>
        <v>1995</v>
      </c>
      <c r="E338" s="2">
        <f t="shared" si="21"/>
        <v>7</v>
      </c>
      <c r="F338" s="3" t="s">
        <v>179</v>
      </c>
      <c r="G338" s="4">
        <v>34898</v>
      </c>
      <c r="H338" s="1">
        <v>6606238</v>
      </c>
      <c r="I338" s="1">
        <v>661152</v>
      </c>
      <c r="J338" s="5" t="s">
        <v>176</v>
      </c>
      <c r="K338" s="1"/>
      <c r="L338" s="1" t="str">
        <f t="shared" si="22"/>
        <v xml:space="preserve">Oxundaån </v>
      </c>
      <c r="M338" s="1" t="s">
        <v>177</v>
      </c>
      <c r="N338" s="1">
        <v>0.5</v>
      </c>
      <c r="O338" s="1">
        <v>0.5</v>
      </c>
      <c r="Q338" s="1">
        <v>19.7</v>
      </c>
      <c r="R338" s="1">
        <v>7.66</v>
      </c>
      <c r="T338" s="1">
        <v>41.8</v>
      </c>
      <c r="V338" s="1">
        <v>2.129</v>
      </c>
      <c r="W338" s="1">
        <v>20</v>
      </c>
      <c r="X338" s="1">
        <f t="shared" si="23"/>
        <v>0.65243725441512401</v>
      </c>
      <c r="Y338" s="1">
        <v>0.06</v>
      </c>
      <c r="Z338" s="1">
        <v>17</v>
      </c>
      <c r="AD338" s="1">
        <v>23</v>
      </c>
      <c r="AE338" s="1">
        <v>7.94</v>
      </c>
      <c r="AG338" s="1">
        <v>9.5</v>
      </c>
      <c r="AK338" s="1">
        <v>60</v>
      </c>
      <c r="AL338" s="1">
        <v>910</v>
      </c>
      <c r="AR338" s="1">
        <v>51.04</v>
      </c>
      <c r="AT338" s="1">
        <v>4.6138000000000003</v>
      </c>
      <c r="AU338" s="1">
        <v>8.6514999999999986</v>
      </c>
      <c r="AV338" s="1">
        <v>29.67165</v>
      </c>
      <c r="AW338" s="1">
        <v>20.118380000000002</v>
      </c>
      <c r="AX338" s="1">
        <v>43.725499999999997</v>
      </c>
      <c r="AY338" s="1">
        <v>0.81</v>
      </c>
    </row>
    <row r="339" spans="4:51" x14ac:dyDescent="0.3">
      <c r="D339" s="2">
        <f t="shared" si="20"/>
        <v>1995</v>
      </c>
      <c r="E339" s="2">
        <f t="shared" si="21"/>
        <v>8</v>
      </c>
      <c r="F339" s="3" t="s">
        <v>179</v>
      </c>
      <c r="G339" s="4">
        <v>34927</v>
      </c>
      <c r="H339" s="1">
        <v>6606238</v>
      </c>
      <c r="I339" s="1">
        <v>661152</v>
      </c>
      <c r="J339" s="5" t="s">
        <v>176</v>
      </c>
      <c r="K339" s="1"/>
      <c r="L339" s="1" t="str">
        <f t="shared" si="22"/>
        <v xml:space="preserve">Oxundaån </v>
      </c>
      <c r="M339" s="1" t="s">
        <v>177</v>
      </c>
      <c r="N339" s="1">
        <v>0.5</v>
      </c>
      <c r="O339" s="1">
        <v>0.5</v>
      </c>
      <c r="Q339" s="1">
        <v>20.8</v>
      </c>
      <c r="R339" s="1">
        <v>10.35</v>
      </c>
      <c r="T339" s="1">
        <v>40.6</v>
      </c>
      <c r="V339" s="1">
        <v>2.1440000000000001</v>
      </c>
      <c r="W339" s="1">
        <v>24</v>
      </c>
      <c r="X339" s="1">
        <f t="shared" si="23"/>
        <v>2.2881911640616313</v>
      </c>
      <c r="Y339" s="1">
        <v>6.4000000000000001E-2</v>
      </c>
      <c r="Z339" s="1">
        <v>23</v>
      </c>
      <c r="AD339" s="1">
        <v>32</v>
      </c>
      <c r="AE339" s="1">
        <v>8.4</v>
      </c>
      <c r="AG339" s="1">
        <v>8.1</v>
      </c>
      <c r="AK339" s="1">
        <v>93</v>
      </c>
      <c r="AL339" s="1">
        <v>1405</v>
      </c>
      <c r="AR339" s="1">
        <v>47.64</v>
      </c>
      <c r="AT339" s="1">
        <v>4.3401000000000005</v>
      </c>
      <c r="AU339" s="1">
        <v>8.2764000000000006</v>
      </c>
      <c r="AV339" s="1">
        <v>29.707100000000001</v>
      </c>
      <c r="AW339" s="1">
        <v>19.063140000000001</v>
      </c>
      <c r="AX339" s="1">
        <v>42.428149999999995</v>
      </c>
      <c r="AY339" s="1">
        <v>1.52</v>
      </c>
    </row>
    <row r="340" spans="4:51" x14ac:dyDescent="0.3">
      <c r="D340" s="2">
        <f t="shared" si="20"/>
        <v>1995</v>
      </c>
      <c r="E340" s="2">
        <f t="shared" si="21"/>
        <v>9</v>
      </c>
      <c r="F340" s="3"/>
      <c r="G340" s="4">
        <v>34954</v>
      </c>
      <c r="H340" s="1">
        <v>6606238</v>
      </c>
      <c r="I340" s="1">
        <v>661152</v>
      </c>
      <c r="J340" s="5" t="s">
        <v>176</v>
      </c>
      <c r="K340" s="1"/>
      <c r="L340" s="1" t="str">
        <f t="shared" si="22"/>
        <v xml:space="preserve">Oxundaån </v>
      </c>
      <c r="M340" s="1" t="s">
        <v>177</v>
      </c>
      <c r="N340" s="1">
        <v>0.5</v>
      </c>
      <c r="O340" s="1">
        <v>0.5</v>
      </c>
      <c r="Q340" s="1">
        <v>14</v>
      </c>
      <c r="R340" s="1">
        <v>8.7200000000000006</v>
      </c>
      <c r="T340" s="1">
        <v>40.4</v>
      </c>
      <c r="V340" s="1">
        <v>2.0950000000000002</v>
      </c>
      <c r="W340" s="1">
        <v>27</v>
      </c>
      <c r="X340" s="1">
        <f t="shared" si="23"/>
        <v>0.54374917495074104</v>
      </c>
      <c r="Y340" s="1">
        <v>5.7000000000000002E-2</v>
      </c>
      <c r="Z340" s="1">
        <v>38</v>
      </c>
      <c r="AD340" s="1">
        <v>58</v>
      </c>
      <c r="AE340" s="1">
        <v>7.91</v>
      </c>
      <c r="AG340" s="1">
        <v>6.4</v>
      </c>
      <c r="AK340" s="1">
        <v>94</v>
      </c>
      <c r="AL340" s="1">
        <v>1307</v>
      </c>
      <c r="AR340" s="1">
        <v>48</v>
      </c>
      <c r="AT340" s="1">
        <v>4.3010000000000002</v>
      </c>
      <c r="AU340" s="1">
        <v>8.6877999999999993</v>
      </c>
      <c r="AV340" s="1">
        <v>27.438300000000002</v>
      </c>
      <c r="AW340" s="1">
        <v>19.269600000000001</v>
      </c>
      <c r="AX340" s="1">
        <v>42.812550000000002</v>
      </c>
      <c r="AY340" s="1">
        <v>2.0699999999999998</v>
      </c>
    </row>
    <row r="341" spans="4:51" x14ac:dyDescent="0.3">
      <c r="D341" s="2">
        <f t="shared" si="20"/>
        <v>1995</v>
      </c>
      <c r="E341" s="2">
        <f t="shared" si="21"/>
        <v>10</v>
      </c>
      <c r="F341" s="3" t="s">
        <v>180</v>
      </c>
      <c r="G341" s="4">
        <v>34988</v>
      </c>
      <c r="H341" s="1">
        <v>6606238</v>
      </c>
      <c r="I341" s="1">
        <v>661152</v>
      </c>
      <c r="J341" s="5" t="s">
        <v>176</v>
      </c>
      <c r="K341" s="1"/>
      <c r="L341" s="1" t="str">
        <f t="shared" si="22"/>
        <v xml:space="preserve">Oxundaån </v>
      </c>
      <c r="M341" s="1" t="s">
        <v>177</v>
      </c>
      <c r="N341" s="1">
        <v>0.5</v>
      </c>
      <c r="O341" s="1">
        <v>0.5</v>
      </c>
      <c r="Q341" s="1">
        <v>10.9</v>
      </c>
      <c r="R341" s="1">
        <v>8.42</v>
      </c>
      <c r="T341" s="1">
        <v>40.9</v>
      </c>
      <c r="V341" s="1">
        <v>2.097</v>
      </c>
      <c r="W341" s="1">
        <v>90</v>
      </c>
      <c r="X341" s="1">
        <f t="shared" si="23"/>
        <v>0.95222294315854672</v>
      </c>
      <c r="Y341" s="1">
        <v>5.6000000000000001E-2</v>
      </c>
      <c r="Z341" s="1">
        <v>34</v>
      </c>
      <c r="AD341" s="1">
        <v>158</v>
      </c>
      <c r="AE341" s="1">
        <v>7.73</v>
      </c>
      <c r="AG341" s="1">
        <v>5.7</v>
      </c>
      <c r="AK341" s="1">
        <v>59</v>
      </c>
      <c r="AL341" s="1">
        <v>958</v>
      </c>
      <c r="AR341" s="1">
        <v>47.800000000000004</v>
      </c>
      <c r="AT341" s="1">
        <v>4.1055000000000001</v>
      </c>
      <c r="AU341" s="1">
        <v>8.0949000000000009</v>
      </c>
      <c r="AV341" s="1">
        <v>27.615550000000002</v>
      </c>
      <c r="AW341" s="1">
        <v>18.97138</v>
      </c>
      <c r="AX341" s="1">
        <v>43.293050000000001</v>
      </c>
      <c r="AY341" s="1">
        <v>2.31</v>
      </c>
    </row>
    <row r="342" spans="4:51" x14ac:dyDescent="0.3">
      <c r="D342" s="2">
        <f t="shared" si="20"/>
        <v>1995</v>
      </c>
      <c r="E342" s="2">
        <f t="shared" si="21"/>
        <v>11</v>
      </c>
      <c r="F342" s="3" t="s">
        <v>180</v>
      </c>
      <c r="G342" s="4">
        <v>35019</v>
      </c>
      <c r="H342" s="1">
        <v>6606238</v>
      </c>
      <c r="I342" s="1">
        <v>661152</v>
      </c>
      <c r="J342" s="5" t="s">
        <v>176</v>
      </c>
      <c r="K342" s="1"/>
      <c r="L342" s="1" t="str">
        <f t="shared" si="22"/>
        <v xml:space="preserve">Oxundaån </v>
      </c>
      <c r="M342" s="1" t="s">
        <v>177</v>
      </c>
      <c r="N342" s="1">
        <v>0.5</v>
      </c>
      <c r="O342" s="1">
        <v>0.5</v>
      </c>
      <c r="Q342" s="1">
        <v>2.2000000000000002</v>
      </c>
      <c r="R342" s="1">
        <v>10.11</v>
      </c>
      <c r="T342" s="1">
        <v>41.9</v>
      </c>
      <c r="V342" s="1">
        <v>2.1509999999999998</v>
      </c>
      <c r="W342" s="1">
        <v>81</v>
      </c>
      <c r="X342" s="1">
        <f t="shared" si="23"/>
        <v>0.42819094356769843</v>
      </c>
      <c r="Y342" s="1">
        <v>4.3999999999999997E-2</v>
      </c>
      <c r="Z342" s="1">
        <v>32</v>
      </c>
      <c r="AD342" s="1">
        <v>253</v>
      </c>
      <c r="AE342" s="1">
        <v>7.73</v>
      </c>
      <c r="AG342" s="1">
        <v>2.4</v>
      </c>
      <c r="AK342" s="1">
        <v>56</v>
      </c>
      <c r="AL342" s="1">
        <v>869</v>
      </c>
      <c r="AR342" s="1">
        <v>50.599999999999994</v>
      </c>
      <c r="AT342" s="1">
        <v>4.1837</v>
      </c>
      <c r="AU342" s="1">
        <v>8.1796000000000006</v>
      </c>
      <c r="AV342" s="1">
        <v>26.622950000000003</v>
      </c>
      <c r="AW342" s="1">
        <v>19.086079999999999</v>
      </c>
      <c r="AX342" s="1">
        <v>45.743599999999994</v>
      </c>
      <c r="AY342" s="1">
        <v>2.1800000000000002</v>
      </c>
    </row>
    <row r="343" spans="4:51" x14ac:dyDescent="0.3">
      <c r="D343" s="2">
        <f t="shared" si="20"/>
        <v>1995</v>
      </c>
      <c r="E343" s="2">
        <f t="shared" si="21"/>
        <v>12</v>
      </c>
      <c r="F343" s="3" t="s">
        <v>175</v>
      </c>
      <c r="G343" s="4">
        <v>35047</v>
      </c>
      <c r="H343" s="1">
        <v>6606238</v>
      </c>
      <c r="I343" s="1">
        <v>661152</v>
      </c>
      <c r="J343" s="5" t="s">
        <v>176</v>
      </c>
      <c r="K343" s="1"/>
      <c r="L343" s="1" t="str">
        <f t="shared" si="22"/>
        <v xml:space="preserve">Oxundaån </v>
      </c>
      <c r="M343" s="1" t="s">
        <v>177</v>
      </c>
      <c r="N343" s="1">
        <v>0.5</v>
      </c>
      <c r="O343" s="1">
        <v>0.5</v>
      </c>
      <c r="Q343" s="1">
        <v>1.3</v>
      </c>
      <c r="R343" s="1">
        <v>9.66</v>
      </c>
      <c r="T343" s="1">
        <v>45.2</v>
      </c>
      <c r="V343" s="1">
        <v>2.258</v>
      </c>
      <c r="W343" s="1">
        <v>92</v>
      </c>
      <c r="X343" s="1">
        <f t="shared" si="23"/>
        <v>0.36727631837894159</v>
      </c>
      <c r="Y343" s="1">
        <v>4.9000000000000002E-2</v>
      </c>
      <c r="Z343" s="1">
        <v>34</v>
      </c>
      <c r="AD343" s="1">
        <v>412</v>
      </c>
      <c r="AE343" s="1">
        <v>7.64</v>
      </c>
      <c r="AG343" s="1">
        <v>2.1</v>
      </c>
      <c r="AK343" s="1">
        <v>48</v>
      </c>
      <c r="AL343" s="1">
        <v>1237</v>
      </c>
      <c r="AR343" s="1">
        <v>53.92</v>
      </c>
      <c r="AT343" s="1">
        <v>4.5356000000000005</v>
      </c>
      <c r="AU343" s="1">
        <v>8.7845999999999993</v>
      </c>
      <c r="AV343" s="1">
        <v>29.494400000000002</v>
      </c>
      <c r="AW343" s="1">
        <v>20.990100000000002</v>
      </c>
      <c r="AX343" s="1">
        <v>50.020049999999991</v>
      </c>
      <c r="AY343" s="1">
        <v>2.38</v>
      </c>
    </row>
    <row r="344" spans="4:51" x14ac:dyDescent="0.3">
      <c r="D344" s="2">
        <f t="shared" si="20"/>
        <v>1997</v>
      </c>
      <c r="E344" s="2">
        <f t="shared" si="21"/>
        <v>1</v>
      </c>
      <c r="F344" s="3" t="s">
        <v>175</v>
      </c>
      <c r="G344" s="4">
        <v>35459</v>
      </c>
      <c r="H344" s="1">
        <v>6606238</v>
      </c>
      <c r="I344" s="1">
        <v>661152</v>
      </c>
      <c r="J344" s="5" t="s">
        <v>176</v>
      </c>
      <c r="K344" s="1"/>
      <c r="L344" s="1" t="str">
        <f t="shared" si="22"/>
        <v xml:space="preserve">Oxundaån </v>
      </c>
      <c r="M344" s="1" t="s">
        <v>177</v>
      </c>
      <c r="N344" s="1">
        <v>0.5</v>
      </c>
      <c r="O344" s="1">
        <v>0.5</v>
      </c>
      <c r="Q344" s="1">
        <v>1.1000000000000001</v>
      </c>
      <c r="T344" s="1">
        <v>56</v>
      </c>
      <c r="V344" s="1">
        <v>2.37</v>
      </c>
      <c r="W344" s="1">
        <v>19</v>
      </c>
      <c r="X344" s="1">
        <f t="shared" si="23"/>
        <v>4.6066774227035812E-2</v>
      </c>
      <c r="Y344" s="1">
        <v>4.1000000000000002E-2</v>
      </c>
      <c r="Z344" s="1">
        <v>32</v>
      </c>
      <c r="AD344" s="1">
        <v>905</v>
      </c>
      <c r="AE344" s="1">
        <v>7.43</v>
      </c>
      <c r="AG344" s="1">
        <v>3</v>
      </c>
      <c r="AI344" s="1">
        <v>10.8</v>
      </c>
      <c r="AK344" s="1">
        <v>70</v>
      </c>
      <c r="AL344" s="1">
        <v>2028</v>
      </c>
      <c r="AR344" s="1">
        <v>64.08</v>
      </c>
      <c r="AT344" s="1">
        <v>6.2169000000000008</v>
      </c>
      <c r="AU344" s="1">
        <v>11.8217</v>
      </c>
      <c r="AV344" s="1">
        <v>40.909300000000002</v>
      </c>
      <c r="AW344" s="1">
        <v>28.606180000000005</v>
      </c>
      <c r="AX344" s="1">
        <v>71.354250000000008</v>
      </c>
      <c r="AY344" s="1">
        <v>3.05</v>
      </c>
    </row>
    <row r="345" spans="4:51" x14ac:dyDescent="0.3">
      <c r="D345" s="2">
        <f t="shared" si="20"/>
        <v>1997</v>
      </c>
      <c r="E345" s="2">
        <f t="shared" si="21"/>
        <v>2</v>
      </c>
      <c r="F345" s="3" t="s">
        <v>175</v>
      </c>
      <c r="G345" s="4">
        <v>35486</v>
      </c>
      <c r="H345" s="1">
        <v>6606238</v>
      </c>
      <c r="I345" s="1">
        <v>661152</v>
      </c>
      <c r="J345" s="5" t="s">
        <v>176</v>
      </c>
      <c r="K345" s="1"/>
      <c r="L345" s="1" t="str">
        <f t="shared" si="22"/>
        <v xml:space="preserve">Oxundaån </v>
      </c>
      <c r="M345" s="1" t="s">
        <v>177</v>
      </c>
      <c r="N345" s="1">
        <v>0.5</v>
      </c>
      <c r="O345" s="1">
        <v>0.5</v>
      </c>
      <c r="Q345" s="1">
        <v>2</v>
      </c>
      <c r="T345" s="1">
        <v>54.4</v>
      </c>
      <c r="V345" s="1">
        <v>2.4249999999999998</v>
      </c>
      <c r="W345" s="1">
        <v>18</v>
      </c>
      <c r="X345" s="1">
        <f t="shared" si="23"/>
        <v>0.16576859053960807</v>
      </c>
      <c r="Y345" s="1">
        <v>4.3999999999999997E-2</v>
      </c>
      <c r="Z345" s="1">
        <v>11</v>
      </c>
      <c r="AD345" s="1">
        <v>334</v>
      </c>
      <c r="AE345" s="1">
        <v>7.98</v>
      </c>
      <c r="AG345" s="1">
        <v>7.5</v>
      </c>
      <c r="AI345" s="1">
        <v>9.6</v>
      </c>
      <c r="AK345" s="1">
        <v>66</v>
      </c>
      <c r="AL345" s="1">
        <v>1541</v>
      </c>
      <c r="AR345" s="1">
        <v>69.88000000000001</v>
      </c>
      <c r="AT345" s="1">
        <v>6.8033999999999999</v>
      </c>
      <c r="AU345" s="1">
        <v>12.620299999999999</v>
      </c>
      <c r="AV345" s="1">
        <v>37.860600000000005</v>
      </c>
      <c r="AW345" s="1">
        <v>32.116</v>
      </c>
      <c r="AX345" s="1">
        <v>64.627249999999989</v>
      </c>
      <c r="AY345" s="1">
        <v>2.9</v>
      </c>
    </row>
    <row r="346" spans="4:51" x14ac:dyDescent="0.3">
      <c r="D346" s="2">
        <f t="shared" si="20"/>
        <v>1997</v>
      </c>
      <c r="E346" s="2">
        <f t="shared" si="21"/>
        <v>4</v>
      </c>
      <c r="F346" s="3" t="s">
        <v>178</v>
      </c>
      <c r="G346" s="4">
        <v>35522</v>
      </c>
      <c r="H346" s="1">
        <v>6606238</v>
      </c>
      <c r="I346" s="1">
        <v>661152</v>
      </c>
      <c r="J346" s="5" t="s">
        <v>176</v>
      </c>
      <c r="K346" s="1"/>
      <c r="L346" s="1" t="str">
        <f t="shared" si="22"/>
        <v xml:space="preserve">Oxundaån </v>
      </c>
      <c r="M346" s="1" t="s">
        <v>177</v>
      </c>
      <c r="N346" s="1">
        <v>0.5</v>
      </c>
      <c r="O346" s="1">
        <v>0.5</v>
      </c>
      <c r="Q346" s="1">
        <v>6</v>
      </c>
      <c r="T346" s="1">
        <v>54.9</v>
      </c>
      <c r="V346" s="1">
        <v>2.121</v>
      </c>
      <c r="W346" s="1">
        <v>34</v>
      </c>
      <c r="X346" s="1">
        <f t="shared" si="23"/>
        <v>0.12889779082141595</v>
      </c>
      <c r="Y346" s="1">
        <v>3.5000000000000003E-2</v>
      </c>
      <c r="Z346" s="1">
        <v>6</v>
      </c>
      <c r="AD346" s="1">
        <v>624</v>
      </c>
      <c r="AE346" s="1">
        <v>7.45</v>
      </c>
      <c r="AG346" s="1">
        <v>4.2</v>
      </c>
      <c r="AI346" s="1">
        <v>9.1</v>
      </c>
      <c r="AK346" s="1">
        <v>23</v>
      </c>
      <c r="AL346" s="1">
        <v>887</v>
      </c>
      <c r="AR346" s="1">
        <v>62.08</v>
      </c>
      <c r="AT346" s="1">
        <v>5.9040999999999997</v>
      </c>
      <c r="AU346" s="1">
        <v>13.7577</v>
      </c>
      <c r="AV346" s="1">
        <v>45.730500000000006</v>
      </c>
      <c r="AW346" s="1">
        <v>28.58324</v>
      </c>
      <c r="AX346" s="1">
        <v>92.352099999999993</v>
      </c>
      <c r="AY346" s="1">
        <v>2.78</v>
      </c>
    </row>
    <row r="347" spans="4:51" x14ac:dyDescent="0.3">
      <c r="D347" s="2">
        <f t="shared" si="20"/>
        <v>1997</v>
      </c>
      <c r="E347" s="2">
        <f t="shared" si="21"/>
        <v>4</v>
      </c>
      <c r="F347" s="3" t="s">
        <v>178</v>
      </c>
      <c r="G347" s="4">
        <v>35545</v>
      </c>
      <c r="H347" s="1">
        <v>6606238</v>
      </c>
      <c r="I347" s="1">
        <v>661152</v>
      </c>
      <c r="J347" s="5" t="s">
        <v>176</v>
      </c>
      <c r="K347" s="1"/>
      <c r="L347" s="1" t="str">
        <f t="shared" si="22"/>
        <v xml:space="preserve">Oxundaån </v>
      </c>
      <c r="M347" s="1" t="s">
        <v>177</v>
      </c>
      <c r="N347" s="1">
        <v>0.5</v>
      </c>
      <c r="O347" s="1">
        <v>0.5</v>
      </c>
      <c r="Q347" s="1">
        <v>6</v>
      </c>
      <c r="T347" s="1">
        <v>50.8</v>
      </c>
      <c r="V347" s="1">
        <v>2.0739999999999998</v>
      </c>
      <c r="W347" s="1">
        <v>27</v>
      </c>
      <c r="X347" s="1">
        <f t="shared" si="23"/>
        <v>0.35971210957974986</v>
      </c>
      <c r="Y347" s="1">
        <v>3.7999999999999999E-2</v>
      </c>
      <c r="Z347" s="1">
        <v>1</v>
      </c>
      <c r="AD347" s="1">
        <v>175</v>
      </c>
      <c r="AE347" s="1">
        <v>8</v>
      </c>
      <c r="AG347" s="1">
        <v>5.9</v>
      </c>
      <c r="AI347" s="1">
        <v>11.9</v>
      </c>
      <c r="AK347" s="1">
        <v>19</v>
      </c>
      <c r="AL347" s="1">
        <v>892</v>
      </c>
      <c r="AR347" s="1">
        <v>59.56</v>
      </c>
      <c r="AT347" s="1">
        <v>5.5912999999999995</v>
      </c>
      <c r="AU347" s="1">
        <v>12.281499999999998</v>
      </c>
      <c r="AV347" s="1">
        <v>39.101350000000004</v>
      </c>
      <c r="AW347" s="1">
        <v>28.353840000000002</v>
      </c>
      <c r="AX347" s="1">
        <v>82.357699999999994</v>
      </c>
      <c r="AY347" s="1">
        <v>1.48</v>
      </c>
    </row>
    <row r="348" spans="4:51" x14ac:dyDescent="0.3">
      <c r="D348" s="2">
        <f t="shared" si="20"/>
        <v>1997</v>
      </c>
      <c r="E348" s="2">
        <f t="shared" si="21"/>
        <v>5</v>
      </c>
      <c r="F348" s="3" t="s">
        <v>178</v>
      </c>
      <c r="G348" s="4">
        <v>35577</v>
      </c>
      <c r="H348" s="1">
        <v>6606238</v>
      </c>
      <c r="I348" s="1">
        <v>661152</v>
      </c>
      <c r="J348" s="5" t="s">
        <v>176</v>
      </c>
      <c r="K348" s="1"/>
      <c r="L348" s="1" t="str">
        <f t="shared" si="22"/>
        <v xml:space="preserve">Oxundaån </v>
      </c>
      <c r="M348" s="1" t="s">
        <v>177</v>
      </c>
      <c r="N348" s="1">
        <v>0.5</v>
      </c>
      <c r="O348" s="1">
        <v>0.5</v>
      </c>
      <c r="Q348" s="1">
        <v>12</v>
      </c>
      <c r="T348" s="1">
        <v>51.6</v>
      </c>
      <c r="V348" s="1">
        <v>1.91</v>
      </c>
      <c r="W348" s="1">
        <v>22</v>
      </c>
      <c r="X348" s="1">
        <f t="shared" si="23"/>
        <v>0.39872130762609237</v>
      </c>
      <c r="Y348" s="1">
        <v>3.5000000000000003E-2</v>
      </c>
      <c r="Z348" s="1">
        <v>3</v>
      </c>
      <c r="AD348" s="1">
        <v>192</v>
      </c>
      <c r="AE348" s="1">
        <v>7.93</v>
      </c>
      <c r="AG348" s="1">
        <v>5.3</v>
      </c>
      <c r="AI348" s="1">
        <v>8.6999999999999993</v>
      </c>
      <c r="AK348" s="1">
        <v>25</v>
      </c>
      <c r="AL348" s="1">
        <v>1068</v>
      </c>
      <c r="AR348" s="1">
        <v>63.120000000000005</v>
      </c>
      <c r="AT348" s="1">
        <v>5.9823000000000004</v>
      </c>
      <c r="AU348" s="1">
        <v>12.221</v>
      </c>
      <c r="AV348" s="1">
        <v>43.284450000000007</v>
      </c>
      <c r="AW348" s="1">
        <v>28.193260000000002</v>
      </c>
      <c r="AX348" s="1">
        <v>85.192649999999986</v>
      </c>
      <c r="AY348" s="1">
        <v>0.87</v>
      </c>
    </row>
    <row r="349" spans="4:51" x14ac:dyDescent="0.3">
      <c r="D349" s="2">
        <f t="shared" si="20"/>
        <v>1997</v>
      </c>
      <c r="E349" s="2">
        <f t="shared" si="21"/>
        <v>7</v>
      </c>
      <c r="F349" s="3" t="s">
        <v>179</v>
      </c>
      <c r="G349" s="4">
        <v>35612</v>
      </c>
      <c r="H349" s="1">
        <v>6606238</v>
      </c>
      <c r="I349" s="1">
        <v>661152</v>
      </c>
      <c r="J349" s="5" t="s">
        <v>176</v>
      </c>
      <c r="K349" s="1"/>
      <c r="L349" s="1" t="str">
        <f t="shared" si="22"/>
        <v xml:space="preserve">Oxundaån </v>
      </c>
      <c r="M349" s="1" t="s">
        <v>177</v>
      </c>
      <c r="N349" s="1">
        <v>0.5</v>
      </c>
      <c r="O349" s="1">
        <v>0.5</v>
      </c>
      <c r="Q349" s="1">
        <v>22</v>
      </c>
      <c r="T349" s="1">
        <v>48.5</v>
      </c>
      <c r="V349" s="1">
        <v>2.077</v>
      </c>
      <c r="W349" s="1">
        <v>31</v>
      </c>
      <c r="X349" s="1">
        <f t="shared" si="23"/>
        <v>1.9654835398994275</v>
      </c>
      <c r="Y349" s="1">
        <v>4.5999999999999999E-2</v>
      </c>
      <c r="Z349" s="1">
        <v>3</v>
      </c>
      <c r="AD349" s="1">
        <v>17</v>
      </c>
      <c r="AE349" s="1">
        <v>8.17</v>
      </c>
      <c r="AG349" s="1">
        <v>5.4</v>
      </c>
      <c r="AI349" s="1">
        <v>8.8000000000000007</v>
      </c>
      <c r="AK349" s="1">
        <v>9</v>
      </c>
      <c r="AL349" s="1">
        <v>1114</v>
      </c>
      <c r="AR349" s="1">
        <v>57.599999999999994</v>
      </c>
      <c r="AT349" s="1">
        <v>5.7477</v>
      </c>
      <c r="AU349" s="1">
        <v>11.107800000000001</v>
      </c>
      <c r="AV349" s="1">
        <v>39.52675</v>
      </c>
      <c r="AW349" s="1">
        <v>26.151599999999998</v>
      </c>
      <c r="AX349" s="1">
        <v>76.735849999999999</v>
      </c>
      <c r="AY349" s="1">
        <v>0.14000000000000001</v>
      </c>
    </row>
    <row r="350" spans="4:51" x14ac:dyDescent="0.3">
      <c r="D350" s="2">
        <f t="shared" si="20"/>
        <v>1997</v>
      </c>
      <c r="E350" s="2">
        <f t="shared" si="21"/>
        <v>7</v>
      </c>
      <c r="F350" s="3" t="s">
        <v>179</v>
      </c>
      <c r="G350" s="4">
        <v>35640</v>
      </c>
      <c r="H350" s="1">
        <v>6606238</v>
      </c>
      <c r="I350" s="1">
        <v>661152</v>
      </c>
      <c r="J350" s="5" t="s">
        <v>176</v>
      </c>
      <c r="K350" s="1"/>
      <c r="L350" s="1" t="str">
        <f t="shared" si="22"/>
        <v xml:space="preserve">Oxundaån </v>
      </c>
      <c r="M350" s="1" t="s">
        <v>177</v>
      </c>
      <c r="N350" s="1">
        <v>0.5</v>
      </c>
      <c r="O350" s="1">
        <v>0.5</v>
      </c>
      <c r="Q350" s="1">
        <v>21</v>
      </c>
      <c r="T350" s="1">
        <v>46.5</v>
      </c>
      <c r="V350" s="1">
        <v>2.073</v>
      </c>
      <c r="W350" s="1">
        <v>106</v>
      </c>
      <c r="X350" s="1">
        <f t="shared" si="23"/>
        <v>1.37638677888161</v>
      </c>
      <c r="Y350" s="1">
        <v>0.05</v>
      </c>
      <c r="Z350" s="1">
        <v>66</v>
      </c>
      <c r="AD350" s="1">
        <v>25</v>
      </c>
      <c r="AE350" s="1">
        <v>7.49</v>
      </c>
      <c r="AG350" s="1">
        <v>2.4</v>
      </c>
      <c r="AI350" s="1">
        <v>10.199999999999999</v>
      </c>
      <c r="AK350" s="1">
        <v>107</v>
      </c>
      <c r="AL350" s="1">
        <v>951</v>
      </c>
      <c r="AR350" s="1">
        <v>56.28</v>
      </c>
      <c r="AT350" s="1">
        <v>5.2003000000000004</v>
      </c>
      <c r="AU350" s="1">
        <v>11.0715</v>
      </c>
      <c r="AV350" s="1">
        <v>35.48545</v>
      </c>
      <c r="AW350" s="1">
        <v>25.394580000000001</v>
      </c>
      <c r="AX350" s="1">
        <v>66.40509999999999</v>
      </c>
      <c r="AY350" s="1">
        <v>1.08</v>
      </c>
    </row>
    <row r="351" spans="4:51" x14ac:dyDescent="0.3">
      <c r="D351" s="2">
        <f t="shared" si="20"/>
        <v>1997</v>
      </c>
      <c r="E351" s="2">
        <f t="shared" si="21"/>
        <v>8</v>
      </c>
      <c r="F351" s="3" t="s">
        <v>179</v>
      </c>
      <c r="G351" s="4">
        <v>35668</v>
      </c>
      <c r="H351" s="1">
        <v>6606238</v>
      </c>
      <c r="I351" s="1">
        <v>661152</v>
      </c>
      <c r="J351" s="5" t="s">
        <v>176</v>
      </c>
      <c r="K351" s="1"/>
      <c r="L351" s="1" t="str">
        <f t="shared" si="22"/>
        <v xml:space="preserve">Oxundaån </v>
      </c>
      <c r="M351" s="1" t="s">
        <v>177</v>
      </c>
      <c r="N351" s="1">
        <v>0.5</v>
      </c>
      <c r="O351" s="1">
        <v>0.5</v>
      </c>
      <c r="Q351" s="1">
        <v>18</v>
      </c>
      <c r="T351" s="1">
        <v>44.6</v>
      </c>
      <c r="V351" s="1">
        <v>2.1619999999999999</v>
      </c>
      <c r="W351" s="1">
        <v>42</v>
      </c>
      <c r="X351" s="1">
        <f t="shared" si="23"/>
        <v>0.9480184780522154</v>
      </c>
      <c r="Y351" s="1">
        <v>4.5999999999999999E-2</v>
      </c>
      <c r="Z351" s="1">
        <v>81</v>
      </c>
      <c r="AD351" s="1">
        <v>14</v>
      </c>
      <c r="AE351" s="1">
        <v>7.83</v>
      </c>
      <c r="AG351" s="1">
        <v>4</v>
      </c>
      <c r="AI351" s="1">
        <v>11.4</v>
      </c>
      <c r="AK351" s="1">
        <v>102</v>
      </c>
      <c r="AL351" s="1">
        <v>583</v>
      </c>
      <c r="AR351" s="1">
        <v>55.12</v>
      </c>
      <c r="AT351" s="1">
        <v>5.0830000000000002</v>
      </c>
      <c r="AU351" s="1">
        <v>10.6843</v>
      </c>
      <c r="AV351" s="1">
        <v>33.783850000000001</v>
      </c>
      <c r="AW351" s="1">
        <v>24.224640000000001</v>
      </c>
      <c r="AX351" s="1">
        <v>62.705249999999992</v>
      </c>
      <c r="AY351" s="1">
        <v>0.36</v>
      </c>
    </row>
    <row r="352" spans="4:51" x14ac:dyDescent="0.3">
      <c r="D352" s="2">
        <f t="shared" si="20"/>
        <v>1997</v>
      </c>
      <c r="E352" s="2">
        <f t="shared" si="21"/>
        <v>9</v>
      </c>
      <c r="F352" s="3"/>
      <c r="G352" s="4">
        <v>35703</v>
      </c>
      <c r="H352" s="1">
        <v>6606238</v>
      </c>
      <c r="I352" s="1">
        <v>661152</v>
      </c>
      <c r="J352" s="5" t="s">
        <v>176</v>
      </c>
      <c r="K352" s="1"/>
      <c r="L352" s="1" t="str">
        <f t="shared" si="22"/>
        <v xml:space="preserve">Oxundaån </v>
      </c>
      <c r="M352" s="1" t="s">
        <v>177</v>
      </c>
      <c r="N352" s="1">
        <v>0.5</v>
      </c>
      <c r="O352" s="1">
        <v>0.5</v>
      </c>
      <c r="Q352" s="1">
        <v>12</v>
      </c>
      <c r="T352" s="1">
        <v>41.5</v>
      </c>
      <c r="V352" s="1">
        <v>2.1480000000000001</v>
      </c>
      <c r="W352" s="1">
        <v>22</v>
      </c>
      <c r="X352" s="1">
        <f t="shared" si="23"/>
        <v>0.35606251551975987</v>
      </c>
      <c r="Y352" s="1">
        <v>4.8000000000000001E-2</v>
      </c>
      <c r="Z352" s="1">
        <v>58</v>
      </c>
      <c r="AD352" s="1">
        <v>28</v>
      </c>
      <c r="AE352" s="1">
        <v>7.88</v>
      </c>
      <c r="AG352" s="1">
        <v>5.4</v>
      </c>
      <c r="AI352" s="1">
        <v>13.5</v>
      </c>
      <c r="AK352" s="1">
        <v>98</v>
      </c>
      <c r="AL352" s="1">
        <v>694</v>
      </c>
      <c r="AR352" s="1">
        <v>53.48</v>
      </c>
      <c r="AT352" s="1">
        <v>4.9266000000000005</v>
      </c>
      <c r="AU352" s="1">
        <v>9.934099999999999</v>
      </c>
      <c r="AV352" s="1">
        <v>30.699700000000004</v>
      </c>
      <c r="AW352" s="1">
        <v>23.513500000000001</v>
      </c>
      <c r="AX352" s="1">
        <v>54.392599999999995</v>
      </c>
      <c r="AY352" s="1">
        <v>0.7</v>
      </c>
    </row>
    <row r="353" spans="4:51" x14ac:dyDescent="0.3">
      <c r="D353" s="2">
        <f t="shared" si="20"/>
        <v>1997</v>
      </c>
      <c r="E353" s="2">
        <f t="shared" si="21"/>
        <v>10</v>
      </c>
      <c r="F353" s="3" t="s">
        <v>180</v>
      </c>
      <c r="G353" s="4">
        <v>35731</v>
      </c>
      <c r="H353" s="1">
        <v>6606238</v>
      </c>
      <c r="I353" s="1">
        <v>661152</v>
      </c>
      <c r="J353" s="5" t="s">
        <v>176</v>
      </c>
      <c r="K353" s="1"/>
      <c r="L353" s="1" t="str">
        <f t="shared" si="22"/>
        <v xml:space="preserve">Oxundaån </v>
      </c>
      <c r="M353" s="1" t="s">
        <v>177</v>
      </c>
      <c r="N353" s="1">
        <v>0.5</v>
      </c>
      <c r="O353" s="1">
        <v>0.5</v>
      </c>
      <c r="Q353" s="1">
        <v>2.8</v>
      </c>
      <c r="T353" s="1">
        <v>41.9</v>
      </c>
      <c r="V353" s="1">
        <v>2.093</v>
      </c>
      <c r="W353" s="1">
        <v>17</v>
      </c>
      <c r="X353" s="1">
        <f t="shared" si="23"/>
        <v>0.14578730322656455</v>
      </c>
      <c r="Y353" s="1">
        <v>4.3999999999999997E-2</v>
      </c>
      <c r="Z353" s="1">
        <v>71</v>
      </c>
      <c r="AD353" s="1">
        <v>82</v>
      </c>
      <c r="AE353" s="1">
        <v>7.92</v>
      </c>
      <c r="AG353" s="1">
        <v>6.9</v>
      </c>
      <c r="AI353" s="1">
        <v>11.8</v>
      </c>
      <c r="AK353" s="1">
        <v>90</v>
      </c>
      <c r="AL353" s="1">
        <v>695</v>
      </c>
      <c r="AR353" s="1">
        <v>54.24</v>
      </c>
      <c r="AT353" s="1">
        <v>4.9266000000000005</v>
      </c>
      <c r="AU353" s="1">
        <v>9.9219999999999988</v>
      </c>
      <c r="AV353" s="1">
        <v>37.718800000000002</v>
      </c>
      <c r="AW353" s="1">
        <v>23.857600000000001</v>
      </c>
      <c r="AX353" s="1">
        <v>57.227550000000001</v>
      </c>
      <c r="AY353" s="1">
        <v>0.55000000000000004</v>
      </c>
    </row>
    <row r="354" spans="4:51" x14ac:dyDescent="0.3">
      <c r="D354" s="2">
        <f t="shared" si="20"/>
        <v>1997</v>
      </c>
      <c r="E354" s="2">
        <f t="shared" si="21"/>
        <v>12</v>
      </c>
      <c r="F354" s="3" t="s">
        <v>175</v>
      </c>
      <c r="G354" s="4">
        <v>35766</v>
      </c>
      <c r="H354" s="1">
        <v>6606238</v>
      </c>
      <c r="I354" s="1">
        <v>661152</v>
      </c>
      <c r="J354" s="5" t="s">
        <v>176</v>
      </c>
      <c r="K354" s="1"/>
      <c r="L354" s="1" t="str">
        <f t="shared" si="22"/>
        <v xml:space="preserve">Oxundaån </v>
      </c>
      <c r="M354" s="1" t="s">
        <v>177</v>
      </c>
      <c r="N354" s="1">
        <v>0.5</v>
      </c>
      <c r="O354" s="1">
        <v>0.5</v>
      </c>
      <c r="Q354" s="1">
        <v>1.7</v>
      </c>
      <c r="T354" s="1">
        <v>46.2</v>
      </c>
      <c r="V354" s="1">
        <v>2.1890000000000001</v>
      </c>
      <c r="W354" s="1">
        <v>21</v>
      </c>
      <c r="X354" s="1">
        <f t="shared" si="23"/>
        <v>0.13702338142283577</v>
      </c>
      <c r="Y354" s="1">
        <v>0.04</v>
      </c>
      <c r="Z354" s="1">
        <v>50</v>
      </c>
      <c r="AD354" s="1">
        <v>96</v>
      </c>
      <c r="AE354" s="1">
        <v>7.84</v>
      </c>
      <c r="AG354" s="1">
        <v>4.3</v>
      </c>
      <c r="AI354" s="1">
        <v>12</v>
      </c>
      <c r="AK354" s="1">
        <v>80</v>
      </c>
      <c r="AL354" s="1">
        <v>926</v>
      </c>
      <c r="AR354" s="1">
        <v>55.16</v>
      </c>
      <c r="AT354" s="1">
        <v>5.1612</v>
      </c>
      <c r="AU354" s="1">
        <v>9.837299999999999</v>
      </c>
      <c r="AV354" s="1">
        <v>36.797100000000007</v>
      </c>
      <c r="AW354" s="1">
        <v>24.041120000000003</v>
      </c>
      <c r="AX354" s="1">
        <v>60.494949999999989</v>
      </c>
      <c r="AY354" s="1">
        <v>0.47</v>
      </c>
    </row>
    <row r="355" spans="4:51" x14ac:dyDescent="0.3">
      <c r="D355" s="2">
        <f t="shared" si="20"/>
        <v>1997</v>
      </c>
      <c r="E355" s="2">
        <f t="shared" si="21"/>
        <v>12</v>
      </c>
      <c r="F355" s="3" t="s">
        <v>175</v>
      </c>
      <c r="G355" s="4">
        <v>35795</v>
      </c>
      <c r="H355" s="1">
        <v>6606238</v>
      </c>
      <c r="I355" s="1">
        <v>661152</v>
      </c>
      <c r="J355" s="5" t="s">
        <v>176</v>
      </c>
      <c r="K355" s="1"/>
      <c r="L355" s="1" t="str">
        <f t="shared" si="22"/>
        <v xml:space="preserve">Oxundaån </v>
      </c>
      <c r="M355" s="1" t="s">
        <v>177</v>
      </c>
      <c r="N355" s="1">
        <v>0.5</v>
      </c>
      <c r="O355" s="1">
        <v>0.5</v>
      </c>
      <c r="Q355" s="1">
        <v>3</v>
      </c>
      <c r="T355" s="1">
        <v>49.7</v>
      </c>
      <c r="V355" s="1">
        <v>2.2080000000000002</v>
      </c>
      <c r="W355" s="1">
        <v>80</v>
      </c>
      <c r="X355" s="1">
        <f t="shared" si="23"/>
        <v>0.24883591869692853</v>
      </c>
      <c r="Y355" s="1">
        <v>5.2999999999999999E-2</v>
      </c>
      <c r="Z355" s="1">
        <v>45</v>
      </c>
      <c r="AD355" s="1">
        <v>386</v>
      </c>
      <c r="AE355" s="1">
        <v>7.47</v>
      </c>
      <c r="AG355" s="1">
        <v>3.9</v>
      </c>
      <c r="AI355" s="1">
        <v>11.8</v>
      </c>
      <c r="AK355" s="1">
        <v>51</v>
      </c>
      <c r="AL355" s="1">
        <v>695</v>
      </c>
      <c r="AR355" s="1">
        <v>59.44</v>
      </c>
      <c r="AT355" s="1">
        <v>5.7085999999999997</v>
      </c>
      <c r="AU355" s="1">
        <v>11.373999999999999</v>
      </c>
      <c r="AV355" s="1">
        <v>39.562200000000004</v>
      </c>
      <c r="AW355" s="1">
        <v>26.472760000000001</v>
      </c>
      <c r="AX355" s="1">
        <v>69.191999999999993</v>
      </c>
      <c r="AY355" s="1">
        <v>1.24</v>
      </c>
    </row>
    <row r="356" spans="4:51" x14ac:dyDescent="0.3">
      <c r="D356" s="2">
        <f t="shared" si="20"/>
        <v>1998</v>
      </c>
      <c r="E356" s="2">
        <f t="shared" si="21"/>
        <v>1</v>
      </c>
      <c r="F356" s="3" t="s">
        <v>175</v>
      </c>
      <c r="G356" s="4">
        <v>35822</v>
      </c>
      <c r="H356" s="1">
        <v>6606238</v>
      </c>
      <c r="I356" s="1">
        <v>661152</v>
      </c>
      <c r="J356" s="5" t="s">
        <v>176</v>
      </c>
      <c r="K356" s="1"/>
      <c r="L356" s="1" t="str">
        <f t="shared" si="22"/>
        <v xml:space="preserve">Oxundaån </v>
      </c>
      <c r="M356" s="1" t="s">
        <v>177</v>
      </c>
      <c r="N356" s="1">
        <v>0.5</v>
      </c>
      <c r="O356" s="1">
        <v>0.5</v>
      </c>
      <c r="Q356" s="1">
        <v>1</v>
      </c>
      <c r="T356" s="1">
        <v>52.5</v>
      </c>
      <c r="V356" s="1">
        <v>2.1320000000000001</v>
      </c>
      <c r="W356" s="1">
        <v>168</v>
      </c>
      <c r="X356" s="1">
        <f t="shared" si="23"/>
        <v>0.47439352059788759</v>
      </c>
      <c r="Y356" s="1">
        <v>4.5999999999999999E-2</v>
      </c>
      <c r="Z356" s="1">
        <v>34</v>
      </c>
      <c r="AD356" s="1">
        <v>820</v>
      </c>
      <c r="AE356" s="1">
        <v>7.5</v>
      </c>
      <c r="AG356" s="1">
        <v>5.0999999999999996</v>
      </c>
      <c r="AI356" s="1">
        <v>10.7</v>
      </c>
      <c r="AK356" s="1">
        <v>52</v>
      </c>
      <c r="AL356" s="1">
        <v>1164</v>
      </c>
      <c r="AR356" s="1">
        <v>62</v>
      </c>
      <c r="AT356" s="1">
        <v>6.0213999999999999</v>
      </c>
      <c r="AU356" s="1">
        <v>12.5114</v>
      </c>
      <c r="AV356" s="1">
        <v>40.235750000000003</v>
      </c>
      <c r="AW356" s="1">
        <v>27.160959999999999</v>
      </c>
      <c r="AX356" s="1">
        <v>86.105599999999995</v>
      </c>
      <c r="AY356" s="1">
        <v>2.2400000000000002</v>
      </c>
    </row>
    <row r="357" spans="4:51" x14ac:dyDescent="0.3">
      <c r="D357" s="2">
        <f t="shared" si="20"/>
        <v>1998</v>
      </c>
      <c r="E357" s="2">
        <f t="shared" si="21"/>
        <v>2</v>
      </c>
      <c r="F357" s="3" t="s">
        <v>175</v>
      </c>
      <c r="G357" s="4">
        <v>35850</v>
      </c>
      <c r="H357" s="1">
        <v>6606238</v>
      </c>
      <c r="I357" s="1">
        <v>661152</v>
      </c>
      <c r="J357" s="5" t="s">
        <v>176</v>
      </c>
      <c r="K357" s="1"/>
      <c r="L357" s="1" t="str">
        <f t="shared" si="22"/>
        <v xml:space="preserve">Oxundaån </v>
      </c>
      <c r="M357" s="1" t="s">
        <v>177</v>
      </c>
      <c r="N357" s="1">
        <v>0.5</v>
      </c>
      <c r="O357" s="1">
        <v>0.5</v>
      </c>
      <c r="Q357" s="1">
        <v>2.5</v>
      </c>
      <c r="T357" s="1">
        <v>51.4</v>
      </c>
      <c r="V357" s="1">
        <v>1.865</v>
      </c>
      <c r="W357" s="1">
        <v>134</v>
      </c>
      <c r="X357" s="1">
        <f t="shared" si="23"/>
        <v>0.23046328657072002</v>
      </c>
      <c r="Y357" s="1">
        <v>5.8000000000000003E-2</v>
      </c>
      <c r="Z357" s="1">
        <v>39</v>
      </c>
      <c r="AD357" s="1">
        <v>1663</v>
      </c>
      <c r="AE357" s="1">
        <v>7.23</v>
      </c>
      <c r="AG357" s="1">
        <v>11.2</v>
      </c>
      <c r="AI357" s="1">
        <v>9.3000000000000007</v>
      </c>
      <c r="AK357" s="1">
        <v>64</v>
      </c>
      <c r="AL357" s="1">
        <v>2092</v>
      </c>
      <c r="AR357" s="1">
        <v>60.72</v>
      </c>
      <c r="AT357" s="1">
        <v>6.0213999999999999</v>
      </c>
      <c r="AU357" s="1">
        <v>12.584</v>
      </c>
      <c r="AV357" s="1">
        <v>35.48545</v>
      </c>
      <c r="AW357" s="1">
        <v>26.679220000000001</v>
      </c>
      <c r="AX357" s="1">
        <v>92.400149999999996</v>
      </c>
      <c r="AY357" s="1">
        <v>4.1500000000000004</v>
      </c>
    </row>
    <row r="358" spans="4:51" x14ac:dyDescent="0.3">
      <c r="D358" s="2">
        <f t="shared" si="20"/>
        <v>1998</v>
      </c>
      <c r="E358" s="2">
        <f t="shared" si="21"/>
        <v>3</v>
      </c>
      <c r="F358" s="3" t="s">
        <v>175</v>
      </c>
      <c r="G358" s="4">
        <v>35878</v>
      </c>
      <c r="H358" s="1">
        <v>6606238</v>
      </c>
      <c r="I358" s="1">
        <v>661152</v>
      </c>
      <c r="J358" s="5" t="s">
        <v>176</v>
      </c>
      <c r="K358" s="1"/>
      <c r="L358" s="1" t="str">
        <f t="shared" si="22"/>
        <v xml:space="preserve">Oxundaån </v>
      </c>
      <c r="M358" s="1" t="s">
        <v>177</v>
      </c>
      <c r="N358" s="1">
        <v>0.5</v>
      </c>
      <c r="O358" s="1">
        <v>0.5</v>
      </c>
      <c r="Q358" s="1">
        <v>2</v>
      </c>
      <c r="T358" s="1">
        <v>51.1</v>
      </c>
      <c r="V358" s="1">
        <v>2.0339999999999998</v>
      </c>
      <c r="W358" s="1">
        <v>17</v>
      </c>
      <c r="X358" s="1">
        <f t="shared" si="23"/>
        <v>8.0655018098746201E-2</v>
      </c>
      <c r="Y358" s="1">
        <v>5.8999999999999997E-2</v>
      </c>
      <c r="Z358" s="1">
        <v>16</v>
      </c>
      <c r="AD358" s="1">
        <v>1451</v>
      </c>
      <c r="AE358" s="1">
        <v>7.69</v>
      </c>
      <c r="AG358" s="1">
        <v>7.5</v>
      </c>
      <c r="AI358" s="1">
        <v>10.7</v>
      </c>
      <c r="AK358" s="1">
        <v>45</v>
      </c>
      <c r="AL358" s="1">
        <v>1996</v>
      </c>
      <c r="AR358" s="1">
        <v>59.28</v>
      </c>
      <c r="AT358" s="1">
        <v>5.7867999999999995</v>
      </c>
      <c r="AU358" s="1">
        <v>11.8217</v>
      </c>
      <c r="AV358" s="1">
        <v>40.306650000000005</v>
      </c>
      <c r="AW358" s="1">
        <v>25.784560000000003</v>
      </c>
      <c r="AX358" s="1">
        <v>78.561749999999989</v>
      </c>
      <c r="AY358" s="1">
        <v>4.1900000000000004</v>
      </c>
    </row>
    <row r="359" spans="4:51" x14ac:dyDescent="0.3">
      <c r="D359" s="2">
        <f t="shared" si="20"/>
        <v>1998</v>
      </c>
      <c r="E359" s="2">
        <f t="shared" si="21"/>
        <v>4</v>
      </c>
      <c r="F359" s="3" t="s">
        <v>178</v>
      </c>
      <c r="G359" s="4">
        <v>35913</v>
      </c>
      <c r="H359" s="1">
        <v>6606238</v>
      </c>
      <c r="I359" s="1">
        <v>661152</v>
      </c>
      <c r="J359" s="5" t="s">
        <v>176</v>
      </c>
      <c r="K359" s="1"/>
      <c r="L359" s="1" t="str">
        <f t="shared" si="22"/>
        <v xml:space="preserve">Oxundaån </v>
      </c>
      <c r="M359" s="1" t="s">
        <v>177</v>
      </c>
      <c r="N359" s="1">
        <v>0.5</v>
      </c>
      <c r="O359" s="1">
        <v>0.5</v>
      </c>
      <c r="Q359" s="1">
        <v>9.1999999999999993</v>
      </c>
      <c r="T359" s="1">
        <v>48.4</v>
      </c>
      <c r="V359" s="1">
        <v>1.9930000000000001</v>
      </c>
      <c r="W359" s="1">
        <v>23</v>
      </c>
      <c r="X359" s="1">
        <f t="shared" si="23"/>
        <v>0.35985677948072098</v>
      </c>
      <c r="Y359" s="1">
        <v>5.0999999999999997E-2</v>
      </c>
      <c r="Z359" s="1">
        <v>9</v>
      </c>
      <c r="AD359" s="1">
        <v>753</v>
      </c>
      <c r="AE359" s="1">
        <v>7.96</v>
      </c>
      <c r="AG359" s="1">
        <v>5</v>
      </c>
      <c r="AI359" s="1">
        <v>9.6</v>
      </c>
      <c r="AK359" s="1">
        <v>36</v>
      </c>
      <c r="AL359" s="1">
        <v>1402</v>
      </c>
      <c r="AR359" s="1">
        <v>56.2</v>
      </c>
      <c r="AT359" s="1">
        <v>5.2785000000000002</v>
      </c>
      <c r="AU359" s="1">
        <v>10.418099999999999</v>
      </c>
      <c r="AV359" s="1">
        <v>33.642049999999998</v>
      </c>
      <c r="AW359" s="1">
        <v>24.889900000000001</v>
      </c>
      <c r="AX359" s="1">
        <v>73.372349999999997</v>
      </c>
      <c r="AY359" s="1">
        <v>2.5</v>
      </c>
    </row>
    <row r="360" spans="4:51" x14ac:dyDescent="0.3">
      <c r="D360" s="2">
        <f t="shared" si="20"/>
        <v>1998</v>
      </c>
      <c r="E360" s="2">
        <f t="shared" si="21"/>
        <v>5</v>
      </c>
      <c r="F360" s="3" t="s">
        <v>178</v>
      </c>
      <c r="G360" s="4">
        <v>35941</v>
      </c>
      <c r="H360" s="1">
        <v>6606238</v>
      </c>
      <c r="I360" s="1">
        <v>661152</v>
      </c>
      <c r="J360" s="5" t="s">
        <v>176</v>
      </c>
      <c r="K360" s="1"/>
      <c r="L360" s="1" t="str">
        <f t="shared" si="22"/>
        <v xml:space="preserve">Oxundaån </v>
      </c>
      <c r="M360" s="1" t="s">
        <v>177</v>
      </c>
      <c r="N360" s="1">
        <v>0.5</v>
      </c>
      <c r="O360" s="1">
        <v>0.5</v>
      </c>
      <c r="Q360" s="1">
        <v>11.8</v>
      </c>
      <c r="T360" s="1">
        <v>50</v>
      </c>
      <c r="V360" s="1">
        <v>1.994</v>
      </c>
      <c r="W360" s="1">
        <v>59</v>
      </c>
      <c r="X360" s="1">
        <f t="shared" si="23"/>
        <v>0.96201707618010157</v>
      </c>
      <c r="Y360" s="1">
        <v>7.4999999999999997E-2</v>
      </c>
      <c r="Z360" s="1">
        <v>3</v>
      </c>
      <c r="AD360" s="1">
        <v>374</v>
      </c>
      <c r="AE360" s="1">
        <v>7.89</v>
      </c>
      <c r="AG360" s="1">
        <v>5.4</v>
      </c>
      <c r="AI360" s="1">
        <v>10.4</v>
      </c>
      <c r="AK360" s="1">
        <v>35</v>
      </c>
      <c r="AL360" s="1">
        <v>1071</v>
      </c>
      <c r="AR360" s="1">
        <v>56.559999999999995</v>
      </c>
      <c r="AT360" s="1">
        <v>5.3176000000000005</v>
      </c>
      <c r="AU360" s="1">
        <v>11.010999999999999</v>
      </c>
      <c r="AV360" s="1">
        <v>34.492850000000004</v>
      </c>
      <c r="AW360" s="1">
        <v>25.027540000000002</v>
      </c>
      <c r="AX360" s="1">
        <v>83.655050000000003</v>
      </c>
      <c r="AY360" s="1">
        <v>0.68</v>
      </c>
    </row>
    <row r="361" spans="4:51" x14ac:dyDescent="0.3">
      <c r="D361" s="2">
        <f t="shared" si="20"/>
        <v>1998</v>
      </c>
      <c r="E361" s="2">
        <f t="shared" si="21"/>
        <v>6</v>
      </c>
      <c r="F361" s="3"/>
      <c r="G361" s="4">
        <v>35969</v>
      </c>
      <c r="H361" s="1">
        <v>6606238</v>
      </c>
      <c r="I361" s="1">
        <v>661152</v>
      </c>
      <c r="J361" s="5" t="s">
        <v>176</v>
      </c>
      <c r="K361" s="1"/>
      <c r="L361" s="1" t="str">
        <f t="shared" si="22"/>
        <v xml:space="preserve">Oxundaån </v>
      </c>
      <c r="M361" s="1" t="s">
        <v>177</v>
      </c>
      <c r="N361" s="1">
        <v>0.5</v>
      </c>
      <c r="O361" s="1">
        <v>0.5</v>
      </c>
      <c r="Q361" s="1">
        <v>14.7</v>
      </c>
      <c r="T361" s="1">
        <v>48.2</v>
      </c>
      <c r="V361" s="1">
        <v>2.137</v>
      </c>
      <c r="W361" s="1">
        <v>128</v>
      </c>
      <c r="X361" s="1">
        <f t="shared" si="23"/>
        <v>1.5068037202752367</v>
      </c>
      <c r="Y361" s="1">
        <v>5.7000000000000002E-2</v>
      </c>
      <c r="Z361" s="1">
        <v>22</v>
      </c>
      <c r="AD361" s="1">
        <v>285</v>
      </c>
      <c r="AE361" s="1">
        <v>7.65</v>
      </c>
      <c r="AG361" s="1">
        <v>4</v>
      </c>
      <c r="AI361" s="1">
        <v>9.8000000000000007</v>
      </c>
      <c r="AK361" s="1">
        <v>52</v>
      </c>
      <c r="AL361" s="1">
        <v>1121</v>
      </c>
      <c r="AR361" s="1">
        <v>57</v>
      </c>
      <c r="AT361" s="1">
        <v>5.2003000000000004</v>
      </c>
      <c r="AU361" s="1">
        <v>10.696400000000001</v>
      </c>
      <c r="AV361" s="1">
        <v>42.717250000000007</v>
      </c>
      <c r="AW361" s="1">
        <v>24.33934</v>
      </c>
      <c r="AX361" s="1">
        <v>70.585449999999994</v>
      </c>
      <c r="AY361" s="1">
        <v>0.85</v>
      </c>
    </row>
    <row r="362" spans="4:51" x14ac:dyDescent="0.3">
      <c r="D362" s="2">
        <f t="shared" si="20"/>
        <v>1998</v>
      </c>
      <c r="E362" s="2">
        <f t="shared" si="21"/>
        <v>7</v>
      </c>
      <c r="F362" s="3" t="s">
        <v>179</v>
      </c>
      <c r="G362" s="4">
        <v>35997</v>
      </c>
      <c r="H362" s="1">
        <v>6606238</v>
      </c>
      <c r="I362" s="1">
        <v>661152</v>
      </c>
      <c r="J362" s="5" t="s">
        <v>176</v>
      </c>
      <c r="K362" s="1"/>
      <c r="L362" s="1" t="str">
        <f t="shared" si="22"/>
        <v xml:space="preserve">Oxundaån </v>
      </c>
      <c r="M362" s="1" t="s">
        <v>177</v>
      </c>
      <c r="N362" s="1">
        <v>0.5</v>
      </c>
      <c r="O362" s="1">
        <v>0.5</v>
      </c>
      <c r="Q362" s="1">
        <v>19.5</v>
      </c>
      <c r="T362" s="1">
        <v>45.7</v>
      </c>
      <c r="V362" s="1">
        <v>2.1819999999999999</v>
      </c>
      <c r="W362" s="1">
        <v>143</v>
      </c>
      <c r="X362" s="1">
        <f t="shared" si="23"/>
        <v>2.3426331537880571</v>
      </c>
      <c r="Y362" s="1">
        <v>6.0999999999999999E-2</v>
      </c>
      <c r="Z362" s="1">
        <v>63</v>
      </c>
      <c r="AD362" s="1">
        <v>57</v>
      </c>
      <c r="AE362" s="1">
        <v>7.64</v>
      </c>
      <c r="AG362" s="1">
        <v>3</v>
      </c>
      <c r="AI362" s="1">
        <v>10</v>
      </c>
      <c r="AK362" s="1">
        <v>89</v>
      </c>
      <c r="AL362" s="1">
        <v>1473</v>
      </c>
      <c r="AR362" s="1">
        <v>54.6</v>
      </c>
      <c r="AT362" s="1">
        <v>4.8093000000000004</v>
      </c>
      <c r="AU362" s="1">
        <v>9.6195000000000004</v>
      </c>
      <c r="AV362" s="1">
        <v>39.101350000000004</v>
      </c>
      <c r="AW362" s="1">
        <v>23.513500000000001</v>
      </c>
      <c r="AX362" s="1">
        <v>59.149549999999998</v>
      </c>
      <c r="AY362" s="1">
        <v>1.58</v>
      </c>
    </row>
    <row r="363" spans="4:51" x14ac:dyDescent="0.3">
      <c r="D363" s="2">
        <f t="shared" si="20"/>
        <v>1998</v>
      </c>
      <c r="E363" s="2">
        <f t="shared" si="21"/>
        <v>9</v>
      </c>
      <c r="F363" s="3"/>
      <c r="G363" s="4">
        <v>36039</v>
      </c>
      <c r="H363" s="1">
        <v>6606238</v>
      </c>
      <c r="I363" s="1">
        <v>661152</v>
      </c>
      <c r="J363" s="5" t="s">
        <v>176</v>
      </c>
      <c r="K363" s="1"/>
      <c r="L363" s="1" t="str">
        <f t="shared" si="22"/>
        <v xml:space="preserve">Oxundaån </v>
      </c>
      <c r="M363" s="1" t="s">
        <v>177</v>
      </c>
      <c r="N363" s="1">
        <v>0.5</v>
      </c>
      <c r="O363" s="1">
        <v>0.5</v>
      </c>
      <c r="Q363" s="1">
        <v>15</v>
      </c>
      <c r="T363" s="1">
        <v>44.6</v>
      </c>
      <c r="V363" s="1">
        <v>2.1819999999999999</v>
      </c>
      <c r="W363" s="1">
        <v>134</v>
      </c>
      <c r="X363" s="1">
        <f t="shared" si="23"/>
        <v>1.5068045978719946</v>
      </c>
      <c r="Y363" s="1">
        <v>5.0999999999999997E-2</v>
      </c>
      <c r="Z363" s="1">
        <v>61</v>
      </c>
      <c r="AD363" s="1">
        <v>61</v>
      </c>
      <c r="AE363" s="1">
        <v>7.62</v>
      </c>
      <c r="AG363" s="1">
        <v>5.7</v>
      </c>
      <c r="AI363" s="1">
        <v>9</v>
      </c>
      <c r="AK363" s="1">
        <v>87</v>
      </c>
      <c r="AL363" s="1">
        <v>1080</v>
      </c>
      <c r="AR363" s="1">
        <v>52.04</v>
      </c>
      <c r="AT363" s="1">
        <v>4.6920000000000002</v>
      </c>
      <c r="AU363" s="1">
        <v>9.1959999999999997</v>
      </c>
      <c r="AV363" s="1">
        <v>30.664250000000003</v>
      </c>
      <c r="AW363" s="1">
        <v>22.38944</v>
      </c>
      <c r="AX363" s="1">
        <v>56.026299999999992</v>
      </c>
      <c r="AY363" s="1">
        <v>0.96</v>
      </c>
    </row>
    <row r="364" spans="4:51" x14ac:dyDescent="0.3">
      <c r="D364" s="2">
        <f t="shared" si="20"/>
        <v>1998</v>
      </c>
      <c r="E364" s="2">
        <f t="shared" si="21"/>
        <v>9</v>
      </c>
      <c r="F364" s="3"/>
      <c r="G364" s="4">
        <v>36067</v>
      </c>
      <c r="H364" s="1">
        <v>6606238</v>
      </c>
      <c r="I364" s="1">
        <v>661152</v>
      </c>
      <c r="J364" s="5" t="s">
        <v>176</v>
      </c>
      <c r="K364" s="1"/>
      <c r="L364" s="1" t="str">
        <f t="shared" si="22"/>
        <v xml:space="preserve">Oxundaån </v>
      </c>
      <c r="M364" s="1" t="s">
        <v>177</v>
      </c>
      <c r="N364" s="1">
        <v>0.5</v>
      </c>
      <c r="O364" s="1">
        <v>0.5</v>
      </c>
      <c r="Q364" s="1">
        <v>14</v>
      </c>
      <c r="T364" s="1">
        <v>45.5</v>
      </c>
      <c r="V364" s="1">
        <v>2.1789999999999998</v>
      </c>
      <c r="W364" s="1">
        <v>118</v>
      </c>
      <c r="X364" s="1">
        <f t="shared" si="23"/>
        <v>0.93603810744692706</v>
      </c>
      <c r="Y364" s="1">
        <v>5.2999999999999999E-2</v>
      </c>
      <c r="Z364" s="1">
        <v>71</v>
      </c>
      <c r="AD364" s="1">
        <v>144</v>
      </c>
      <c r="AE364" s="1">
        <v>7.5</v>
      </c>
      <c r="AG364" s="1">
        <v>4.5</v>
      </c>
      <c r="AI364" s="1">
        <v>8.6999999999999993</v>
      </c>
      <c r="AK364" s="1">
        <v>91</v>
      </c>
      <c r="AL364" s="1">
        <v>755</v>
      </c>
      <c r="AR364" s="1">
        <v>54.480000000000004</v>
      </c>
      <c r="AT364" s="1">
        <v>5.0439000000000007</v>
      </c>
      <c r="AU364" s="1">
        <v>9.6316000000000006</v>
      </c>
      <c r="AV364" s="1">
        <v>29.210799999999999</v>
      </c>
      <c r="AW364" s="1">
        <v>22.572960000000002</v>
      </c>
      <c r="AX364" s="1">
        <v>61.552049999999994</v>
      </c>
      <c r="AY364" s="1">
        <v>1.52</v>
      </c>
    </row>
    <row r="365" spans="4:51" x14ac:dyDescent="0.3">
      <c r="D365" s="2">
        <f t="shared" si="20"/>
        <v>1998</v>
      </c>
      <c r="E365" s="2">
        <f t="shared" si="21"/>
        <v>10</v>
      </c>
      <c r="F365" s="3" t="s">
        <v>180</v>
      </c>
      <c r="G365" s="4">
        <v>36097</v>
      </c>
      <c r="H365" s="1">
        <v>6606238</v>
      </c>
      <c r="I365" s="1">
        <v>661152</v>
      </c>
      <c r="J365" s="5" t="s">
        <v>176</v>
      </c>
      <c r="K365" s="1"/>
      <c r="L365" s="1" t="str">
        <f t="shared" si="22"/>
        <v xml:space="preserve">Oxundaån </v>
      </c>
      <c r="M365" s="1" t="s">
        <v>177</v>
      </c>
      <c r="N365" s="1">
        <v>0.5</v>
      </c>
      <c r="O365" s="1">
        <v>0.5</v>
      </c>
      <c r="Q365" s="1">
        <v>6.8</v>
      </c>
      <c r="T365" s="1">
        <v>47.8</v>
      </c>
      <c r="V365" s="1">
        <v>2.1869999999999998</v>
      </c>
      <c r="W365" s="1">
        <v>49</v>
      </c>
      <c r="X365" s="1">
        <f t="shared" si="23"/>
        <v>0.40269337360014329</v>
      </c>
      <c r="Y365" s="1">
        <v>4.9000000000000002E-2</v>
      </c>
      <c r="Z365" s="1">
        <v>30</v>
      </c>
      <c r="AD365" s="1">
        <v>118</v>
      </c>
      <c r="AE365" s="1">
        <v>7.76</v>
      </c>
      <c r="AG365" s="1">
        <v>4.2</v>
      </c>
      <c r="AI365" s="1">
        <v>8.6999999999999993</v>
      </c>
      <c r="AK365" s="1">
        <v>70</v>
      </c>
      <c r="AL365" s="1">
        <v>1175</v>
      </c>
      <c r="AR365" s="1">
        <v>55.4</v>
      </c>
      <c r="AT365" s="1">
        <v>5.1221000000000005</v>
      </c>
      <c r="AU365" s="1">
        <v>10.309199999999999</v>
      </c>
      <c r="AV365" s="1">
        <v>32.755800000000001</v>
      </c>
      <c r="AW365" s="1">
        <v>23.788779999999999</v>
      </c>
      <c r="AX365" s="1">
        <v>66.78949999999999</v>
      </c>
      <c r="AY365" s="1">
        <v>1.82</v>
      </c>
    </row>
    <row r="366" spans="4:51" x14ac:dyDescent="0.3">
      <c r="D366" s="2">
        <f t="shared" si="20"/>
        <v>1998</v>
      </c>
      <c r="E366" s="2">
        <f t="shared" si="21"/>
        <v>12</v>
      </c>
      <c r="F366" s="3" t="s">
        <v>175</v>
      </c>
      <c r="G366" s="4">
        <v>36130</v>
      </c>
      <c r="H366" s="1">
        <v>6606238</v>
      </c>
      <c r="I366" s="1">
        <v>661152</v>
      </c>
      <c r="J366" s="5" t="s">
        <v>176</v>
      </c>
      <c r="K366" s="1"/>
      <c r="L366" s="1" t="str">
        <f t="shared" si="22"/>
        <v xml:space="preserve">Oxundaån </v>
      </c>
      <c r="M366" s="1" t="s">
        <v>177</v>
      </c>
      <c r="N366" s="1">
        <v>0.5</v>
      </c>
      <c r="O366" s="1">
        <v>0.5</v>
      </c>
      <c r="Q366" s="1">
        <v>2.2000000000000002</v>
      </c>
      <c r="T366" s="1">
        <v>52</v>
      </c>
      <c r="V366" s="1">
        <v>2.2210000000000001</v>
      </c>
      <c r="W366" s="1">
        <v>111</v>
      </c>
      <c r="X366" s="1">
        <f t="shared" si="23"/>
        <v>0.3625405233715211</v>
      </c>
      <c r="Y366" s="1">
        <v>0.05</v>
      </c>
      <c r="Z366" s="1">
        <v>38</v>
      </c>
      <c r="AD366" s="1">
        <v>375</v>
      </c>
      <c r="AE366" s="1">
        <v>7.52</v>
      </c>
      <c r="AG366" s="1">
        <v>3.1</v>
      </c>
      <c r="AI366" s="1">
        <v>8.8000000000000007</v>
      </c>
      <c r="AK366" s="1">
        <v>56</v>
      </c>
      <c r="AL366" s="1">
        <v>1252</v>
      </c>
      <c r="AR366" s="1">
        <v>61.959999999999994</v>
      </c>
      <c r="AT366" s="1">
        <v>5.8650000000000002</v>
      </c>
      <c r="AU366" s="1">
        <v>12.0274</v>
      </c>
      <c r="AV366" s="1">
        <v>37.896050000000002</v>
      </c>
      <c r="AW366" s="1">
        <v>25.899260000000002</v>
      </c>
      <c r="AX366" s="1">
        <v>85.144599999999997</v>
      </c>
      <c r="AY366" s="1">
        <v>1.86</v>
      </c>
    </row>
    <row r="367" spans="4:51" x14ac:dyDescent="0.3">
      <c r="D367" s="2">
        <f t="shared" si="20"/>
        <v>1998</v>
      </c>
      <c r="E367" s="2">
        <f t="shared" si="21"/>
        <v>12</v>
      </c>
      <c r="F367" s="3" t="s">
        <v>175</v>
      </c>
      <c r="G367" s="4">
        <v>36160</v>
      </c>
      <c r="H367" s="1">
        <v>6606238</v>
      </c>
      <c r="I367" s="1">
        <v>661152</v>
      </c>
      <c r="J367" s="5" t="s">
        <v>176</v>
      </c>
      <c r="K367" s="1"/>
      <c r="L367" s="1" t="str">
        <f t="shared" si="22"/>
        <v xml:space="preserve">Oxundaån </v>
      </c>
      <c r="M367" s="1" t="s">
        <v>177</v>
      </c>
      <c r="N367" s="1">
        <v>0.5</v>
      </c>
      <c r="O367" s="1">
        <v>0.5</v>
      </c>
      <c r="Q367" s="1">
        <v>1.5</v>
      </c>
      <c r="T367" s="1">
        <v>47.4</v>
      </c>
      <c r="V367" s="1">
        <v>1.9419999999999999</v>
      </c>
      <c r="W367" s="1">
        <v>97</v>
      </c>
      <c r="X367" s="1">
        <f t="shared" si="23"/>
        <v>0.12201430235152151</v>
      </c>
      <c r="Y367" s="1">
        <v>8.5000000000000006E-2</v>
      </c>
      <c r="Z367" s="1">
        <v>48</v>
      </c>
      <c r="AD367" s="1">
        <v>1610</v>
      </c>
      <c r="AE367" s="1">
        <v>7.13</v>
      </c>
      <c r="AG367" s="1">
        <v>17.7</v>
      </c>
      <c r="AI367" s="1">
        <v>9.1</v>
      </c>
      <c r="AK367" s="1">
        <v>76</v>
      </c>
      <c r="AL367" s="1">
        <v>2045</v>
      </c>
      <c r="AR367" s="1">
        <v>53.48</v>
      </c>
      <c r="AT367" s="1">
        <v>5.3176000000000005</v>
      </c>
      <c r="AU367" s="1">
        <v>11.0715</v>
      </c>
      <c r="AV367" s="1">
        <v>31.444150000000004</v>
      </c>
      <c r="AW367" s="1">
        <v>22.022400000000001</v>
      </c>
      <c r="AX367" s="1">
        <v>76.207300000000004</v>
      </c>
      <c r="AY367" s="1">
        <v>5.89</v>
      </c>
    </row>
    <row r="368" spans="4:51" x14ac:dyDescent="0.3">
      <c r="D368" s="2">
        <f t="shared" si="20"/>
        <v>1999</v>
      </c>
      <c r="E368" s="2">
        <f t="shared" si="21"/>
        <v>2</v>
      </c>
      <c r="F368" s="3" t="s">
        <v>175</v>
      </c>
      <c r="G368" s="4">
        <v>36193</v>
      </c>
      <c r="H368" s="1">
        <v>6606238</v>
      </c>
      <c r="I368" s="1">
        <v>661152</v>
      </c>
      <c r="J368" s="5" t="s">
        <v>176</v>
      </c>
      <c r="K368" s="1"/>
      <c r="L368" s="1" t="str">
        <f t="shared" si="22"/>
        <v xml:space="preserve">Oxundaån </v>
      </c>
      <c r="M368" s="1" t="s">
        <v>177</v>
      </c>
      <c r="N368" s="1">
        <v>0.5</v>
      </c>
      <c r="O368" s="1">
        <v>0.5</v>
      </c>
      <c r="Q368" s="1">
        <v>2</v>
      </c>
      <c r="T368" s="1">
        <v>45.8</v>
      </c>
      <c r="V368" s="1">
        <v>1.946</v>
      </c>
      <c r="W368" s="1">
        <v>129</v>
      </c>
      <c r="X368" s="1">
        <f t="shared" si="23"/>
        <v>0.14399668830858714</v>
      </c>
      <c r="Y368" s="1">
        <v>7.8E-2</v>
      </c>
      <c r="Z368" s="1">
        <v>32</v>
      </c>
      <c r="AD368" s="1">
        <v>1627</v>
      </c>
      <c r="AE368" s="1">
        <v>7.06</v>
      </c>
      <c r="AG368" s="1">
        <v>26.9</v>
      </c>
      <c r="AI368" s="1">
        <v>10.4</v>
      </c>
      <c r="AK368" s="1">
        <v>75</v>
      </c>
      <c r="AL368" s="1">
        <v>2187</v>
      </c>
      <c r="AR368" s="1">
        <v>54.64</v>
      </c>
      <c r="AT368" s="1">
        <v>5.6303999999999998</v>
      </c>
      <c r="AU368" s="1">
        <v>10.9505</v>
      </c>
      <c r="AV368" s="1">
        <v>31.337800000000001</v>
      </c>
      <c r="AW368" s="1">
        <v>21.747119999999999</v>
      </c>
      <c r="AX368" s="1">
        <v>73.6126</v>
      </c>
      <c r="AY368" s="1">
        <v>5.94</v>
      </c>
    </row>
    <row r="369" spans="4:51" x14ac:dyDescent="0.3">
      <c r="D369" s="2">
        <f t="shared" si="20"/>
        <v>1999</v>
      </c>
      <c r="E369" s="2">
        <f t="shared" si="21"/>
        <v>2</v>
      </c>
      <c r="F369" s="3" t="s">
        <v>175</v>
      </c>
      <c r="G369" s="4">
        <v>36214</v>
      </c>
      <c r="H369" s="1">
        <v>6606238</v>
      </c>
      <c r="I369" s="1">
        <v>661152</v>
      </c>
      <c r="J369" s="5" t="s">
        <v>176</v>
      </c>
      <c r="K369" s="1"/>
      <c r="L369" s="1" t="str">
        <f t="shared" si="22"/>
        <v xml:space="preserve">Oxundaån </v>
      </c>
      <c r="M369" s="1" t="s">
        <v>177</v>
      </c>
      <c r="N369" s="1">
        <v>0.5</v>
      </c>
      <c r="O369" s="1">
        <v>0.5</v>
      </c>
      <c r="Q369" s="1">
        <v>2</v>
      </c>
      <c r="T369" s="1">
        <v>49</v>
      </c>
      <c r="V369" s="1">
        <v>2.2130000000000001</v>
      </c>
      <c r="W369" s="1">
        <v>81</v>
      </c>
      <c r="X369" s="1">
        <f t="shared" si="23"/>
        <v>9.4672744283198898E-2</v>
      </c>
      <c r="Y369" s="1">
        <v>7.4999999999999997E-2</v>
      </c>
      <c r="Z369" s="1">
        <v>23</v>
      </c>
      <c r="AD369" s="1">
        <v>1746</v>
      </c>
      <c r="AE369" s="1">
        <v>7.08</v>
      </c>
      <c r="AG369" s="1">
        <v>16.8</v>
      </c>
      <c r="AI369" s="1">
        <v>9.5</v>
      </c>
      <c r="AK369" s="1">
        <v>59</v>
      </c>
      <c r="AL369" s="1">
        <v>2031</v>
      </c>
      <c r="AR369" s="1">
        <v>58.36</v>
      </c>
      <c r="AT369" s="1">
        <v>5.3176000000000005</v>
      </c>
      <c r="AU369" s="1">
        <v>10.89</v>
      </c>
      <c r="AV369" s="1">
        <v>35.095500000000001</v>
      </c>
      <c r="AW369" s="1">
        <v>23.444680000000002</v>
      </c>
      <c r="AX369" s="1">
        <v>70.825699999999998</v>
      </c>
      <c r="AY369" s="1">
        <v>5.92</v>
      </c>
    </row>
    <row r="370" spans="4:51" x14ac:dyDescent="0.3">
      <c r="D370" s="2">
        <f t="shared" si="20"/>
        <v>1999</v>
      </c>
      <c r="E370" s="2">
        <f t="shared" si="21"/>
        <v>3</v>
      </c>
      <c r="F370" s="3" t="s">
        <v>175</v>
      </c>
      <c r="G370" s="4">
        <v>36242</v>
      </c>
      <c r="H370" s="1">
        <v>6606238</v>
      </c>
      <c r="I370" s="1">
        <v>661152</v>
      </c>
      <c r="J370" s="5" t="s">
        <v>176</v>
      </c>
      <c r="K370" s="1"/>
      <c r="L370" s="1" t="str">
        <f t="shared" si="22"/>
        <v xml:space="preserve">Oxundaån </v>
      </c>
      <c r="M370" s="1" t="s">
        <v>177</v>
      </c>
      <c r="N370" s="1">
        <v>0.2</v>
      </c>
      <c r="O370" s="1">
        <v>0.2</v>
      </c>
      <c r="Q370" s="1">
        <v>1.8</v>
      </c>
      <c r="T370" s="1">
        <v>46.6</v>
      </c>
      <c r="V370" s="1">
        <v>2.0590000000000002</v>
      </c>
      <c r="W370" s="1">
        <v>66</v>
      </c>
      <c r="X370" s="1">
        <f t="shared" si="23"/>
        <v>0.13173678491536525</v>
      </c>
      <c r="Y370" s="1">
        <v>8.1000000000000003E-2</v>
      </c>
      <c r="Z370" s="1">
        <v>19</v>
      </c>
      <c r="AD370" s="1">
        <v>1321</v>
      </c>
      <c r="AE370" s="1">
        <v>7.32</v>
      </c>
      <c r="AG370" s="1">
        <v>11.8</v>
      </c>
      <c r="AI370" s="1">
        <v>9.9</v>
      </c>
      <c r="AK370" s="1">
        <v>52</v>
      </c>
      <c r="AL370" s="1">
        <v>2141</v>
      </c>
      <c r="AR370" s="1">
        <v>54.68</v>
      </c>
      <c r="AT370" s="1">
        <v>4.8483999999999998</v>
      </c>
      <c r="AU370" s="1">
        <v>10.151899999999999</v>
      </c>
      <c r="AV370" s="1">
        <v>34.1738</v>
      </c>
      <c r="AW370" s="1">
        <v>23.192339999999998</v>
      </c>
      <c r="AX370" s="1">
        <v>65.492149999999995</v>
      </c>
      <c r="AY370" s="1">
        <v>6.2</v>
      </c>
    </row>
    <row r="371" spans="4:51" x14ac:dyDescent="0.3">
      <c r="D371" s="2">
        <f t="shared" si="20"/>
        <v>1999</v>
      </c>
      <c r="E371" s="2">
        <f t="shared" si="21"/>
        <v>4</v>
      </c>
      <c r="F371" s="3" t="s">
        <v>178</v>
      </c>
      <c r="G371" s="4">
        <v>36277</v>
      </c>
      <c r="H371" s="1">
        <v>6606238</v>
      </c>
      <c r="I371" s="1">
        <v>661152</v>
      </c>
      <c r="J371" s="5" t="s">
        <v>176</v>
      </c>
      <c r="K371" s="1"/>
      <c r="L371" s="1" t="str">
        <f t="shared" si="22"/>
        <v xml:space="preserve">Oxundaån </v>
      </c>
      <c r="M371" s="1" t="s">
        <v>177</v>
      </c>
      <c r="N371" s="1">
        <v>0.5</v>
      </c>
      <c r="O371" s="1">
        <v>0.5</v>
      </c>
      <c r="Q371" s="1">
        <v>10</v>
      </c>
      <c r="T371" s="1">
        <v>41</v>
      </c>
      <c r="V371" s="1">
        <v>1.9830000000000001</v>
      </c>
      <c r="W371" s="1">
        <v>22</v>
      </c>
      <c r="X371" s="1">
        <f t="shared" si="23"/>
        <v>0.11713102379387937</v>
      </c>
      <c r="Y371" s="1">
        <v>8.4000000000000005E-2</v>
      </c>
      <c r="Z371" s="1">
        <v>7</v>
      </c>
      <c r="AD371" s="1">
        <v>501</v>
      </c>
      <c r="AE371" s="1">
        <v>7.46</v>
      </c>
      <c r="AG371" s="1">
        <v>12.1</v>
      </c>
      <c r="AI371" s="1">
        <v>9.3000000000000007</v>
      </c>
      <c r="AK371" s="1">
        <v>45</v>
      </c>
      <c r="AL371" s="1">
        <v>1869</v>
      </c>
      <c r="AR371" s="1">
        <v>49.04</v>
      </c>
      <c r="AT371" s="1">
        <v>4.6138000000000003</v>
      </c>
      <c r="AU371" s="1">
        <v>8.2038000000000011</v>
      </c>
      <c r="AV371" s="1">
        <v>32.791250000000005</v>
      </c>
      <c r="AW371" s="1">
        <v>20.370720000000002</v>
      </c>
      <c r="AX371" s="1">
        <v>46.848749999999995</v>
      </c>
      <c r="AY371" s="1">
        <v>3.67</v>
      </c>
    </row>
    <row r="372" spans="4:51" x14ac:dyDescent="0.3">
      <c r="D372" s="2">
        <f t="shared" si="20"/>
        <v>1999</v>
      </c>
      <c r="E372" s="2">
        <f t="shared" si="21"/>
        <v>6</v>
      </c>
      <c r="F372" s="3"/>
      <c r="G372" s="4">
        <v>36312</v>
      </c>
      <c r="H372" s="1">
        <v>6606238</v>
      </c>
      <c r="I372" s="1">
        <v>661152</v>
      </c>
      <c r="J372" s="5" t="s">
        <v>176</v>
      </c>
      <c r="K372" s="1"/>
      <c r="L372" s="1" t="str">
        <f t="shared" si="22"/>
        <v xml:space="preserve">Oxundaån </v>
      </c>
      <c r="M372" s="1" t="s">
        <v>177</v>
      </c>
      <c r="N372" s="1">
        <v>0.5</v>
      </c>
      <c r="O372" s="1">
        <v>0.5</v>
      </c>
      <c r="Q372" s="1">
        <v>17.100000000000001</v>
      </c>
      <c r="T372" s="1">
        <v>43.5</v>
      </c>
      <c r="V372" s="1">
        <v>2.21</v>
      </c>
      <c r="W372" s="1">
        <v>37</v>
      </c>
      <c r="X372" s="1">
        <f t="shared" si="23"/>
        <v>0.66788161788182854</v>
      </c>
      <c r="Y372" s="1">
        <v>6.4000000000000001E-2</v>
      </c>
      <c r="Z372" s="1">
        <v>2</v>
      </c>
      <c r="AD372" s="1">
        <v>226</v>
      </c>
      <c r="AE372" s="1">
        <v>7.76</v>
      </c>
      <c r="AG372" s="1">
        <v>5.7</v>
      </c>
      <c r="AI372" s="1">
        <v>10.3</v>
      </c>
      <c r="AK372" s="1">
        <v>34</v>
      </c>
      <c r="AL372" s="1">
        <v>1039</v>
      </c>
      <c r="AR372" s="1">
        <v>52.199999999999996</v>
      </c>
      <c r="AT372" s="1">
        <v>4.6138000000000003</v>
      </c>
      <c r="AU372" s="1">
        <v>8.3369</v>
      </c>
      <c r="AV372" s="1">
        <v>35.308199999999999</v>
      </c>
      <c r="AW372" s="1">
        <v>21.63242</v>
      </c>
      <c r="AX372" s="1">
        <v>46.560449999999996</v>
      </c>
      <c r="AY372" s="1">
        <v>2.5299999999999998</v>
      </c>
    </row>
    <row r="373" spans="4:51" x14ac:dyDescent="0.3">
      <c r="D373" s="2">
        <f t="shared" si="20"/>
        <v>1999</v>
      </c>
      <c r="E373" s="2">
        <f t="shared" si="21"/>
        <v>6</v>
      </c>
      <c r="F373" s="3"/>
      <c r="G373" s="4">
        <v>36333</v>
      </c>
      <c r="H373" s="1">
        <v>6606238</v>
      </c>
      <c r="I373" s="1">
        <v>661152</v>
      </c>
      <c r="J373" s="5" t="s">
        <v>176</v>
      </c>
      <c r="K373" s="1"/>
      <c r="L373" s="1" t="str">
        <f t="shared" si="22"/>
        <v xml:space="preserve">Oxundaån </v>
      </c>
      <c r="M373" s="1" t="s">
        <v>177</v>
      </c>
      <c r="N373" s="1">
        <v>0.5</v>
      </c>
      <c r="O373" s="1">
        <v>0.5</v>
      </c>
      <c r="Q373" s="1">
        <v>21</v>
      </c>
      <c r="T373" s="1">
        <v>43.8</v>
      </c>
      <c r="V373" s="1">
        <v>2.3570000000000002</v>
      </c>
      <c r="W373" s="1">
        <v>61</v>
      </c>
      <c r="X373" s="1">
        <f t="shared" si="23"/>
        <v>2.2798078556384875</v>
      </c>
      <c r="Y373" s="1">
        <v>6.2E-2</v>
      </c>
      <c r="Z373" s="1">
        <v>6</v>
      </c>
      <c r="AD373" s="1">
        <v>29</v>
      </c>
      <c r="AE373" s="1">
        <v>7.96</v>
      </c>
      <c r="AG373" s="1">
        <v>5.9</v>
      </c>
      <c r="AI373" s="1">
        <v>10.199999999999999</v>
      </c>
      <c r="AK373" s="1">
        <v>44</v>
      </c>
      <c r="AL373" s="1">
        <v>983</v>
      </c>
      <c r="AR373" s="1">
        <v>52.88</v>
      </c>
      <c r="AT373" s="1">
        <v>4.9657</v>
      </c>
      <c r="AU373" s="1">
        <v>8.7482999999999986</v>
      </c>
      <c r="AV373" s="1">
        <v>35.060050000000004</v>
      </c>
      <c r="AW373" s="1">
        <v>21.792999999999999</v>
      </c>
      <c r="AX373" s="1">
        <v>40.698349999999998</v>
      </c>
      <c r="AY373" s="1">
        <v>0.54</v>
      </c>
    </row>
    <row r="374" spans="4:51" x14ac:dyDescent="0.3">
      <c r="D374" s="2">
        <f t="shared" si="20"/>
        <v>1999</v>
      </c>
      <c r="E374" s="2">
        <f t="shared" si="21"/>
        <v>7</v>
      </c>
      <c r="F374" s="3" t="s">
        <v>179</v>
      </c>
      <c r="G374" s="4">
        <v>36368</v>
      </c>
      <c r="H374" s="1">
        <v>6606238</v>
      </c>
      <c r="I374" s="1">
        <v>661152</v>
      </c>
      <c r="J374" s="5" t="s">
        <v>176</v>
      </c>
      <c r="K374" s="1"/>
      <c r="L374" s="1" t="str">
        <f t="shared" si="22"/>
        <v xml:space="preserve">Oxundaån </v>
      </c>
      <c r="M374" s="1" t="s">
        <v>177</v>
      </c>
      <c r="N374" s="1">
        <v>0.5</v>
      </c>
      <c r="O374" s="1">
        <v>0.5</v>
      </c>
      <c r="Q374" s="1">
        <v>21.2</v>
      </c>
      <c r="T374" s="1">
        <v>43.4</v>
      </c>
      <c r="V374" s="1">
        <v>2.395</v>
      </c>
      <c r="W374" s="1">
        <v>52</v>
      </c>
      <c r="X374" s="1">
        <f t="shared" si="23"/>
        <v>1.3795661819041003</v>
      </c>
      <c r="Y374" s="1">
        <v>8.7999999999999995E-2</v>
      </c>
      <c r="Z374" s="1">
        <v>53</v>
      </c>
      <c r="AD374" s="1">
        <v>29</v>
      </c>
      <c r="AE374" s="1">
        <v>7.8</v>
      </c>
      <c r="AG374" s="1">
        <v>6.2</v>
      </c>
      <c r="AI374" s="1">
        <v>11.1</v>
      </c>
      <c r="AK374" s="1">
        <v>103</v>
      </c>
      <c r="AL374" s="1">
        <v>931</v>
      </c>
      <c r="AR374" s="1">
        <v>52.68</v>
      </c>
      <c r="AT374" s="1">
        <v>4.9657</v>
      </c>
      <c r="AU374" s="1">
        <v>8.5909999999999993</v>
      </c>
      <c r="AV374" s="1">
        <v>30.451550000000001</v>
      </c>
      <c r="AW374" s="1">
        <v>21.953579999999999</v>
      </c>
      <c r="AX374" s="1">
        <v>41.467149999999997</v>
      </c>
      <c r="AY374" s="1">
        <v>0.35</v>
      </c>
    </row>
    <row r="375" spans="4:51" x14ac:dyDescent="0.3">
      <c r="D375" s="2">
        <f t="shared" si="20"/>
        <v>1999</v>
      </c>
      <c r="E375" s="2">
        <f t="shared" si="21"/>
        <v>8</v>
      </c>
      <c r="F375" s="3" t="s">
        <v>179</v>
      </c>
      <c r="G375" s="4">
        <v>36403</v>
      </c>
      <c r="H375" s="1">
        <v>6606238</v>
      </c>
      <c r="I375" s="1">
        <v>661152</v>
      </c>
      <c r="J375" s="5" t="s">
        <v>176</v>
      </c>
      <c r="K375" s="1"/>
      <c r="L375" s="1" t="str">
        <f t="shared" si="22"/>
        <v xml:space="preserve">Oxundaån </v>
      </c>
      <c r="M375" s="1" t="s">
        <v>177</v>
      </c>
      <c r="N375" s="1">
        <v>0.5</v>
      </c>
      <c r="O375" s="1">
        <v>0.5</v>
      </c>
      <c r="Q375" s="1">
        <v>16.2</v>
      </c>
      <c r="T375" s="1">
        <v>40.6</v>
      </c>
      <c r="V375" s="1">
        <v>2.3050000000000002</v>
      </c>
      <c r="W375" s="1">
        <v>14</v>
      </c>
      <c r="X375" s="1">
        <f t="shared" si="23"/>
        <v>0.77037391294113566</v>
      </c>
      <c r="Y375" s="1">
        <v>6.2E-2</v>
      </c>
      <c r="Z375" s="1">
        <v>10</v>
      </c>
      <c r="AD375" s="1">
        <v>4</v>
      </c>
      <c r="AE375" s="1">
        <v>8.2899999999999991</v>
      </c>
      <c r="AG375" s="1">
        <v>11.6</v>
      </c>
      <c r="AI375" s="1">
        <v>11.1</v>
      </c>
      <c r="AK375" s="1">
        <v>93</v>
      </c>
      <c r="AL375" s="1">
        <v>1117</v>
      </c>
      <c r="AR375" s="1">
        <v>51.8</v>
      </c>
      <c r="AT375" s="1">
        <v>4.6920000000000002</v>
      </c>
      <c r="AU375" s="1">
        <v>8.6394000000000002</v>
      </c>
      <c r="AV375" s="1">
        <v>28.430900000000005</v>
      </c>
      <c r="AW375" s="1">
        <v>20.164260000000002</v>
      </c>
      <c r="AX375" s="1">
        <v>40.025649999999999</v>
      </c>
      <c r="AY375" s="1">
        <v>2.2999999999999998</v>
      </c>
    </row>
    <row r="376" spans="4:51" x14ac:dyDescent="0.3">
      <c r="D376" s="2">
        <f t="shared" si="20"/>
        <v>1999</v>
      </c>
      <c r="E376" s="2">
        <f t="shared" si="21"/>
        <v>9</v>
      </c>
      <c r="F376" s="3"/>
      <c r="G376" s="4">
        <v>36431</v>
      </c>
      <c r="H376" s="1">
        <v>6606238</v>
      </c>
      <c r="I376" s="1">
        <v>661152</v>
      </c>
      <c r="J376" s="5" t="s">
        <v>176</v>
      </c>
      <c r="K376" s="1"/>
      <c r="L376" s="1" t="str">
        <f t="shared" si="22"/>
        <v xml:space="preserve">Oxundaån </v>
      </c>
      <c r="M376" s="1" t="s">
        <v>177</v>
      </c>
      <c r="N376" s="1">
        <v>0.5</v>
      </c>
      <c r="O376" s="1">
        <v>0.5</v>
      </c>
      <c r="Q376" s="1">
        <v>16</v>
      </c>
      <c r="T376" s="1">
        <v>40.9</v>
      </c>
      <c r="V376" s="1">
        <v>2.2890000000000001</v>
      </c>
      <c r="W376" s="1">
        <v>134</v>
      </c>
      <c r="X376" s="1">
        <f t="shared" si="23"/>
        <v>1.4161808938347649</v>
      </c>
      <c r="Y376" s="1">
        <v>0.06</v>
      </c>
      <c r="Z376" s="1">
        <v>58</v>
      </c>
      <c r="AD376" s="1">
        <v>100</v>
      </c>
      <c r="AE376" s="1">
        <v>7.56</v>
      </c>
      <c r="AG376" s="1">
        <v>7</v>
      </c>
      <c r="AI376" s="1">
        <v>10.3</v>
      </c>
      <c r="AK376" s="1">
        <v>81</v>
      </c>
      <c r="AL376" s="1">
        <v>946</v>
      </c>
      <c r="AR376" s="1">
        <v>50.88</v>
      </c>
      <c r="AT376" s="1">
        <v>4.6528999999999998</v>
      </c>
      <c r="AU376" s="1">
        <v>8.9177</v>
      </c>
      <c r="AV376" s="1">
        <v>29.8489</v>
      </c>
      <c r="AW376" s="1">
        <v>19.453120000000002</v>
      </c>
      <c r="AX376" s="1">
        <v>40.890549999999998</v>
      </c>
      <c r="AY376" s="1">
        <v>1.78</v>
      </c>
    </row>
    <row r="377" spans="4:51" x14ac:dyDescent="0.3">
      <c r="D377" s="2">
        <f t="shared" si="20"/>
        <v>1999</v>
      </c>
      <c r="E377" s="2">
        <f t="shared" si="21"/>
        <v>10</v>
      </c>
      <c r="F377" s="3" t="s">
        <v>180</v>
      </c>
      <c r="G377" s="4">
        <v>36459</v>
      </c>
      <c r="H377" s="1">
        <v>6606238</v>
      </c>
      <c r="I377" s="1">
        <v>661152</v>
      </c>
      <c r="J377" s="5" t="s">
        <v>176</v>
      </c>
      <c r="K377" s="1"/>
      <c r="L377" s="1" t="str">
        <f t="shared" si="22"/>
        <v xml:space="preserve">Oxundaån </v>
      </c>
      <c r="M377" s="1" t="s">
        <v>177</v>
      </c>
      <c r="N377" s="1">
        <v>0.5</v>
      </c>
      <c r="O377" s="1">
        <v>0.5</v>
      </c>
      <c r="Q377" s="1">
        <v>9</v>
      </c>
      <c r="T377" s="1">
        <v>41</v>
      </c>
      <c r="V377" s="1">
        <v>2.3260000000000001</v>
      </c>
      <c r="W377" s="1">
        <v>118</v>
      </c>
      <c r="X377" s="1">
        <f t="shared" si="23"/>
        <v>0.54234836867401615</v>
      </c>
      <c r="Y377" s="1">
        <v>5.5E-2</v>
      </c>
      <c r="Z377" s="1">
        <v>62</v>
      </c>
      <c r="AD377" s="1">
        <v>194</v>
      </c>
      <c r="AE377" s="1">
        <v>7.43</v>
      </c>
      <c r="AG377" s="1">
        <v>3.6</v>
      </c>
      <c r="AI377" s="1">
        <v>10.1</v>
      </c>
      <c r="AK377" s="1">
        <v>78</v>
      </c>
      <c r="AL377" s="1">
        <v>1242</v>
      </c>
      <c r="AR377" s="1">
        <v>50.839999999999996</v>
      </c>
      <c r="AT377" s="1">
        <v>4.4183000000000003</v>
      </c>
      <c r="AU377" s="1">
        <v>8.3610999999999986</v>
      </c>
      <c r="AV377" s="1">
        <v>31.940450000000002</v>
      </c>
      <c r="AW377" s="1">
        <v>19.63664</v>
      </c>
      <c r="AX377" s="1">
        <v>43.244999999999997</v>
      </c>
      <c r="AY377" s="1">
        <v>2.81</v>
      </c>
    </row>
    <row r="378" spans="4:51" x14ac:dyDescent="0.3">
      <c r="D378" s="2">
        <f t="shared" si="20"/>
        <v>1999</v>
      </c>
      <c r="E378" s="2">
        <f t="shared" si="21"/>
        <v>11</v>
      </c>
      <c r="F378" s="3" t="s">
        <v>180</v>
      </c>
      <c r="G378" s="4">
        <v>36494</v>
      </c>
      <c r="H378" s="1">
        <v>6606238</v>
      </c>
      <c r="I378" s="1">
        <v>661152</v>
      </c>
      <c r="J378" s="5" t="s">
        <v>176</v>
      </c>
      <c r="K378" s="1"/>
      <c r="L378" s="1" t="str">
        <f t="shared" si="22"/>
        <v xml:space="preserve">Oxundaån </v>
      </c>
      <c r="M378" s="1" t="s">
        <v>177</v>
      </c>
      <c r="N378" s="1">
        <v>0.5</v>
      </c>
      <c r="O378" s="1">
        <v>0.5</v>
      </c>
      <c r="Q378" s="1">
        <v>2</v>
      </c>
      <c r="T378" s="1">
        <v>42</v>
      </c>
      <c r="V378" s="1">
        <v>2.222</v>
      </c>
      <c r="W378" s="1">
        <v>39</v>
      </c>
      <c r="X378" s="1">
        <f t="shared" si="23"/>
        <v>0.20748931443196258</v>
      </c>
      <c r="Y378" s="1">
        <v>5.0999999999999997E-2</v>
      </c>
      <c r="Z378" s="1">
        <v>40</v>
      </c>
      <c r="AD378" s="1">
        <v>257</v>
      </c>
      <c r="AE378" s="1">
        <v>7.74</v>
      </c>
      <c r="AG378" s="1">
        <v>3.6</v>
      </c>
      <c r="AI378" s="1">
        <v>10.199999999999999</v>
      </c>
      <c r="AK378" s="1">
        <v>59</v>
      </c>
      <c r="AL378" s="1">
        <v>960</v>
      </c>
      <c r="AR378" s="1">
        <v>52.12</v>
      </c>
      <c r="AT378" s="1">
        <v>4.7310999999999996</v>
      </c>
      <c r="AU378" s="1">
        <v>8.5305</v>
      </c>
      <c r="AV378" s="1">
        <v>26.871100000000002</v>
      </c>
      <c r="AW378" s="1">
        <v>19.911920000000002</v>
      </c>
      <c r="AX378" s="1">
        <v>49.491499999999995</v>
      </c>
      <c r="AY378" s="1">
        <v>3.39</v>
      </c>
    </row>
    <row r="379" spans="4:51" x14ac:dyDescent="0.3">
      <c r="D379" s="2">
        <f t="shared" si="20"/>
        <v>1999</v>
      </c>
      <c r="E379" s="2">
        <f t="shared" si="21"/>
        <v>12</v>
      </c>
      <c r="F379" s="3" t="s">
        <v>175</v>
      </c>
      <c r="G379" s="4">
        <v>36521</v>
      </c>
      <c r="H379" s="1">
        <v>6606238</v>
      </c>
      <c r="I379" s="1">
        <v>661152</v>
      </c>
      <c r="J379" s="5" t="s">
        <v>176</v>
      </c>
      <c r="K379" s="1"/>
      <c r="L379" s="1" t="str">
        <f t="shared" si="22"/>
        <v xml:space="preserve">Oxundaån </v>
      </c>
      <c r="M379" s="1" t="s">
        <v>177</v>
      </c>
      <c r="N379" s="1">
        <v>0.5</v>
      </c>
      <c r="O379" s="1">
        <v>0.5</v>
      </c>
      <c r="Q379" s="1">
        <v>1.1000000000000001</v>
      </c>
      <c r="T379" s="1">
        <v>44</v>
      </c>
      <c r="V379" s="1">
        <v>2.2759999999999998</v>
      </c>
      <c r="W379" s="1">
        <v>10</v>
      </c>
      <c r="X379" s="1">
        <f t="shared" si="23"/>
        <v>3.4213698686922769E-2</v>
      </c>
      <c r="Y379" s="1">
        <v>6.9000000000000006E-2</v>
      </c>
      <c r="Z379" s="1">
        <v>40</v>
      </c>
      <c r="AD379" s="1">
        <v>440</v>
      </c>
      <c r="AE379" s="1">
        <v>7.58</v>
      </c>
      <c r="AG379" s="1">
        <v>2.1</v>
      </c>
      <c r="AI379" s="1">
        <v>10.1</v>
      </c>
      <c r="AK379" s="1">
        <v>51</v>
      </c>
      <c r="AL379" s="1">
        <v>1118</v>
      </c>
      <c r="AR379" s="1">
        <v>53.32</v>
      </c>
      <c r="AT379" s="1">
        <v>4.8875000000000002</v>
      </c>
      <c r="AU379" s="1">
        <v>9.0991999999999997</v>
      </c>
      <c r="AV379" s="1">
        <v>31.975900000000003</v>
      </c>
      <c r="AW379" s="1">
        <v>21.540659999999999</v>
      </c>
      <c r="AX379" s="1">
        <v>51.269349999999996</v>
      </c>
      <c r="AY379" s="1">
        <v>3.58</v>
      </c>
    </row>
    <row r="380" spans="4:51" x14ac:dyDescent="0.3">
      <c r="D380" s="2">
        <f t="shared" si="20"/>
        <v>2000</v>
      </c>
      <c r="E380" s="2">
        <f t="shared" si="21"/>
        <v>2</v>
      </c>
      <c r="F380" s="3" t="s">
        <v>175</v>
      </c>
      <c r="G380" s="4">
        <v>36557</v>
      </c>
      <c r="H380" s="1">
        <v>6606238</v>
      </c>
      <c r="I380" s="1">
        <v>661152</v>
      </c>
      <c r="J380" s="5" t="s">
        <v>176</v>
      </c>
      <c r="K380" s="1"/>
      <c r="L380" s="1" t="str">
        <f t="shared" si="22"/>
        <v xml:space="preserve">Oxundaån </v>
      </c>
      <c r="M380" s="1" t="s">
        <v>177</v>
      </c>
      <c r="N380" s="1">
        <v>0.5</v>
      </c>
      <c r="O380" s="1">
        <v>0.5</v>
      </c>
      <c r="Q380" s="1">
        <v>2</v>
      </c>
      <c r="T380" s="1">
        <v>50.2</v>
      </c>
      <c r="V380" s="1">
        <v>2.1619999999999999</v>
      </c>
      <c r="W380" s="1">
        <v>82</v>
      </c>
      <c r="X380" s="1">
        <f t="shared" si="23"/>
        <v>0.15893484413862236</v>
      </c>
      <c r="Y380" s="1">
        <v>6.6000000000000003E-2</v>
      </c>
      <c r="Z380" s="1">
        <v>31</v>
      </c>
      <c r="AD380" s="1">
        <v>1369</v>
      </c>
      <c r="AE380" s="1">
        <v>7.3</v>
      </c>
      <c r="AG380" s="1">
        <v>3.9</v>
      </c>
      <c r="AI380" s="1">
        <v>9.1</v>
      </c>
      <c r="AK380" s="1">
        <v>52</v>
      </c>
      <c r="AL380" s="1">
        <v>1891</v>
      </c>
      <c r="AR380" s="1">
        <v>59.960000000000008</v>
      </c>
      <c r="AT380" s="1">
        <v>5.9823000000000004</v>
      </c>
      <c r="AU380" s="1">
        <v>11.0352</v>
      </c>
      <c r="AV380" s="1">
        <v>43.851650000000006</v>
      </c>
      <c r="AW380" s="1">
        <v>27.25272</v>
      </c>
      <c r="AX380" s="1">
        <v>73.852849999999989</v>
      </c>
      <c r="AY380" s="1">
        <v>4.3099999999999996</v>
      </c>
    </row>
    <row r="381" spans="4:51" x14ac:dyDescent="0.3">
      <c r="D381" s="2">
        <f t="shared" si="20"/>
        <v>2000</v>
      </c>
      <c r="E381" s="2">
        <f t="shared" si="21"/>
        <v>2</v>
      </c>
      <c r="F381" s="3" t="s">
        <v>175</v>
      </c>
      <c r="G381" s="4">
        <v>36585</v>
      </c>
      <c r="H381" s="1">
        <v>6606238</v>
      </c>
      <c r="I381" s="1">
        <v>661152</v>
      </c>
      <c r="J381" s="5" t="s">
        <v>176</v>
      </c>
      <c r="K381" s="1"/>
      <c r="L381" s="1" t="str">
        <f t="shared" si="22"/>
        <v xml:space="preserve">Oxundaån </v>
      </c>
      <c r="M381" s="1" t="s">
        <v>177</v>
      </c>
      <c r="N381" s="1">
        <v>0.5</v>
      </c>
      <c r="O381" s="1">
        <v>0.5</v>
      </c>
      <c r="Q381" s="1">
        <v>1.6</v>
      </c>
      <c r="T381" s="1">
        <v>51.1</v>
      </c>
      <c r="V381" s="1">
        <v>2.17</v>
      </c>
      <c r="W381" s="1">
        <v>46</v>
      </c>
      <c r="X381" s="1">
        <f t="shared" si="23"/>
        <v>8.6247423646674953E-2</v>
      </c>
      <c r="Y381" s="1">
        <v>5.2999999999999999E-2</v>
      </c>
      <c r="Z381" s="1">
        <v>7</v>
      </c>
      <c r="AD381" s="1">
        <v>1032</v>
      </c>
      <c r="AE381" s="1">
        <v>7.3</v>
      </c>
      <c r="AG381" s="1">
        <v>3.8</v>
      </c>
      <c r="AI381" s="1">
        <v>9.3000000000000007</v>
      </c>
      <c r="AK381" s="1">
        <v>31</v>
      </c>
      <c r="AL381" s="1">
        <v>1605</v>
      </c>
      <c r="AR381" s="1">
        <v>60.12</v>
      </c>
      <c r="AT381" s="1">
        <v>5.8650000000000002</v>
      </c>
      <c r="AU381" s="1">
        <v>11.4224</v>
      </c>
      <c r="AV381" s="1">
        <v>43.497150000000005</v>
      </c>
      <c r="AW381" s="1">
        <v>27.344480000000001</v>
      </c>
      <c r="AX381" s="1">
        <v>75.390449999999987</v>
      </c>
      <c r="AY381" s="1">
        <v>4.3</v>
      </c>
    </row>
    <row r="382" spans="4:51" x14ac:dyDescent="0.3">
      <c r="D382" s="2">
        <f t="shared" si="20"/>
        <v>2000</v>
      </c>
      <c r="E382" s="2">
        <f t="shared" si="21"/>
        <v>3</v>
      </c>
      <c r="F382" s="3" t="s">
        <v>175</v>
      </c>
      <c r="G382" s="4">
        <v>36613</v>
      </c>
      <c r="H382" s="1">
        <v>6606238</v>
      </c>
      <c r="I382" s="1">
        <v>661152</v>
      </c>
      <c r="J382" s="5" t="s">
        <v>176</v>
      </c>
      <c r="K382" s="1"/>
      <c r="L382" s="1" t="str">
        <f t="shared" si="22"/>
        <v xml:space="preserve">Oxundaån </v>
      </c>
      <c r="M382" s="1" t="s">
        <v>177</v>
      </c>
      <c r="N382" s="1">
        <v>0.5</v>
      </c>
      <c r="O382" s="1">
        <v>0.5</v>
      </c>
      <c r="Q382" s="1">
        <v>6.5</v>
      </c>
      <c r="T382" s="1">
        <v>48</v>
      </c>
      <c r="V382" s="1">
        <v>1.944</v>
      </c>
      <c r="W382" s="1">
        <v>26</v>
      </c>
      <c r="X382" s="1">
        <f t="shared" si="23"/>
        <v>0.15147362102934106</v>
      </c>
      <c r="Y382" s="1">
        <v>5.1999999999999998E-2</v>
      </c>
      <c r="Z382" s="1">
        <v>3</v>
      </c>
      <c r="AD382" s="1">
        <v>567</v>
      </c>
      <c r="AE382" s="1">
        <v>7.62</v>
      </c>
      <c r="AG382" s="1">
        <v>7.5</v>
      </c>
      <c r="AI382" s="1">
        <v>7.4</v>
      </c>
      <c r="AK382" s="1">
        <v>34</v>
      </c>
      <c r="AL382" s="1">
        <v>1280</v>
      </c>
      <c r="AR382" s="1">
        <v>55.679999999999993</v>
      </c>
      <c r="AT382" s="1">
        <v>5.5522</v>
      </c>
      <c r="AU382" s="1">
        <v>10.708499999999999</v>
      </c>
      <c r="AV382" s="1">
        <v>36.229900000000001</v>
      </c>
      <c r="AW382" s="1">
        <v>26.243359999999999</v>
      </c>
      <c r="AX382" s="1">
        <v>77.072199999999995</v>
      </c>
      <c r="AY382" s="1">
        <v>4.01</v>
      </c>
    </row>
    <row r="383" spans="4:51" x14ac:dyDescent="0.3">
      <c r="D383" s="2">
        <f t="shared" si="20"/>
        <v>2000</v>
      </c>
      <c r="E383" s="2">
        <f t="shared" si="21"/>
        <v>4</v>
      </c>
      <c r="F383" s="3" t="s">
        <v>178</v>
      </c>
      <c r="G383" s="4">
        <v>36642</v>
      </c>
      <c r="H383" s="1">
        <v>6606238</v>
      </c>
      <c r="I383" s="1">
        <v>661152</v>
      </c>
      <c r="J383" s="5" t="s">
        <v>176</v>
      </c>
      <c r="K383" s="1"/>
      <c r="L383" s="1" t="str">
        <f t="shared" si="22"/>
        <v xml:space="preserve">Oxundaån </v>
      </c>
      <c r="M383" s="1" t="s">
        <v>177</v>
      </c>
      <c r="N383" s="1">
        <v>0.5</v>
      </c>
      <c r="O383" s="1">
        <v>0.5</v>
      </c>
      <c r="Q383" s="1">
        <v>8.5</v>
      </c>
      <c r="T383" s="1">
        <v>45.3</v>
      </c>
      <c r="V383" s="1">
        <v>2.0710000000000002</v>
      </c>
      <c r="W383" s="1">
        <v>18</v>
      </c>
      <c r="X383" s="1">
        <f t="shared" si="23"/>
        <v>0.16538059524197271</v>
      </c>
      <c r="Y383" s="1">
        <v>5.3999999999999999E-2</v>
      </c>
      <c r="Z383" s="1">
        <v>3</v>
      </c>
      <c r="AD383" s="1">
        <v>369</v>
      </c>
      <c r="AE383" s="1">
        <v>7.75</v>
      </c>
      <c r="AG383" s="1">
        <v>4.8</v>
      </c>
      <c r="AI383" s="1">
        <v>8.6</v>
      </c>
      <c r="AK383" s="1">
        <v>35</v>
      </c>
      <c r="AL383" s="1">
        <v>1062</v>
      </c>
      <c r="AR383" s="1">
        <v>54.720000000000006</v>
      </c>
      <c r="AT383" s="1">
        <v>4.9266000000000005</v>
      </c>
      <c r="AU383" s="1">
        <v>10.200299999999999</v>
      </c>
      <c r="AV383" s="1">
        <v>35.981749999999998</v>
      </c>
      <c r="AW383" s="1">
        <v>25.532220000000002</v>
      </c>
      <c r="AX383" s="1">
        <v>66.93365</v>
      </c>
      <c r="AY383" s="1">
        <v>2.99</v>
      </c>
    </row>
    <row r="384" spans="4:51" x14ac:dyDescent="0.3">
      <c r="D384" s="2">
        <f t="shared" si="20"/>
        <v>2000</v>
      </c>
      <c r="E384" s="2">
        <f t="shared" si="21"/>
        <v>5</v>
      </c>
      <c r="F384" s="3" t="s">
        <v>178</v>
      </c>
      <c r="G384" s="4">
        <v>36676</v>
      </c>
      <c r="H384" s="1">
        <v>6606238</v>
      </c>
      <c r="I384" s="1">
        <v>661152</v>
      </c>
      <c r="J384" s="5" t="s">
        <v>176</v>
      </c>
      <c r="K384" s="1"/>
      <c r="L384" s="1" t="str">
        <f t="shared" si="22"/>
        <v xml:space="preserve">Oxundaån </v>
      </c>
      <c r="M384" s="1" t="s">
        <v>177</v>
      </c>
      <c r="N384" s="1">
        <v>0.5</v>
      </c>
      <c r="O384" s="1">
        <v>0.5</v>
      </c>
      <c r="Q384" s="1">
        <v>16</v>
      </c>
      <c r="T384" s="1">
        <v>50.1</v>
      </c>
      <c r="V384" s="1">
        <v>2.198</v>
      </c>
      <c r="W384" s="1">
        <v>134</v>
      </c>
      <c r="X384" s="1">
        <f t="shared" si="23"/>
        <v>2.0841321117911873</v>
      </c>
      <c r="Y384" s="1">
        <v>4.2000000000000003E-2</v>
      </c>
      <c r="Z384" s="1">
        <v>29</v>
      </c>
      <c r="AD384" s="1">
        <v>4</v>
      </c>
      <c r="AE384" s="1">
        <v>7.73</v>
      </c>
      <c r="AG384" s="1">
        <v>3.8</v>
      </c>
      <c r="AI384" s="1">
        <v>8.9</v>
      </c>
      <c r="AK384" s="1">
        <v>57</v>
      </c>
      <c r="AL384" s="1">
        <v>825</v>
      </c>
      <c r="AR384" s="1">
        <v>57.44</v>
      </c>
      <c r="AT384" s="1">
        <v>5.3176000000000005</v>
      </c>
      <c r="AU384" s="1">
        <v>10.309199999999999</v>
      </c>
      <c r="AV384" s="1">
        <v>36.017200000000003</v>
      </c>
      <c r="AW384" s="1">
        <v>26.059839999999998</v>
      </c>
      <c r="AX384" s="1">
        <v>68.038799999999995</v>
      </c>
      <c r="AY384" s="1">
        <v>3.25</v>
      </c>
    </row>
    <row r="385" spans="4:51" x14ac:dyDescent="0.3">
      <c r="D385" s="2">
        <f t="shared" si="20"/>
        <v>2000</v>
      </c>
      <c r="E385" s="2">
        <f t="shared" si="21"/>
        <v>6</v>
      </c>
      <c r="F385" s="3"/>
      <c r="G385" s="4">
        <v>36704</v>
      </c>
      <c r="H385" s="1">
        <v>6606238</v>
      </c>
      <c r="I385" s="1">
        <v>661152</v>
      </c>
      <c r="J385" s="5" t="s">
        <v>176</v>
      </c>
      <c r="K385" s="1"/>
      <c r="L385" s="1" t="str">
        <f t="shared" si="22"/>
        <v xml:space="preserve">Oxundaån </v>
      </c>
      <c r="M385" s="1" t="s">
        <v>177</v>
      </c>
      <c r="N385" s="1">
        <v>0.5</v>
      </c>
      <c r="O385" s="1">
        <v>0.5</v>
      </c>
      <c r="Q385" s="1">
        <v>18.5</v>
      </c>
      <c r="T385" s="1">
        <v>50.6</v>
      </c>
      <c r="V385" s="1">
        <v>2.1339999999999999</v>
      </c>
      <c r="W385" s="1">
        <v>62</v>
      </c>
      <c r="X385" s="1">
        <f t="shared" si="23"/>
        <v>1.1322557141067016</v>
      </c>
      <c r="Y385" s="1">
        <v>3.7999999999999999E-2</v>
      </c>
      <c r="Z385" s="1">
        <v>17</v>
      </c>
      <c r="AD385" s="1">
        <v>11</v>
      </c>
      <c r="AE385" s="1">
        <v>7.72</v>
      </c>
      <c r="AG385" s="1">
        <v>1.8</v>
      </c>
      <c r="AI385" s="1">
        <v>6.3</v>
      </c>
      <c r="AK385" s="1">
        <v>50</v>
      </c>
      <c r="AL385" s="1">
        <v>802</v>
      </c>
      <c r="AR385" s="1">
        <v>56.72</v>
      </c>
      <c r="AT385" s="1">
        <v>5.3176000000000005</v>
      </c>
      <c r="AU385" s="1">
        <v>10.103499999999999</v>
      </c>
      <c r="AV385" s="1">
        <v>45.836849999999998</v>
      </c>
      <c r="AW385" s="1">
        <v>26.403940000000002</v>
      </c>
      <c r="AX385" s="1">
        <v>70.777649999999994</v>
      </c>
      <c r="AY385" s="1">
        <v>1.1299999999999999</v>
      </c>
    </row>
    <row r="386" spans="4:51" x14ac:dyDescent="0.3">
      <c r="D386" s="2">
        <f t="shared" ref="D386:D449" si="24">YEAR(G386)</f>
        <v>2000</v>
      </c>
      <c r="E386" s="2">
        <f t="shared" ref="E386:E449" si="25">MONTH(G386)</f>
        <v>8</v>
      </c>
      <c r="F386" s="3" t="s">
        <v>179</v>
      </c>
      <c r="G386" s="4">
        <v>36739</v>
      </c>
      <c r="H386" s="1">
        <v>6606238</v>
      </c>
      <c r="I386" s="1">
        <v>661152</v>
      </c>
      <c r="J386" s="5" t="s">
        <v>176</v>
      </c>
      <c r="K386" s="1"/>
      <c r="L386" s="1" t="str">
        <f t="shared" ref="L386:L449" si="26">CONCATENATE(J386," ",K386)</f>
        <v xml:space="preserve">Oxundaån </v>
      </c>
      <c r="M386" s="1" t="s">
        <v>177</v>
      </c>
      <c r="N386" s="1">
        <v>0.1</v>
      </c>
      <c r="O386" s="1">
        <v>0.1</v>
      </c>
      <c r="Q386" s="1">
        <v>19.8</v>
      </c>
      <c r="T386" s="1">
        <v>47</v>
      </c>
      <c r="V386" s="1">
        <v>2.0950000000000002</v>
      </c>
      <c r="W386" s="1">
        <v>15</v>
      </c>
      <c r="X386" s="1">
        <f t="shared" ref="X386:X395" si="27">W386 * (1/((10^((0.0901821 + (2729.92 /(273.15 + Q386)))-AE386)+1)))</f>
        <v>0.40304797998655728</v>
      </c>
      <c r="Y386" s="1">
        <v>5.0999999999999997E-2</v>
      </c>
      <c r="Z386" s="1">
        <v>40</v>
      </c>
      <c r="AD386" s="1">
        <v>5</v>
      </c>
      <c r="AE386" s="1">
        <v>7.85</v>
      </c>
      <c r="AG386" s="1">
        <v>3.2</v>
      </c>
      <c r="AI386" s="1">
        <v>8.9</v>
      </c>
      <c r="AK386" s="1">
        <v>81</v>
      </c>
      <c r="AL386" s="1">
        <v>766</v>
      </c>
      <c r="AR386" s="1">
        <v>54.36</v>
      </c>
      <c r="AT386" s="1">
        <v>4.9657</v>
      </c>
      <c r="AU386" s="1">
        <v>8.9660999999999991</v>
      </c>
      <c r="AV386" s="1">
        <v>40.5548</v>
      </c>
      <c r="AW386" s="1">
        <v>24.431100000000001</v>
      </c>
      <c r="AX386" s="1">
        <v>59.726150000000004</v>
      </c>
      <c r="AY386" s="1">
        <v>1.34</v>
      </c>
    </row>
    <row r="387" spans="4:51" x14ac:dyDescent="0.3">
      <c r="D387" s="2">
        <f t="shared" si="24"/>
        <v>2000</v>
      </c>
      <c r="E387" s="2">
        <f t="shared" si="25"/>
        <v>8</v>
      </c>
      <c r="F387" s="3" t="s">
        <v>179</v>
      </c>
      <c r="G387" s="4">
        <v>36767</v>
      </c>
      <c r="H387" s="1">
        <v>6606238</v>
      </c>
      <c r="I387" s="1">
        <v>661152</v>
      </c>
      <c r="J387" s="5" t="s">
        <v>176</v>
      </c>
      <c r="K387" s="1"/>
      <c r="L387" s="1" t="str">
        <f t="shared" si="26"/>
        <v xml:space="preserve">Oxundaån </v>
      </c>
      <c r="M387" s="1" t="s">
        <v>177</v>
      </c>
      <c r="N387" s="1">
        <v>0.5</v>
      </c>
      <c r="O387" s="1">
        <v>0.5</v>
      </c>
      <c r="Q387" s="1">
        <v>18.5</v>
      </c>
      <c r="T387" s="1">
        <v>48.3</v>
      </c>
      <c r="V387" s="1">
        <v>2.21</v>
      </c>
      <c r="W387" s="1">
        <v>41</v>
      </c>
      <c r="X387" s="1">
        <f t="shared" si="27"/>
        <v>1.0978760891818165</v>
      </c>
      <c r="Y387" s="1">
        <v>6.5000000000000002E-2</v>
      </c>
      <c r="Z387" s="1">
        <v>52</v>
      </c>
      <c r="AD387" s="1">
        <v>6</v>
      </c>
      <c r="AE387" s="1">
        <v>7.89</v>
      </c>
      <c r="AG387" s="1">
        <v>3.4</v>
      </c>
      <c r="AI387" s="1">
        <v>9.1</v>
      </c>
      <c r="AK387" s="1">
        <v>107</v>
      </c>
      <c r="AL387" s="1">
        <v>858</v>
      </c>
      <c r="AR387" s="1">
        <v>53.36</v>
      </c>
      <c r="AT387" s="1">
        <v>5.2003000000000004</v>
      </c>
      <c r="AU387" s="1">
        <v>9.3895999999999997</v>
      </c>
      <c r="AV387" s="1">
        <v>42.185500000000005</v>
      </c>
      <c r="AW387" s="1">
        <v>25.440460000000002</v>
      </c>
      <c r="AX387" s="1">
        <v>59.678099999999993</v>
      </c>
      <c r="AY387" s="1">
        <v>2.21</v>
      </c>
    </row>
    <row r="388" spans="4:51" x14ac:dyDescent="0.3">
      <c r="D388" s="2">
        <f t="shared" si="24"/>
        <v>2000</v>
      </c>
      <c r="E388" s="2">
        <f t="shared" si="25"/>
        <v>9</v>
      </c>
      <c r="F388" s="3"/>
      <c r="G388" s="4">
        <v>36795</v>
      </c>
      <c r="H388" s="1">
        <v>6606238</v>
      </c>
      <c r="I388" s="1">
        <v>661152</v>
      </c>
      <c r="J388" s="5" t="s">
        <v>176</v>
      </c>
      <c r="K388" s="1"/>
      <c r="L388" s="1" t="str">
        <f t="shared" si="26"/>
        <v xml:space="preserve">Oxundaån </v>
      </c>
      <c r="M388" s="1" t="s">
        <v>177</v>
      </c>
      <c r="N388" s="1">
        <v>0.5</v>
      </c>
      <c r="O388" s="1">
        <v>0.5</v>
      </c>
      <c r="Q388" s="1">
        <v>12.1</v>
      </c>
      <c r="T388" s="1">
        <v>45.6</v>
      </c>
      <c r="V388" s="1">
        <v>2.2029999999999998</v>
      </c>
      <c r="W388" s="1">
        <v>38</v>
      </c>
      <c r="X388" s="1">
        <f t="shared" si="27"/>
        <v>0.3131382949444983</v>
      </c>
      <c r="Y388" s="1">
        <v>4.7E-2</v>
      </c>
      <c r="Z388" s="1">
        <v>44</v>
      </c>
      <c r="AD388" s="1">
        <v>4</v>
      </c>
      <c r="AE388" s="1">
        <v>7.58</v>
      </c>
      <c r="AG388" s="1">
        <v>3.9</v>
      </c>
      <c r="AI388" s="1">
        <v>9.4</v>
      </c>
      <c r="AK388" s="1">
        <v>73</v>
      </c>
      <c r="AL388" s="1">
        <v>654</v>
      </c>
      <c r="AR388" s="1">
        <v>55.339999999999996</v>
      </c>
      <c r="AT388" s="1">
        <v>5.1612</v>
      </c>
      <c r="AU388" s="1">
        <v>10.0793</v>
      </c>
      <c r="AV388" s="1">
        <v>41.334699999999998</v>
      </c>
      <c r="AW388" s="1">
        <v>26.358060000000002</v>
      </c>
      <c r="AX388" s="1">
        <v>66.068749999999994</v>
      </c>
      <c r="AY388" s="1">
        <v>1.95</v>
      </c>
    </row>
    <row r="389" spans="4:51" x14ac:dyDescent="0.3">
      <c r="D389" s="2">
        <f t="shared" si="24"/>
        <v>2000</v>
      </c>
      <c r="E389" s="2">
        <f t="shared" si="25"/>
        <v>10</v>
      </c>
      <c r="F389" s="3" t="s">
        <v>180</v>
      </c>
      <c r="G389" s="4">
        <v>36830</v>
      </c>
      <c r="H389" s="1">
        <v>6606238</v>
      </c>
      <c r="I389" s="1">
        <v>661152</v>
      </c>
      <c r="J389" s="5" t="s">
        <v>176</v>
      </c>
      <c r="K389" s="1"/>
      <c r="L389" s="1" t="str">
        <f t="shared" si="26"/>
        <v xml:space="preserve">Oxundaån </v>
      </c>
      <c r="M389" s="1" t="s">
        <v>177</v>
      </c>
      <c r="N389" s="1">
        <v>0.5</v>
      </c>
      <c r="O389" s="1">
        <v>0.5</v>
      </c>
      <c r="Q389" s="1">
        <v>8.5</v>
      </c>
      <c r="T389" s="1">
        <v>45.4</v>
      </c>
      <c r="V389" s="1">
        <v>2.1560000000000001</v>
      </c>
      <c r="W389" s="1">
        <v>52</v>
      </c>
      <c r="X389" s="1">
        <f t="shared" si="27"/>
        <v>0.38901189283757642</v>
      </c>
      <c r="Y389" s="1">
        <v>5.1999999999999998E-2</v>
      </c>
      <c r="Z389" s="1">
        <v>49</v>
      </c>
      <c r="AD389" s="1">
        <v>86</v>
      </c>
      <c r="AE389" s="1">
        <v>7.66</v>
      </c>
      <c r="AG389" s="1">
        <v>4.5</v>
      </c>
      <c r="AI389" s="1">
        <v>8.6999999999999993</v>
      </c>
      <c r="AK389" s="1">
        <v>78</v>
      </c>
      <c r="AL389" s="1">
        <v>565</v>
      </c>
      <c r="AR389" s="1">
        <v>53.94</v>
      </c>
      <c r="AT389" s="1">
        <v>5.1221000000000005</v>
      </c>
      <c r="AU389" s="1">
        <v>10.115599999999999</v>
      </c>
      <c r="AV389" s="1">
        <v>38.888650000000005</v>
      </c>
      <c r="AW389" s="1">
        <v>26.541580000000003</v>
      </c>
      <c r="AX389" s="1">
        <v>62.032549999999993</v>
      </c>
      <c r="AY389" s="1">
        <v>3.28</v>
      </c>
    </row>
    <row r="390" spans="4:51" x14ac:dyDescent="0.3">
      <c r="D390" s="2">
        <f t="shared" si="24"/>
        <v>2000</v>
      </c>
      <c r="E390" s="2">
        <f t="shared" si="25"/>
        <v>11</v>
      </c>
      <c r="F390" s="3" t="s">
        <v>180</v>
      </c>
      <c r="G390" s="4">
        <v>36858</v>
      </c>
      <c r="H390" s="1">
        <v>6606238</v>
      </c>
      <c r="I390" s="1">
        <v>661152</v>
      </c>
      <c r="J390" s="5" t="s">
        <v>176</v>
      </c>
      <c r="K390" s="1"/>
      <c r="L390" s="1" t="str">
        <f t="shared" si="26"/>
        <v xml:space="preserve">Oxundaån </v>
      </c>
      <c r="M390" s="1" t="s">
        <v>177</v>
      </c>
      <c r="N390" s="1">
        <v>0.5</v>
      </c>
      <c r="O390" s="1">
        <v>0.5</v>
      </c>
      <c r="Q390" s="1">
        <v>7</v>
      </c>
      <c r="T390" s="1">
        <v>50.1</v>
      </c>
      <c r="V390" s="1">
        <v>2.077</v>
      </c>
      <c r="W390" s="1">
        <v>98</v>
      </c>
      <c r="X390" s="1">
        <f t="shared" si="27"/>
        <v>0.51790337392467001</v>
      </c>
      <c r="Y390" s="1">
        <v>6.7000000000000004E-2</v>
      </c>
      <c r="Z390" s="1">
        <v>43</v>
      </c>
      <c r="AD390" s="1">
        <v>458</v>
      </c>
      <c r="AE390" s="1">
        <v>7.56</v>
      </c>
      <c r="AG390" s="1">
        <v>10.8</v>
      </c>
      <c r="AI390" s="1">
        <v>8.4</v>
      </c>
      <c r="AK390" s="1">
        <v>70</v>
      </c>
      <c r="AL390" s="1">
        <v>878</v>
      </c>
      <c r="AR390" s="1">
        <v>54.1</v>
      </c>
      <c r="AT390" s="1">
        <v>5.4349000000000007</v>
      </c>
      <c r="AU390" s="1">
        <v>9.837299999999999</v>
      </c>
      <c r="AV390" s="1">
        <v>40.342100000000002</v>
      </c>
      <c r="AW390" s="1">
        <v>26.610399999999998</v>
      </c>
      <c r="AX390" s="1">
        <v>75.054099999999991</v>
      </c>
      <c r="AY390" s="1">
        <v>3.19</v>
      </c>
    </row>
    <row r="391" spans="4:51" x14ac:dyDescent="0.3">
      <c r="D391" s="2">
        <f t="shared" si="24"/>
        <v>2000</v>
      </c>
      <c r="E391" s="2">
        <f t="shared" si="25"/>
        <v>12</v>
      </c>
      <c r="F391" s="3" t="s">
        <v>175</v>
      </c>
      <c r="G391" s="4">
        <v>36891</v>
      </c>
      <c r="H391" s="1">
        <v>6606238</v>
      </c>
      <c r="I391" s="1">
        <v>661152</v>
      </c>
      <c r="J391" s="5" t="s">
        <v>176</v>
      </c>
      <c r="K391" s="1"/>
      <c r="L391" s="1" t="str">
        <f t="shared" si="26"/>
        <v xml:space="preserve">Oxundaån </v>
      </c>
      <c r="M391" s="1" t="s">
        <v>177</v>
      </c>
      <c r="N391" s="1">
        <v>0.5</v>
      </c>
      <c r="O391" s="1">
        <v>0.5</v>
      </c>
      <c r="Q391" s="1">
        <v>1.5</v>
      </c>
      <c r="T391" s="1">
        <v>51.1</v>
      </c>
      <c r="V391" s="1">
        <v>1.9770000000000001</v>
      </c>
      <c r="W391" s="1">
        <v>41</v>
      </c>
      <c r="X391" s="1">
        <f t="shared" si="27"/>
        <v>8.357633213667584E-2</v>
      </c>
      <c r="Y391" s="1">
        <v>7.1999999999999995E-2</v>
      </c>
      <c r="Z391" s="1">
        <v>36</v>
      </c>
      <c r="AD391" s="1">
        <v>1170</v>
      </c>
      <c r="AE391" s="1">
        <v>7.34</v>
      </c>
      <c r="AG391" s="1">
        <v>11.9</v>
      </c>
      <c r="AI391" s="1">
        <v>11.7</v>
      </c>
      <c r="AK391" s="1">
        <v>50</v>
      </c>
      <c r="AL391" s="1">
        <v>1421</v>
      </c>
      <c r="AR391" s="1">
        <v>56.2</v>
      </c>
      <c r="AT391" s="1">
        <v>5.7477</v>
      </c>
      <c r="AU391" s="1">
        <v>11.107800000000001</v>
      </c>
      <c r="AV391" s="1">
        <v>33.712949999999999</v>
      </c>
      <c r="AW391" s="1">
        <v>25.945140000000002</v>
      </c>
      <c r="AX391" s="1">
        <v>84.279699999999991</v>
      </c>
      <c r="AY391" s="1">
        <v>4.4000000000000004</v>
      </c>
    </row>
    <row r="392" spans="4:51" x14ac:dyDescent="0.3">
      <c r="D392" s="2">
        <f t="shared" si="24"/>
        <v>2001</v>
      </c>
      <c r="E392" s="2">
        <f t="shared" si="25"/>
        <v>1</v>
      </c>
      <c r="F392" s="3" t="s">
        <v>175</v>
      </c>
      <c r="G392" s="4">
        <v>36921</v>
      </c>
      <c r="H392" s="1">
        <v>6606238</v>
      </c>
      <c r="I392" s="1">
        <v>661152</v>
      </c>
      <c r="J392" s="5" t="s">
        <v>176</v>
      </c>
      <c r="K392" s="1"/>
      <c r="L392" s="1" t="str">
        <f t="shared" si="26"/>
        <v xml:space="preserve">Oxundaån </v>
      </c>
      <c r="M392" s="1" t="s">
        <v>177</v>
      </c>
      <c r="N392" s="1">
        <v>0.5</v>
      </c>
      <c r="O392" s="1">
        <v>0.5</v>
      </c>
      <c r="Q392" s="1">
        <v>1.5</v>
      </c>
      <c r="T392" s="1">
        <v>44.5</v>
      </c>
      <c r="V392" s="1">
        <v>1.891</v>
      </c>
      <c r="W392" s="1">
        <v>54</v>
      </c>
      <c r="X392" s="1">
        <f t="shared" si="27"/>
        <v>6.1955638474521887E-2</v>
      </c>
      <c r="Y392" s="1">
        <v>0.121</v>
      </c>
      <c r="Z392" s="1">
        <v>47</v>
      </c>
      <c r="AD392" s="1">
        <v>1760</v>
      </c>
      <c r="AE392" s="1">
        <v>7.09</v>
      </c>
      <c r="AG392" s="1">
        <v>15.3</v>
      </c>
      <c r="AI392" s="1">
        <v>10</v>
      </c>
      <c r="AK392" s="1">
        <v>74</v>
      </c>
      <c r="AL392" s="1">
        <v>2125</v>
      </c>
      <c r="AR392" s="1">
        <v>51.46</v>
      </c>
      <c r="AT392" s="1">
        <v>5.3176000000000005</v>
      </c>
      <c r="AU392" s="1">
        <v>9.9098999999999986</v>
      </c>
      <c r="AV392" s="1">
        <v>30.770600000000002</v>
      </c>
      <c r="AW392" s="1">
        <v>22.894120000000001</v>
      </c>
      <c r="AX392" s="1">
        <v>72.939899999999994</v>
      </c>
      <c r="AY392" s="1">
        <v>6.58</v>
      </c>
    </row>
    <row r="393" spans="4:51" x14ac:dyDescent="0.3">
      <c r="D393" s="2">
        <f t="shared" si="24"/>
        <v>2001</v>
      </c>
      <c r="E393" s="2">
        <f t="shared" si="25"/>
        <v>2</v>
      </c>
      <c r="F393" s="3" t="s">
        <v>175</v>
      </c>
      <c r="G393" s="4">
        <v>36949</v>
      </c>
      <c r="H393" s="1">
        <v>6606238</v>
      </c>
      <c r="I393" s="1">
        <v>661152</v>
      </c>
      <c r="J393" s="5" t="s">
        <v>176</v>
      </c>
      <c r="K393" s="1"/>
      <c r="L393" s="1" t="str">
        <f t="shared" si="26"/>
        <v xml:space="preserve">Oxundaån </v>
      </c>
      <c r="M393" s="1" t="s">
        <v>177</v>
      </c>
      <c r="N393" s="1">
        <v>0.5</v>
      </c>
      <c r="O393" s="1">
        <v>0.5</v>
      </c>
      <c r="Q393" s="1">
        <v>2</v>
      </c>
      <c r="T393" s="1">
        <v>45.3</v>
      </c>
      <c r="V393" s="1">
        <v>1.873</v>
      </c>
      <c r="W393" s="1">
        <v>35</v>
      </c>
      <c r="X393" s="1">
        <f t="shared" si="27"/>
        <v>4.0907975924839031E-2</v>
      </c>
      <c r="Y393" s="1">
        <v>0.113</v>
      </c>
      <c r="Z393" s="1">
        <v>29</v>
      </c>
      <c r="AD393" s="1">
        <v>1564</v>
      </c>
      <c r="AE393" s="1">
        <v>7.08</v>
      </c>
      <c r="AG393" s="1">
        <v>11.8</v>
      </c>
      <c r="AI393" s="1">
        <v>9.8000000000000007</v>
      </c>
      <c r="AK393" s="1">
        <v>61</v>
      </c>
      <c r="AL393" s="1">
        <v>1912</v>
      </c>
      <c r="AR393" s="1">
        <v>52.400000000000006</v>
      </c>
      <c r="AT393" s="1">
        <v>5.2394000000000007</v>
      </c>
      <c r="AU393" s="1">
        <v>9.9219999999999988</v>
      </c>
      <c r="AV393" s="1">
        <v>33.429349999999999</v>
      </c>
      <c r="AW393" s="1">
        <v>24.132880000000004</v>
      </c>
      <c r="AX393" s="1">
        <v>68.230999999999995</v>
      </c>
      <c r="AY393" s="1">
        <v>4.6500000000000004</v>
      </c>
    </row>
    <row r="394" spans="4:51" x14ac:dyDescent="0.3">
      <c r="D394" s="2">
        <f t="shared" si="24"/>
        <v>2001</v>
      </c>
      <c r="E394" s="2">
        <f t="shared" si="25"/>
        <v>3</v>
      </c>
      <c r="F394" s="3" t="s">
        <v>175</v>
      </c>
      <c r="G394" s="4">
        <v>36977</v>
      </c>
      <c r="H394" s="1">
        <v>6606238</v>
      </c>
      <c r="I394" s="1">
        <v>661152</v>
      </c>
      <c r="J394" s="5" t="s">
        <v>176</v>
      </c>
      <c r="K394" s="1"/>
      <c r="L394" s="1" t="str">
        <f t="shared" si="26"/>
        <v xml:space="preserve">Oxundaån </v>
      </c>
      <c r="M394" s="1" t="s">
        <v>177</v>
      </c>
      <c r="N394" s="1">
        <v>0.5</v>
      </c>
      <c r="O394" s="1">
        <v>0.5</v>
      </c>
      <c r="Q394" s="1">
        <v>3.2</v>
      </c>
      <c r="T394" s="1">
        <v>45.1</v>
      </c>
      <c r="V394" s="1">
        <v>1.8380000000000001</v>
      </c>
      <c r="W394" s="1">
        <v>42</v>
      </c>
      <c r="X394" s="1">
        <f t="shared" si="27"/>
        <v>0.12684290536959239</v>
      </c>
      <c r="Y394" s="1">
        <v>6.8000000000000005E-2</v>
      </c>
      <c r="Z394" s="1">
        <v>13</v>
      </c>
      <c r="AD394" s="1">
        <v>1017</v>
      </c>
      <c r="AE394" s="1">
        <v>7.45</v>
      </c>
      <c r="AG394" s="1">
        <v>12.7</v>
      </c>
      <c r="AI394" s="1">
        <v>9.3000000000000007</v>
      </c>
      <c r="AK394" s="1">
        <v>66</v>
      </c>
      <c r="AL394" s="1">
        <v>2001</v>
      </c>
      <c r="AR394" s="1">
        <v>51.06</v>
      </c>
      <c r="AT394" s="1">
        <v>5.1221000000000005</v>
      </c>
      <c r="AU394" s="1">
        <v>9.8010000000000002</v>
      </c>
      <c r="AV394" s="1">
        <v>31.231450000000002</v>
      </c>
      <c r="AW394" s="1">
        <v>23.123520000000003</v>
      </c>
      <c r="AX394" s="1">
        <v>71.64255</v>
      </c>
      <c r="AY394" s="1">
        <v>7.18</v>
      </c>
    </row>
    <row r="395" spans="4:51" x14ac:dyDescent="0.3">
      <c r="D395" s="2">
        <f t="shared" si="24"/>
        <v>2001</v>
      </c>
      <c r="E395" s="2">
        <f t="shared" si="25"/>
        <v>4</v>
      </c>
      <c r="F395" s="3" t="s">
        <v>178</v>
      </c>
      <c r="G395" s="4">
        <v>37005</v>
      </c>
      <c r="H395" s="1">
        <v>6606238</v>
      </c>
      <c r="I395" s="1">
        <v>661152</v>
      </c>
      <c r="J395" s="5" t="s">
        <v>176</v>
      </c>
      <c r="K395" s="1"/>
      <c r="L395" s="1" t="str">
        <f t="shared" si="26"/>
        <v xml:space="preserve">Oxundaån </v>
      </c>
      <c r="M395" s="1" t="s">
        <v>177</v>
      </c>
      <c r="N395" s="1">
        <v>0.5</v>
      </c>
      <c r="O395" s="1">
        <v>0.5</v>
      </c>
      <c r="Q395" s="1">
        <v>6.5</v>
      </c>
      <c r="T395" s="1">
        <v>41.7</v>
      </c>
      <c r="V395" s="1">
        <v>2.0230000000000001</v>
      </c>
      <c r="W395" s="1">
        <v>30</v>
      </c>
      <c r="X395" s="1">
        <f t="shared" si="27"/>
        <v>8.7851428500206233E-2</v>
      </c>
      <c r="Y395" s="1">
        <v>9.0999999999999998E-2</v>
      </c>
      <c r="Z395" s="1">
        <v>6</v>
      </c>
      <c r="AD395" s="1">
        <v>563</v>
      </c>
      <c r="AE395" s="1">
        <v>7.32</v>
      </c>
      <c r="AG395" s="1">
        <v>6.4</v>
      </c>
      <c r="AI395" s="1">
        <v>9.6</v>
      </c>
      <c r="AK395" s="1">
        <v>34</v>
      </c>
      <c r="AL395" s="1">
        <v>1237</v>
      </c>
      <c r="AR395" s="1">
        <v>49.160000000000004</v>
      </c>
      <c r="AT395" s="1">
        <v>4.5747</v>
      </c>
      <c r="AU395" s="1">
        <v>8.8571999999999989</v>
      </c>
      <c r="AV395" s="1">
        <v>28.608150000000006</v>
      </c>
      <c r="AW395" s="1">
        <v>22.481200000000001</v>
      </c>
      <c r="AX395" s="1">
        <v>60.014450000000004</v>
      </c>
      <c r="AY395" s="1">
        <v>4.9400000000000004</v>
      </c>
    </row>
    <row r="396" spans="4:51" x14ac:dyDescent="0.3">
      <c r="D396" s="2">
        <f t="shared" si="24"/>
        <v>2001</v>
      </c>
      <c r="E396" s="2">
        <f t="shared" si="25"/>
        <v>5</v>
      </c>
      <c r="F396" s="3" t="s">
        <v>178</v>
      </c>
      <c r="G396" s="4">
        <v>37040</v>
      </c>
      <c r="H396" s="1">
        <v>6606238</v>
      </c>
      <c r="I396" s="1">
        <v>661152</v>
      </c>
      <c r="J396" s="5" t="s">
        <v>176</v>
      </c>
      <c r="K396" s="1"/>
      <c r="L396" s="1" t="str">
        <f t="shared" si="26"/>
        <v xml:space="preserve">Oxundaån </v>
      </c>
      <c r="M396" s="1" t="s">
        <v>177</v>
      </c>
      <c r="N396" s="1">
        <v>0.5</v>
      </c>
      <c r="O396" s="1">
        <v>0.5</v>
      </c>
      <c r="T396" s="1">
        <v>44.5</v>
      </c>
      <c r="V396" s="1">
        <v>2.1190000000000002</v>
      </c>
      <c r="W396" s="1">
        <v>47</v>
      </c>
      <c r="Y396" s="1">
        <v>8.8999999999999996E-2</v>
      </c>
      <c r="Z396" s="1">
        <v>5</v>
      </c>
      <c r="AD396" s="1">
        <v>253</v>
      </c>
      <c r="AE396" s="1">
        <v>7.7</v>
      </c>
      <c r="AG396" s="1">
        <v>4.8</v>
      </c>
      <c r="AI396" s="1">
        <v>8.8000000000000007</v>
      </c>
      <c r="AK396" s="1">
        <v>47</v>
      </c>
      <c r="AL396" s="1">
        <v>968</v>
      </c>
      <c r="AR396" s="1">
        <v>54.960000000000008</v>
      </c>
      <c r="AT396" s="1">
        <v>4.9266000000000005</v>
      </c>
      <c r="AU396" s="1">
        <v>9.934099999999999</v>
      </c>
      <c r="AV396" s="1">
        <v>38.321449999999999</v>
      </c>
      <c r="AW396" s="1">
        <v>25.601040000000005</v>
      </c>
      <c r="AX396" s="1">
        <v>62.176699999999997</v>
      </c>
      <c r="AY396" s="1">
        <v>3.01</v>
      </c>
    </row>
    <row r="397" spans="4:51" x14ac:dyDescent="0.3">
      <c r="D397" s="2">
        <f t="shared" si="24"/>
        <v>2001</v>
      </c>
      <c r="E397" s="2">
        <f t="shared" si="25"/>
        <v>6</v>
      </c>
      <c r="F397" s="3"/>
      <c r="G397" s="4">
        <v>37068</v>
      </c>
      <c r="H397" s="1">
        <v>6606238</v>
      </c>
      <c r="I397" s="1">
        <v>661152</v>
      </c>
      <c r="J397" s="5" t="s">
        <v>176</v>
      </c>
      <c r="K397" s="1"/>
      <c r="L397" s="1" t="str">
        <f t="shared" si="26"/>
        <v xml:space="preserve">Oxundaån </v>
      </c>
      <c r="M397" s="1" t="s">
        <v>177</v>
      </c>
      <c r="N397" s="1">
        <v>0.5</v>
      </c>
      <c r="O397" s="1">
        <v>0.5</v>
      </c>
      <c r="Q397" s="1">
        <v>18.5</v>
      </c>
      <c r="T397" s="1">
        <v>44.7</v>
      </c>
      <c r="V397" s="1">
        <v>2.0150000000000001</v>
      </c>
      <c r="W397" s="1">
        <v>55</v>
      </c>
      <c r="X397" s="1">
        <f>W397 * (1/((10^((0.0901821 + (2729.92 /(273.15 + Q397)))-AE397)+1)))</f>
        <v>1.1763338375390233</v>
      </c>
      <c r="Y397" s="1">
        <v>6.6000000000000003E-2</v>
      </c>
      <c r="Z397" s="1">
        <v>2</v>
      </c>
      <c r="AD397" s="1">
        <v>2</v>
      </c>
      <c r="AE397" s="1">
        <v>7.79</v>
      </c>
      <c r="AG397" s="1">
        <v>4.9000000000000004</v>
      </c>
      <c r="AI397" s="1">
        <v>8.6</v>
      </c>
      <c r="AK397" s="1">
        <v>43</v>
      </c>
      <c r="AL397" s="1">
        <v>921</v>
      </c>
      <c r="AR397" s="1">
        <v>53.72</v>
      </c>
      <c r="AT397" s="1">
        <v>4.8875000000000002</v>
      </c>
      <c r="AU397" s="1">
        <v>9.68</v>
      </c>
      <c r="AV397" s="1">
        <v>32.117700000000006</v>
      </c>
      <c r="AW397" s="1">
        <v>25.165179999999999</v>
      </c>
      <c r="AX397" s="1">
        <v>60.1586</v>
      </c>
      <c r="AY397" s="1">
        <v>1.53</v>
      </c>
    </row>
    <row r="398" spans="4:51" x14ac:dyDescent="0.3">
      <c r="D398" s="2">
        <f t="shared" si="24"/>
        <v>2001</v>
      </c>
      <c r="E398" s="2">
        <f t="shared" si="25"/>
        <v>7</v>
      </c>
      <c r="F398" s="3" t="s">
        <v>179</v>
      </c>
      <c r="G398" s="4">
        <v>37103</v>
      </c>
      <c r="H398" s="1">
        <v>6606238</v>
      </c>
      <c r="I398" s="1">
        <v>661152</v>
      </c>
      <c r="J398" s="5" t="s">
        <v>176</v>
      </c>
      <c r="K398" s="1"/>
      <c r="L398" s="1" t="str">
        <f t="shared" si="26"/>
        <v xml:space="preserve">Oxundaån </v>
      </c>
      <c r="M398" s="1" t="s">
        <v>177</v>
      </c>
      <c r="N398" s="1">
        <v>0.1</v>
      </c>
      <c r="O398" s="1">
        <v>0.1</v>
      </c>
      <c r="Q398" s="1">
        <v>21.4</v>
      </c>
      <c r="T398" s="1">
        <v>42.8</v>
      </c>
      <c r="V398" s="1">
        <v>1.8460000000000001</v>
      </c>
      <c r="W398" s="1">
        <v>153</v>
      </c>
      <c r="X398" s="1">
        <f>W398 * (1/((10^((0.0901821 + (2729.92 /(273.15 + Q398)))-AE398)+1)))</f>
        <v>2.6235766903014528</v>
      </c>
      <c r="Y398" s="1">
        <v>4.8000000000000001E-2</v>
      </c>
      <c r="Z398" s="1">
        <v>41</v>
      </c>
      <c r="AD398" s="1">
        <v>37</v>
      </c>
      <c r="AE398" s="1">
        <v>7.6</v>
      </c>
      <c r="AG398" s="1">
        <v>5.9</v>
      </c>
      <c r="AI398" s="1">
        <v>8.6</v>
      </c>
      <c r="AK398" s="1">
        <v>85</v>
      </c>
      <c r="AL398" s="1">
        <v>798</v>
      </c>
      <c r="AR398" s="1">
        <v>52.14</v>
      </c>
      <c r="AT398" s="1">
        <v>4.7702</v>
      </c>
      <c r="AU398" s="1">
        <v>9.3653999999999993</v>
      </c>
      <c r="AV398" s="1">
        <v>30.770600000000002</v>
      </c>
      <c r="AW398" s="1">
        <v>24.33934</v>
      </c>
      <c r="AX398" s="1">
        <v>54.825049999999997</v>
      </c>
      <c r="AY398" s="1">
        <v>1.23</v>
      </c>
    </row>
    <row r="399" spans="4:51" x14ac:dyDescent="0.3">
      <c r="D399" s="2">
        <f t="shared" si="24"/>
        <v>2001</v>
      </c>
      <c r="E399" s="2">
        <f t="shared" si="25"/>
        <v>8</v>
      </c>
      <c r="F399" s="3" t="s">
        <v>179</v>
      </c>
      <c r="G399" s="4">
        <v>37131</v>
      </c>
      <c r="H399" s="1">
        <v>6606238</v>
      </c>
      <c r="I399" s="1">
        <v>661152</v>
      </c>
      <c r="J399" s="5" t="s">
        <v>176</v>
      </c>
      <c r="K399" s="1"/>
      <c r="L399" s="1" t="str">
        <f t="shared" si="26"/>
        <v xml:space="preserve">Oxundaån </v>
      </c>
      <c r="M399" s="1" t="s">
        <v>177</v>
      </c>
      <c r="N399" s="1">
        <v>0.5</v>
      </c>
      <c r="O399" s="1">
        <v>0.5</v>
      </c>
      <c r="Q399" s="1">
        <v>19.2</v>
      </c>
      <c r="T399" s="1">
        <v>41.3</v>
      </c>
      <c r="V399" s="1">
        <v>2.1059999999999999</v>
      </c>
      <c r="W399" s="1">
        <v>55</v>
      </c>
      <c r="X399" s="1">
        <f>W399 * (1/((10^((0.0901821 + (2729.92 /(273.15 + Q399)))-AE399)+1)))</f>
        <v>1.353659794893658</v>
      </c>
      <c r="Y399" s="1">
        <v>5.8000000000000003E-2</v>
      </c>
      <c r="Z399" s="1">
        <v>10</v>
      </c>
      <c r="AD399" s="1">
        <v>13</v>
      </c>
      <c r="AE399" s="1">
        <v>7.83</v>
      </c>
      <c r="AG399" s="1">
        <v>6.5</v>
      </c>
      <c r="AI399" s="1">
        <v>9.8000000000000007</v>
      </c>
      <c r="AK399" s="1">
        <v>73</v>
      </c>
      <c r="AL399" s="1">
        <v>1865</v>
      </c>
      <c r="AR399" s="1">
        <v>48.120000000000005</v>
      </c>
      <c r="AT399" s="1">
        <v>4.6920000000000002</v>
      </c>
      <c r="AU399" s="1">
        <v>8.9177</v>
      </c>
      <c r="AV399" s="1">
        <v>29.8489</v>
      </c>
      <c r="AW399" s="1">
        <v>24.087000000000003</v>
      </c>
      <c r="AX399" s="1">
        <v>50.404449999999997</v>
      </c>
      <c r="AY399" s="1">
        <v>0.42</v>
      </c>
    </row>
    <row r="400" spans="4:51" x14ac:dyDescent="0.3">
      <c r="D400" s="2">
        <f t="shared" si="24"/>
        <v>2001</v>
      </c>
      <c r="E400" s="2">
        <f t="shared" si="25"/>
        <v>9</v>
      </c>
      <c r="F400" s="3"/>
      <c r="G400" s="4">
        <v>37159</v>
      </c>
      <c r="H400" s="1">
        <v>6606238</v>
      </c>
      <c r="I400" s="1">
        <v>661152</v>
      </c>
      <c r="J400" s="5" t="s">
        <v>176</v>
      </c>
      <c r="K400" s="1"/>
      <c r="L400" s="1" t="str">
        <f t="shared" si="26"/>
        <v xml:space="preserve">Oxundaån </v>
      </c>
      <c r="M400" s="1" t="s">
        <v>177</v>
      </c>
      <c r="N400" s="1">
        <v>0.5</v>
      </c>
      <c r="O400" s="1">
        <v>0.5</v>
      </c>
      <c r="Q400" s="1">
        <v>11.1</v>
      </c>
      <c r="T400" s="1">
        <v>62.1</v>
      </c>
      <c r="V400" s="1">
        <v>3.0059999999999998</v>
      </c>
      <c r="W400" s="1">
        <v>96</v>
      </c>
      <c r="X400" s="1">
        <f>W400 * (1/((10^((0.0901821 + (2729.92 /(273.15 + Q400)))-AE400)+1)))</f>
        <v>0.58277976864514036</v>
      </c>
      <c r="Y400" s="1">
        <v>0.10100000000000001</v>
      </c>
      <c r="Z400" s="1">
        <v>20</v>
      </c>
      <c r="AD400" s="1">
        <v>1309</v>
      </c>
      <c r="AE400" s="1">
        <v>7.48</v>
      </c>
      <c r="AG400" s="1">
        <v>10</v>
      </c>
      <c r="AI400" s="1">
        <v>9.6999999999999993</v>
      </c>
      <c r="AK400" s="1">
        <v>56</v>
      </c>
      <c r="AL400" s="1">
        <v>2149</v>
      </c>
      <c r="AR400" s="1">
        <v>85.36</v>
      </c>
      <c r="AT400" s="1">
        <v>8.5237999999999996</v>
      </c>
      <c r="AU400" s="1">
        <v>12.184699999999998</v>
      </c>
      <c r="AV400" s="1">
        <v>48.247450000000001</v>
      </c>
      <c r="AW400" s="1">
        <v>34.983499999999999</v>
      </c>
      <c r="AX400" s="1">
        <v>92.400149999999996</v>
      </c>
      <c r="AY400" s="1">
        <v>5.69</v>
      </c>
    </row>
    <row r="401" spans="4:67" x14ac:dyDescent="0.3">
      <c r="D401" s="2">
        <f t="shared" si="24"/>
        <v>2001</v>
      </c>
      <c r="E401" s="2">
        <f t="shared" si="25"/>
        <v>10</v>
      </c>
      <c r="F401" s="3" t="s">
        <v>180</v>
      </c>
      <c r="G401" s="4">
        <v>37194</v>
      </c>
      <c r="H401" s="1">
        <v>6606238</v>
      </c>
      <c r="I401" s="1">
        <v>661152</v>
      </c>
      <c r="J401" s="5" t="s">
        <v>176</v>
      </c>
      <c r="K401" s="1"/>
      <c r="L401" s="1" t="str">
        <f t="shared" si="26"/>
        <v xml:space="preserve">Oxundaån </v>
      </c>
      <c r="M401" s="1" t="s">
        <v>177</v>
      </c>
      <c r="N401" s="1">
        <v>0.5</v>
      </c>
      <c r="O401" s="1">
        <v>0.5</v>
      </c>
      <c r="T401" s="1">
        <v>43.8</v>
      </c>
      <c r="V401" s="1">
        <v>2.0920000000000001</v>
      </c>
      <c r="W401" s="1">
        <v>57</v>
      </c>
      <c r="Y401" s="1">
        <v>6.0999999999999999E-2</v>
      </c>
      <c r="Z401" s="1">
        <v>35</v>
      </c>
      <c r="AD401" s="1">
        <v>158</v>
      </c>
      <c r="AE401" s="1">
        <v>7.63</v>
      </c>
      <c r="AG401" s="1">
        <v>2.2000000000000002</v>
      </c>
      <c r="AI401" s="1">
        <v>7.8</v>
      </c>
      <c r="AK401" s="1">
        <v>58</v>
      </c>
      <c r="AL401" s="1">
        <v>703</v>
      </c>
      <c r="AR401" s="1">
        <v>50.26</v>
      </c>
      <c r="AT401" s="1">
        <v>5.1221000000000005</v>
      </c>
      <c r="AU401" s="1">
        <v>9.7163000000000004</v>
      </c>
      <c r="AV401" s="1">
        <v>32.046800000000005</v>
      </c>
      <c r="AW401" s="1">
        <v>25.87632</v>
      </c>
      <c r="AX401" s="1">
        <v>58.909299999999995</v>
      </c>
      <c r="AY401" s="1">
        <v>1.52</v>
      </c>
    </row>
    <row r="402" spans="4:67" x14ac:dyDescent="0.3">
      <c r="D402" s="2">
        <f t="shared" si="24"/>
        <v>2001</v>
      </c>
      <c r="E402" s="2">
        <f t="shared" si="25"/>
        <v>11</v>
      </c>
      <c r="F402" s="3" t="s">
        <v>180</v>
      </c>
      <c r="G402" s="4">
        <v>37222</v>
      </c>
      <c r="H402" s="1">
        <v>6606238</v>
      </c>
      <c r="I402" s="1">
        <v>661152</v>
      </c>
      <c r="J402" s="5" t="s">
        <v>176</v>
      </c>
      <c r="K402" s="1"/>
      <c r="L402" s="1" t="str">
        <f t="shared" si="26"/>
        <v xml:space="preserve">Oxundaån </v>
      </c>
      <c r="M402" s="1" t="s">
        <v>177</v>
      </c>
      <c r="N402" s="1">
        <v>0.5</v>
      </c>
      <c r="O402" s="1">
        <v>0.5</v>
      </c>
      <c r="Q402" s="1">
        <v>1.2</v>
      </c>
      <c r="T402" s="1">
        <v>45</v>
      </c>
      <c r="V402" s="1">
        <v>2.0230000000000001</v>
      </c>
      <c r="W402" s="1">
        <v>85</v>
      </c>
      <c r="X402" s="1">
        <f t="shared" ref="X402:X465" si="28">W402 * (1/((10^((0.0901821 + (2729.92 /(273.15 + Q402)))-AE402)+1)))</f>
        <v>0.3688476067760722</v>
      </c>
      <c r="Y402" s="1">
        <v>7.2999999999999995E-2</v>
      </c>
      <c r="Z402" s="1">
        <v>32</v>
      </c>
      <c r="AD402" s="1">
        <v>505</v>
      </c>
      <c r="AE402" s="1">
        <v>7.68</v>
      </c>
      <c r="AG402" s="1">
        <v>4.3</v>
      </c>
      <c r="AI402" s="1">
        <v>8.4</v>
      </c>
      <c r="AK402" s="1">
        <v>52</v>
      </c>
      <c r="AL402" s="1">
        <v>1157</v>
      </c>
      <c r="AR402" s="1">
        <v>52.5</v>
      </c>
      <c r="AT402" s="1">
        <v>5.3567000000000009</v>
      </c>
      <c r="AU402" s="1">
        <v>9.9582999999999995</v>
      </c>
      <c r="AV402" s="1">
        <v>33.039400000000008</v>
      </c>
      <c r="AW402" s="1">
        <v>24.729320000000001</v>
      </c>
      <c r="AX402" s="1">
        <v>63.618200000000002</v>
      </c>
      <c r="AY402" s="1">
        <v>2.48</v>
      </c>
    </row>
    <row r="403" spans="4:67" x14ac:dyDescent="0.3">
      <c r="D403" s="2">
        <f t="shared" si="24"/>
        <v>2001</v>
      </c>
      <c r="E403" s="2">
        <f t="shared" si="25"/>
        <v>12</v>
      </c>
      <c r="F403" s="3" t="s">
        <v>175</v>
      </c>
      <c r="G403" s="4">
        <v>37256</v>
      </c>
      <c r="H403" s="1">
        <v>6606238</v>
      </c>
      <c r="I403" s="1">
        <v>661152</v>
      </c>
      <c r="J403" s="5" t="s">
        <v>176</v>
      </c>
      <c r="K403" s="1"/>
      <c r="L403" s="1" t="str">
        <f t="shared" si="26"/>
        <v xml:space="preserve">Oxundaån </v>
      </c>
      <c r="M403" s="1" t="s">
        <v>177</v>
      </c>
      <c r="N403" s="1">
        <v>0.5</v>
      </c>
      <c r="O403" s="1">
        <v>0.5</v>
      </c>
      <c r="Q403" s="1">
        <v>0.8</v>
      </c>
      <c r="T403" s="1">
        <v>48.3</v>
      </c>
      <c r="V403" s="1">
        <v>2.2799999999999998</v>
      </c>
      <c r="W403" s="1">
        <v>63</v>
      </c>
      <c r="X403" s="1">
        <f t="shared" si="28"/>
        <v>0.17495268394232827</v>
      </c>
      <c r="Y403" s="1">
        <v>8.3000000000000004E-2</v>
      </c>
      <c r="Z403" s="1">
        <v>35</v>
      </c>
      <c r="AD403" s="1">
        <v>741</v>
      </c>
      <c r="AE403" s="1">
        <v>7.5</v>
      </c>
      <c r="AG403" s="1">
        <v>5.5</v>
      </c>
      <c r="AI403" s="1">
        <v>11.1</v>
      </c>
      <c r="AK403" s="1">
        <v>53</v>
      </c>
      <c r="AL403" s="1">
        <v>1478</v>
      </c>
      <c r="AR403" s="1">
        <v>56.260000000000005</v>
      </c>
      <c r="AT403" s="1">
        <v>5.6303999999999998</v>
      </c>
      <c r="AU403" s="1">
        <v>10.4665</v>
      </c>
      <c r="AV403" s="1">
        <v>37.222500000000004</v>
      </c>
      <c r="AW403" s="1">
        <v>25.440460000000002</v>
      </c>
      <c r="AX403" s="1">
        <v>70.152999999999992</v>
      </c>
      <c r="AY403" s="1">
        <v>3.24</v>
      </c>
    </row>
    <row r="404" spans="4:67" x14ac:dyDescent="0.3">
      <c r="D404" s="2">
        <f t="shared" si="24"/>
        <v>2002</v>
      </c>
      <c r="E404" s="2">
        <f t="shared" si="25"/>
        <v>1</v>
      </c>
      <c r="F404" s="3" t="s">
        <v>175</v>
      </c>
      <c r="G404" s="4">
        <v>37285</v>
      </c>
      <c r="H404" s="1">
        <v>6606238</v>
      </c>
      <c r="I404" s="1">
        <v>661152</v>
      </c>
      <c r="J404" s="5" t="s">
        <v>176</v>
      </c>
      <c r="K404" s="1"/>
      <c r="L404" s="1" t="str">
        <f t="shared" si="26"/>
        <v xml:space="preserve">Oxundaån </v>
      </c>
      <c r="M404" s="1" t="s">
        <v>177</v>
      </c>
      <c r="N404" s="1">
        <v>0.5</v>
      </c>
      <c r="O404" s="1">
        <v>0.5</v>
      </c>
      <c r="Q404" s="1">
        <v>1.4</v>
      </c>
      <c r="T404" s="1">
        <v>41</v>
      </c>
      <c r="V404" s="1">
        <v>1.9019999999999999</v>
      </c>
      <c r="W404" s="1">
        <v>77</v>
      </c>
      <c r="X404" s="1">
        <f t="shared" si="28"/>
        <v>0.10291417252512584</v>
      </c>
      <c r="Y404" s="1">
        <v>0.123</v>
      </c>
      <c r="Z404" s="1">
        <v>64</v>
      </c>
      <c r="AD404" s="1">
        <v>1705</v>
      </c>
      <c r="AE404" s="1">
        <v>7.16</v>
      </c>
      <c r="AG404" s="1">
        <v>24.6</v>
      </c>
      <c r="AI404" s="1">
        <v>10.8</v>
      </c>
      <c r="AK404" s="1">
        <v>101</v>
      </c>
      <c r="AL404" s="1">
        <v>1895</v>
      </c>
      <c r="AR404" s="1">
        <v>49.160000000000004</v>
      </c>
      <c r="AT404" s="1">
        <v>5.2785000000000002</v>
      </c>
      <c r="AU404" s="1">
        <v>9.1355000000000004</v>
      </c>
      <c r="AV404" s="1">
        <v>25.77215</v>
      </c>
      <c r="AW404" s="1">
        <v>21.655360000000002</v>
      </c>
      <c r="AX404" s="1">
        <v>54.008200000000002</v>
      </c>
      <c r="AY404" s="1">
        <v>6.13</v>
      </c>
    </row>
    <row r="405" spans="4:67" x14ac:dyDescent="0.3">
      <c r="D405" s="2">
        <f t="shared" si="24"/>
        <v>2002</v>
      </c>
      <c r="E405" s="2">
        <f t="shared" si="25"/>
        <v>2</v>
      </c>
      <c r="F405" s="3" t="s">
        <v>175</v>
      </c>
      <c r="G405" s="4">
        <v>37313</v>
      </c>
      <c r="H405" s="1">
        <v>6606238</v>
      </c>
      <c r="I405" s="1">
        <v>661152</v>
      </c>
      <c r="J405" s="5" t="s">
        <v>176</v>
      </c>
      <c r="K405" s="1"/>
      <c r="L405" s="1" t="str">
        <f t="shared" si="26"/>
        <v xml:space="preserve">Oxundaån </v>
      </c>
      <c r="M405" s="1" t="s">
        <v>177</v>
      </c>
      <c r="N405" s="1">
        <v>0.5</v>
      </c>
      <c r="O405" s="1">
        <v>0.5</v>
      </c>
      <c r="Q405" s="1">
        <v>2.2000000000000002</v>
      </c>
      <c r="T405" s="1">
        <v>37.6</v>
      </c>
      <c r="V405" s="1">
        <v>1.7789999999999999</v>
      </c>
      <c r="W405" s="1">
        <v>66</v>
      </c>
      <c r="X405" s="1">
        <f t="shared" si="28"/>
        <v>9.427087361787978E-2</v>
      </c>
      <c r="Y405" s="1">
        <v>0.13</v>
      </c>
      <c r="Z405" s="1">
        <v>48</v>
      </c>
      <c r="AD405" s="1">
        <v>856</v>
      </c>
      <c r="AE405" s="1">
        <v>7.16</v>
      </c>
      <c r="AG405" s="1">
        <v>28.6</v>
      </c>
      <c r="AI405" s="1">
        <v>11</v>
      </c>
      <c r="AK405" s="1">
        <v>89</v>
      </c>
      <c r="AL405" s="1">
        <v>1557</v>
      </c>
      <c r="AR405" s="1">
        <v>45.58</v>
      </c>
      <c r="AT405" s="1">
        <v>5.2003000000000004</v>
      </c>
      <c r="AU405" s="1">
        <v>8.0586000000000002</v>
      </c>
      <c r="AV405" s="1">
        <v>27.119250000000001</v>
      </c>
      <c r="AW405" s="1">
        <v>19.911920000000002</v>
      </c>
      <c r="AX405" s="1">
        <v>48.05</v>
      </c>
      <c r="AY405" s="1">
        <v>3.03</v>
      </c>
    </row>
    <row r="406" spans="4:67" x14ac:dyDescent="0.3">
      <c r="D406" s="2">
        <f t="shared" si="24"/>
        <v>2002</v>
      </c>
      <c r="E406" s="2">
        <f t="shared" si="25"/>
        <v>3</v>
      </c>
      <c r="F406" s="3" t="s">
        <v>175</v>
      </c>
      <c r="G406" s="4">
        <v>37340</v>
      </c>
      <c r="H406" s="1">
        <v>6606238</v>
      </c>
      <c r="I406" s="1">
        <v>661152</v>
      </c>
      <c r="J406" s="5" t="s">
        <v>176</v>
      </c>
      <c r="K406" s="1"/>
      <c r="L406" s="1" t="str">
        <f t="shared" si="26"/>
        <v xml:space="preserve">Oxundaån </v>
      </c>
      <c r="M406" s="1" t="s">
        <v>177</v>
      </c>
      <c r="N406" s="1">
        <v>0.5</v>
      </c>
      <c r="O406" s="1">
        <v>0.5</v>
      </c>
      <c r="Q406" s="1">
        <v>4.0999999999999996</v>
      </c>
      <c r="T406" s="1">
        <v>36.1</v>
      </c>
      <c r="V406" s="1">
        <v>1.7749999999999999</v>
      </c>
      <c r="W406" s="1">
        <v>22</v>
      </c>
      <c r="X406" s="1">
        <f t="shared" si="28"/>
        <v>4.4151750011272993E-2</v>
      </c>
      <c r="Y406" s="1">
        <v>0.11700000000000001</v>
      </c>
      <c r="Z406" s="1">
        <v>33</v>
      </c>
      <c r="AD406" s="1">
        <v>1181</v>
      </c>
      <c r="AE406" s="1">
        <v>7.24</v>
      </c>
      <c r="AG406" s="1">
        <v>24.1</v>
      </c>
      <c r="AI406" s="1">
        <v>10</v>
      </c>
      <c r="AK406" s="1">
        <v>64</v>
      </c>
      <c r="AL406" s="1">
        <v>1315</v>
      </c>
      <c r="AR406" s="1">
        <v>43.32</v>
      </c>
      <c r="AT406" s="1">
        <v>4.6920000000000002</v>
      </c>
      <c r="AU406" s="1">
        <v>7.5261999999999993</v>
      </c>
      <c r="AV406" s="1">
        <v>29.281700000000001</v>
      </c>
      <c r="AW406" s="1">
        <v>19.269600000000001</v>
      </c>
      <c r="AX406" s="1">
        <v>44.205999999999996</v>
      </c>
      <c r="AY406" s="1">
        <v>7.04</v>
      </c>
    </row>
    <row r="407" spans="4:67" x14ac:dyDescent="0.3">
      <c r="D407" s="2">
        <f t="shared" si="24"/>
        <v>2002</v>
      </c>
      <c r="E407" s="2">
        <f t="shared" si="25"/>
        <v>4</v>
      </c>
      <c r="F407" s="3" t="s">
        <v>178</v>
      </c>
      <c r="G407" s="4">
        <v>37369</v>
      </c>
      <c r="H407" s="1">
        <v>6606238</v>
      </c>
      <c r="I407" s="1">
        <v>661152</v>
      </c>
      <c r="J407" s="5" t="s">
        <v>176</v>
      </c>
      <c r="K407" s="1"/>
      <c r="L407" s="1" t="str">
        <f t="shared" si="26"/>
        <v xml:space="preserve">Oxundaån </v>
      </c>
      <c r="M407" s="1" t="s">
        <v>177</v>
      </c>
      <c r="N407" s="1">
        <v>0.5</v>
      </c>
      <c r="O407" s="1">
        <v>0.5</v>
      </c>
      <c r="Q407" s="1">
        <v>9.1</v>
      </c>
      <c r="T407" s="1">
        <v>42</v>
      </c>
      <c r="V407" s="1">
        <v>2.1909999999999998</v>
      </c>
      <c r="W407" s="1">
        <v>28</v>
      </c>
      <c r="X407" s="1">
        <f t="shared" si="28"/>
        <v>0.27585643856571096</v>
      </c>
      <c r="Y407" s="1">
        <v>8.3000000000000004E-2</v>
      </c>
      <c r="Z407" s="1">
        <v>10</v>
      </c>
      <c r="AD407" s="1">
        <v>548</v>
      </c>
      <c r="AE407" s="1">
        <v>7.76</v>
      </c>
      <c r="AG407" s="1">
        <v>8.6</v>
      </c>
      <c r="AI407" s="1">
        <v>14.3</v>
      </c>
      <c r="AK407" s="1">
        <v>11</v>
      </c>
      <c r="AL407" s="1">
        <v>1358</v>
      </c>
      <c r="AR407" s="1">
        <v>50.38</v>
      </c>
      <c r="AT407" s="1">
        <v>4.6920000000000002</v>
      </c>
      <c r="AU407" s="1">
        <v>8.4337</v>
      </c>
      <c r="AV407" s="1">
        <v>28.182750000000002</v>
      </c>
      <c r="AW407" s="1">
        <v>22.80236</v>
      </c>
      <c r="AX407" s="1">
        <v>48.770749999999992</v>
      </c>
      <c r="AY407" s="1">
        <v>4.2300000000000004</v>
      </c>
    </row>
    <row r="408" spans="4:67" x14ac:dyDescent="0.3">
      <c r="D408" s="2">
        <f t="shared" si="24"/>
        <v>2002</v>
      </c>
      <c r="E408" s="2">
        <f t="shared" si="25"/>
        <v>5</v>
      </c>
      <c r="F408" s="3" t="s">
        <v>178</v>
      </c>
      <c r="G408" s="4">
        <v>37404</v>
      </c>
      <c r="H408" s="1">
        <v>6606238</v>
      </c>
      <c r="I408" s="1">
        <v>661152</v>
      </c>
      <c r="J408" s="5" t="s">
        <v>176</v>
      </c>
      <c r="K408" s="1"/>
      <c r="L408" s="1" t="str">
        <f t="shared" si="26"/>
        <v xml:space="preserve">Oxundaån </v>
      </c>
      <c r="M408" s="1" t="s">
        <v>177</v>
      </c>
      <c r="N408" s="1">
        <v>0.5</v>
      </c>
      <c r="O408" s="1">
        <v>0.5</v>
      </c>
      <c r="Q408" s="1">
        <v>16.5</v>
      </c>
      <c r="T408" s="1">
        <v>42</v>
      </c>
      <c r="V408" s="1">
        <v>2.323</v>
      </c>
      <c r="W408" s="1">
        <v>87</v>
      </c>
      <c r="X408" s="1">
        <f t="shared" si="28"/>
        <v>1.6825335739171692</v>
      </c>
      <c r="Y408" s="1">
        <v>5.2999999999999999E-2</v>
      </c>
      <c r="Z408" s="1">
        <v>10</v>
      </c>
      <c r="AD408" s="1">
        <v>52</v>
      </c>
      <c r="AE408" s="1">
        <v>7.81</v>
      </c>
      <c r="AG408" s="1">
        <v>7.6</v>
      </c>
      <c r="AI408" s="1">
        <v>10.7</v>
      </c>
      <c r="AK408" s="1">
        <v>46</v>
      </c>
      <c r="AL408" s="1">
        <v>903</v>
      </c>
      <c r="AR408" s="1">
        <v>51.74</v>
      </c>
      <c r="AT408" s="1">
        <v>4.8483999999999998</v>
      </c>
      <c r="AU408" s="1">
        <v>8.5788999999999991</v>
      </c>
      <c r="AV408" s="1">
        <v>29.955250000000003</v>
      </c>
      <c r="AW408" s="1">
        <v>24.224640000000001</v>
      </c>
      <c r="AX408" s="1">
        <v>49.539549999999991</v>
      </c>
      <c r="AY408" s="1">
        <v>2.02</v>
      </c>
    </row>
    <row r="409" spans="4:67" x14ac:dyDescent="0.3">
      <c r="D409" s="2">
        <f t="shared" si="24"/>
        <v>2002</v>
      </c>
      <c r="E409" s="2">
        <f t="shared" si="25"/>
        <v>6</v>
      </c>
      <c r="F409" s="3"/>
      <c r="G409" s="4">
        <v>37431</v>
      </c>
      <c r="H409" s="1">
        <v>6606238</v>
      </c>
      <c r="I409" s="1">
        <v>661152</v>
      </c>
      <c r="J409" s="5" t="s">
        <v>176</v>
      </c>
      <c r="K409" s="1"/>
      <c r="L409" s="1" t="str">
        <f t="shared" si="26"/>
        <v xml:space="preserve">Oxundaån </v>
      </c>
      <c r="M409" s="1" t="s">
        <v>177</v>
      </c>
      <c r="N409" s="1">
        <v>0.5</v>
      </c>
      <c r="O409" s="1">
        <v>0.5</v>
      </c>
      <c r="Q409" s="1">
        <v>20</v>
      </c>
      <c r="T409" s="1">
        <v>45.1</v>
      </c>
      <c r="V409" s="1">
        <v>2.3879999999999999</v>
      </c>
      <c r="W409" s="1">
        <v>88</v>
      </c>
      <c r="X409" s="1">
        <f t="shared" si="28"/>
        <v>1.6360061603259566</v>
      </c>
      <c r="Y409" s="1">
        <v>5.2999999999999999E-2</v>
      </c>
      <c r="Z409" s="1">
        <v>44</v>
      </c>
      <c r="AD409" s="1">
        <v>43</v>
      </c>
      <c r="AE409" s="1">
        <v>7.68</v>
      </c>
      <c r="AG409" s="1">
        <v>3</v>
      </c>
      <c r="AI409" s="1">
        <v>15.8</v>
      </c>
      <c r="AK409" s="1">
        <v>86</v>
      </c>
      <c r="AL409" s="1">
        <v>872</v>
      </c>
      <c r="AR409" s="1">
        <v>53.06</v>
      </c>
      <c r="AT409" s="1">
        <v>5.0830000000000002</v>
      </c>
      <c r="AU409" s="1">
        <v>8.7482999999999986</v>
      </c>
      <c r="AV409" s="1">
        <v>31.337800000000001</v>
      </c>
      <c r="AW409" s="1">
        <v>25.027540000000002</v>
      </c>
      <c r="AX409" s="1">
        <v>47.521449999999994</v>
      </c>
      <c r="AY409" s="1">
        <v>0.8</v>
      </c>
    </row>
    <row r="410" spans="4:67" x14ac:dyDescent="0.3">
      <c r="D410" s="2">
        <f t="shared" si="24"/>
        <v>2002</v>
      </c>
      <c r="E410" s="2">
        <f t="shared" si="25"/>
        <v>7</v>
      </c>
      <c r="F410" s="3" t="s">
        <v>179</v>
      </c>
      <c r="G410" s="4">
        <v>37467</v>
      </c>
      <c r="H410" s="1">
        <v>6606238</v>
      </c>
      <c r="I410" s="1">
        <v>661152</v>
      </c>
      <c r="J410" s="5" t="s">
        <v>176</v>
      </c>
      <c r="K410" s="1"/>
      <c r="L410" s="1" t="str">
        <f t="shared" si="26"/>
        <v xml:space="preserve">Oxundaån </v>
      </c>
      <c r="M410" s="1" t="s">
        <v>177</v>
      </c>
      <c r="N410" s="1">
        <v>0.5</v>
      </c>
      <c r="O410" s="1">
        <v>0.5</v>
      </c>
      <c r="Q410" s="1">
        <v>23.4</v>
      </c>
      <c r="T410" s="1">
        <v>42.1</v>
      </c>
      <c r="V410" s="1">
        <v>2.2930000000000001</v>
      </c>
      <c r="W410" s="1">
        <v>71</v>
      </c>
      <c r="X410" s="1">
        <f t="shared" si="28"/>
        <v>3.8989656395482299</v>
      </c>
      <c r="Y410" s="1">
        <v>6.2E-2</v>
      </c>
      <c r="Z410" s="1">
        <v>48</v>
      </c>
      <c r="AD410" s="1">
        <v>16</v>
      </c>
      <c r="AE410" s="1">
        <v>8.06</v>
      </c>
      <c r="AG410" s="1">
        <v>4</v>
      </c>
      <c r="AI410" s="1">
        <v>15.1</v>
      </c>
      <c r="AK410" s="1">
        <v>92</v>
      </c>
      <c r="AL410" s="1">
        <v>910</v>
      </c>
      <c r="AR410" s="1">
        <v>49.92</v>
      </c>
      <c r="AT410" s="1">
        <v>5.0048000000000004</v>
      </c>
      <c r="AU410" s="1">
        <v>8.3247999999999998</v>
      </c>
      <c r="AV410" s="1">
        <v>36.903449999999999</v>
      </c>
      <c r="AW410" s="1">
        <v>24.79814</v>
      </c>
      <c r="AX410" s="1">
        <v>39.833449999999999</v>
      </c>
      <c r="AY410" s="1">
        <v>1.76</v>
      </c>
    </row>
    <row r="411" spans="4:67" x14ac:dyDescent="0.3">
      <c r="D411" s="2">
        <f t="shared" si="24"/>
        <v>2002</v>
      </c>
      <c r="E411" s="2">
        <f t="shared" si="25"/>
        <v>8</v>
      </c>
      <c r="F411" s="3" t="s">
        <v>179</v>
      </c>
      <c r="G411" s="4">
        <v>37495</v>
      </c>
      <c r="H411" s="1">
        <v>6606238</v>
      </c>
      <c r="I411" s="1">
        <v>661152</v>
      </c>
      <c r="J411" s="5" t="s">
        <v>176</v>
      </c>
      <c r="K411" s="1"/>
      <c r="L411" s="1" t="str">
        <f t="shared" si="26"/>
        <v xml:space="preserve">Oxundaån </v>
      </c>
      <c r="M411" s="1" t="s">
        <v>177</v>
      </c>
      <c r="N411" s="1">
        <v>0.5</v>
      </c>
      <c r="O411" s="1">
        <v>0.5</v>
      </c>
      <c r="Q411" s="1">
        <v>23.2</v>
      </c>
      <c r="T411" s="1">
        <v>36.799999999999997</v>
      </c>
      <c r="V411" s="1">
        <v>1.9219999999999999</v>
      </c>
      <c r="W411" s="1">
        <v>265</v>
      </c>
      <c r="X411" s="1">
        <f t="shared" si="28"/>
        <v>4.8225549539118191</v>
      </c>
      <c r="Y411" s="1">
        <v>5.3999999999999999E-2</v>
      </c>
      <c r="Z411" s="1">
        <v>28</v>
      </c>
      <c r="AD411" s="1">
        <v>38</v>
      </c>
      <c r="AE411" s="1">
        <v>7.57</v>
      </c>
      <c r="AG411" s="1">
        <v>11.8</v>
      </c>
      <c r="AI411" s="1">
        <v>15.4</v>
      </c>
      <c r="AK411" s="1">
        <v>132</v>
      </c>
      <c r="AL411" s="1">
        <v>956</v>
      </c>
      <c r="AR411" s="1">
        <v>38.799999999999997</v>
      </c>
      <c r="AT411" s="1">
        <v>5.0439000000000007</v>
      </c>
      <c r="AU411" s="1">
        <v>8.2279999999999998</v>
      </c>
      <c r="AV411" s="1">
        <v>39.349500000000006</v>
      </c>
      <c r="AW411" s="1">
        <v>24.821080000000002</v>
      </c>
      <c r="AX411" s="1">
        <v>37.959499999999998</v>
      </c>
      <c r="AY411" s="1">
        <v>1.97</v>
      </c>
    </row>
    <row r="412" spans="4:67" x14ac:dyDescent="0.3">
      <c r="D412" s="2">
        <f t="shared" si="24"/>
        <v>2002</v>
      </c>
      <c r="E412" s="2">
        <f t="shared" si="25"/>
        <v>9</v>
      </c>
      <c r="F412" s="3"/>
      <c r="G412" s="4">
        <v>37523</v>
      </c>
      <c r="H412" s="1">
        <v>6606238</v>
      </c>
      <c r="I412" s="1">
        <v>661152</v>
      </c>
      <c r="J412" s="5" t="s">
        <v>176</v>
      </c>
      <c r="K412" s="1"/>
      <c r="L412" s="1" t="str">
        <f t="shared" si="26"/>
        <v xml:space="preserve">Oxundaån </v>
      </c>
      <c r="M412" s="1" t="s">
        <v>177</v>
      </c>
      <c r="N412" s="1">
        <v>0.5</v>
      </c>
      <c r="O412" s="1">
        <v>0.5</v>
      </c>
      <c r="Q412" s="1">
        <v>11.5</v>
      </c>
      <c r="T412" s="1">
        <v>35.1</v>
      </c>
      <c r="V412" s="1">
        <v>2.133</v>
      </c>
      <c r="W412" s="1">
        <v>172</v>
      </c>
      <c r="X412" s="1">
        <f t="shared" si="28"/>
        <v>1.1800815077739255</v>
      </c>
      <c r="Y412" s="1">
        <v>8.5999999999999993E-2</v>
      </c>
      <c r="Z412" s="1">
        <v>32</v>
      </c>
      <c r="AD412" s="1">
        <v>93</v>
      </c>
      <c r="AE412" s="1">
        <v>7.52</v>
      </c>
      <c r="AG412" s="1">
        <v>4.4000000000000004</v>
      </c>
      <c r="AI412" s="1">
        <v>11</v>
      </c>
      <c r="AK412" s="1">
        <v>78</v>
      </c>
      <c r="AL412" s="1">
        <v>904</v>
      </c>
      <c r="AR412" s="1">
        <v>44.059999999999995</v>
      </c>
      <c r="AT412" s="1">
        <v>3.9882</v>
      </c>
      <c r="AU412" s="1">
        <v>7.1147999999999998</v>
      </c>
      <c r="AV412" s="1">
        <v>20.7028</v>
      </c>
      <c r="AW412" s="1">
        <v>17.801440000000003</v>
      </c>
      <c r="AX412" s="1">
        <v>35.412849999999999</v>
      </c>
      <c r="AY412" s="1">
        <v>2.59</v>
      </c>
    </row>
    <row r="413" spans="4:67" x14ac:dyDescent="0.3">
      <c r="D413" s="2">
        <f t="shared" si="24"/>
        <v>2002</v>
      </c>
      <c r="E413" s="2">
        <f t="shared" si="25"/>
        <v>10</v>
      </c>
      <c r="F413" s="3" t="s">
        <v>180</v>
      </c>
      <c r="G413" s="4">
        <v>37558</v>
      </c>
      <c r="H413" s="1">
        <v>6606238</v>
      </c>
      <c r="I413" s="1">
        <v>661152</v>
      </c>
      <c r="J413" s="5" t="s">
        <v>176</v>
      </c>
      <c r="K413" s="1"/>
      <c r="L413" s="1" t="str">
        <f t="shared" si="26"/>
        <v xml:space="preserve">Oxundaån </v>
      </c>
      <c r="M413" s="1" t="s">
        <v>177</v>
      </c>
      <c r="N413" s="1">
        <v>0.5</v>
      </c>
      <c r="O413" s="1">
        <v>0.5</v>
      </c>
      <c r="Q413" s="1">
        <v>4</v>
      </c>
      <c r="T413" s="1">
        <v>38.5</v>
      </c>
      <c r="V413" s="1">
        <v>2.2229999999999999</v>
      </c>
      <c r="W413" s="1">
        <v>235</v>
      </c>
      <c r="X413" s="1">
        <f t="shared" si="28"/>
        <v>1.19864886303483</v>
      </c>
      <c r="Y413" s="1">
        <v>4.5999999999999999E-2</v>
      </c>
      <c r="Z413" s="1">
        <v>65</v>
      </c>
      <c r="AD413" s="1">
        <v>104</v>
      </c>
      <c r="AE413" s="1">
        <v>7.65</v>
      </c>
      <c r="AG413" s="1">
        <v>3.8</v>
      </c>
      <c r="AI413" s="1">
        <v>12.2</v>
      </c>
      <c r="AK413" s="1">
        <v>129</v>
      </c>
      <c r="AL413" s="1">
        <v>1373</v>
      </c>
      <c r="AR413" s="1">
        <v>42.699999999999996</v>
      </c>
      <c r="AT413" s="1">
        <v>5.0830000000000002</v>
      </c>
      <c r="AU413" s="1">
        <v>8.3247999999999998</v>
      </c>
      <c r="AV413" s="1">
        <v>28.891750000000002</v>
      </c>
      <c r="AW413" s="1">
        <v>24.568740000000002</v>
      </c>
      <c r="AX413" s="1">
        <v>37.1907</v>
      </c>
      <c r="AY413" s="1">
        <v>1.57</v>
      </c>
    </row>
    <row r="414" spans="4:67" x14ac:dyDescent="0.3">
      <c r="D414" s="2">
        <f t="shared" si="24"/>
        <v>2002</v>
      </c>
      <c r="E414" s="2">
        <f t="shared" si="25"/>
        <v>11</v>
      </c>
      <c r="F414" s="3" t="s">
        <v>180</v>
      </c>
      <c r="G414" s="4">
        <v>37586</v>
      </c>
      <c r="H414" s="1">
        <v>6606238</v>
      </c>
      <c r="I414" s="1">
        <v>661152</v>
      </c>
      <c r="J414" s="5" t="s">
        <v>176</v>
      </c>
      <c r="K414" s="1"/>
      <c r="L414" s="1" t="str">
        <f t="shared" si="26"/>
        <v xml:space="preserve">Oxundaån </v>
      </c>
      <c r="M414" s="1" t="s">
        <v>177</v>
      </c>
      <c r="N414" s="1">
        <v>0.5</v>
      </c>
      <c r="O414" s="1">
        <v>0.5</v>
      </c>
      <c r="Q414" s="1">
        <v>2.2000000000000002</v>
      </c>
      <c r="T414" s="1">
        <v>41.3</v>
      </c>
      <c r="V414" s="1">
        <v>2.3119999999999998</v>
      </c>
      <c r="W414" s="1">
        <v>398</v>
      </c>
      <c r="X414" s="1">
        <f t="shared" si="28"/>
        <v>1.5980491990474583</v>
      </c>
      <c r="Y414" s="1">
        <v>4.2999999999999997E-2</v>
      </c>
      <c r="AD414" s="1">
        <v>133</v>
      </c>
      <c r="AE414" s="1">
        <v>7.61</v>
      </c>
      <c r="AG414" s="1">
        <v>2.1</v>
      </c>
      <c r="AI414" s="1">
        <v>8.9</v>
      </c>
      <c r="AK414" s="1">
        <v>123</v>
      </c>
      <c r="AL414" s="1">
        <v>1016</v>
      </c>
      <c r="AR414" s="1">
        <v>45.919999999999995</v>
      </c>
      <c r="AT414" s="1">
        <v>5.2394000000000007</v>
      </c>
      <c r="AU414" s="1">
        <v>9.0628999999999991</v>
      </c>
      <c r="AV414" s="1">
        <v>30.983300000000003</v>
      </c>
      <c r="AW414" s="1">
        <v>26.33512</v>
      </c>
      <c r="AX414" s="1">
        <v>41.995699999999999</v>
      </c>
      <c r="AY414" s="1">
        <v>2.7</v>
      </c>
    </row>
    <row r="415" spans="4:67" x14ac:dyDescent="0.3">
      <c r="D415" s="2">
        <f t="shared" si="24"/>
        <v>2002</v>
      </c>
      <c r="E415" s="2">
        <f t="shared" si="25"/>
        <v>12</v>
      </c>
      <c r="F415" s="3" t="s">
        <v>175</v>
      </c>
      <c r="G415" s="4">
        <v>37621</v>
      </c>
      <c r="H415" s="1">
        <v>6606238</v>
      </c>
      <c r="I415" s="1">
        <v>661152</v>
      </c>
      <c r="J415" s="5" t="s">
        <v>176</v>
      </c>
      <c r="K415" s="1"/>
      <c r="L415" s="1" t="str">
        <f t="shared" si="26"/>
        <v xml:space="preserve">Oxundaån </v>
      </c>
      <c r="M415" s="1" t="s">
        <v>177</v>
      </c>
      <c r="N415" s="1">
        <v>0.5</v>
      </c>
      <c r="O415" s="1">
        <v>0.5</v>
      </c>
      <c r="Q415" s="1">
        <v>1</v>
      </c>
      <c r="T415" s="1">
        <v>48.4</v>
      </c>
      <c r="V415" s="1">
        <v>2.5640000000000001</v>
      </c>
      <c r="W415" s="1">
        <v>281</v>
      </c>
      <c r="X415" s="1">
        <f t="shared" si="28"/>
        <v>0.85005707854967993</v>
      </c>
      <c r="Y415" s="1">
        <v>3.9E-2</v>
      </c>
      <c r="Z415" s="1">
        <v>85</v>
      </c>
      <c r="AD415" s="1">
        <v>303</v>
      </c>
      <c r="AE415" s="1">
        <v>7.53</v>
      </c>
      <c r="AG415" s="1">
        <v>1.1000000000000001</v>
      </c>
      <c r="AI415" s="1">
        <v>10.1</v>
      </c>
      <c r="AK415" s="1">
        <v>96</v>
      </c>
      <c r="AL415" s="1">
        <v>1199</v>
      </c>
      <c r="AR415" s="1">
        <v>56.08</v>
      </c>
      <c r="AT415" s="1">
        <v>6.0213999999999999</v>
      </c>
      <c r="AU415" s="1">
        <v>10.623799999999999</v>
      </c>
      <c r="AV415" s="1">
        <v>49.417299999999997</v>
      </c>
      <c r="AW415" s="1">
        <v>30.441380000000002</v>
      </c>
      <c r="AX415" s="1">
        <v>55.209449999999997</v>
      </c>
      <c r="AY415" s="1">
        <v>2.52</v>
      </c>
    </row>
    <row r="416" spans="4:67" x14ac:dyDescent="0.3">
      <c r="D416" s="2">
        <f t="shared" si="24"/>
        <v>2003</v>
      </c>
      <c r="E416" s="2">
        <f t="shared" si="25"/>
        <v>1</v>
      </c>
      <c r="F416" s="3" t="s">
        <v>175</v>
      </c>
      <c r="G416" s="4">
        <v>37649</v>
      </c>
      <c r="H416" s="1">
        <v>6606238</v>
      </c>
      <c r="I416" s="1">
        <v>661152</v>
      </c>
      <c r="J416" s="5" t="s">
        <v>176</v>
      </c>
      <c r="K416" s="1"/>
      <c r="L416" s="1" t="str">
        <f t="shared" si="26"/>
        <v xml:space="preserve">Oxundaån </v>
      </c>
      <c r="M416" s="1" t="s">
        <v>177</v>
      </c>
      <c r="N416" s="1">
        <v>0.5</v>
      </c>
      <c r="O416" s="1">
        <v>0.5</v>
      </c>
      <c r="Q416" s="1">
        <v>1.3</v>
      </c>
      <c r="T416" s="1">
        <v>48.7</v>
      </c>
      <c r="V416" s="1">
        <v>2.593</v>
      </c>
      <c r="W416" s="1">
        <v>139</v>
      </c>
      <c r="X416" s="1">
        <f t="shared" si="28"/>
        <v>0.35878533662792617</v>
      </c>
      <c r="Y416" s="1">
        <v>3.4000000000000002E-2</v>
      </c>
      <c r="Z416" s="1">
        <v>73</v>
      </c>
      <c r="AD416" s="1">
        <v>414</v>
      </c>
      <c r="AE416" s="1">
        <v>7.45</v>
      </c>
      <c r="AG416" s="1">
        <v>1.5</v>
      </c>
      <c r="AI416" s="1">
        <v>10.5</v>
      </c>
      <c r="AK416" s="1">
        <v>87</v>
      </c>
      <c r="AL416" s="1">
        <v>1236</v>
      </c>
      <c r="AR416" s="1">
        <v>56.6</v>
      </c>
      <c r="AS416" s="1">
        <v>2.5999999999999999E-2</v>
      </c>
      <c r="AT416" s="1">
        <v>5.9823000000000004</v>
      </c>
      <c r="AU416" s="1">
        <v>10.8658</v>
      </c>
      <c r="AV416" s="1">
        <v>35.981749999999998</v>
      </c>
      <c r="AW416" s="1">
        <v>28.904400000000003</v>
      </c>
      <c r="AX416" s="1">
        <v>58.188549999999999</v>
      </c>
      <c r="AY416" s="1">
        <v>0.61</v>
      </c>
      <c r="BC416" s="1">
        <v>2.5999999999999999E-2</v>
      </c>
      <c r="BE416" s="1">
        <v>1.1000000000000001</v>
      </c>
      <c r="BF416" s="1">
        <v>2.2999999999999998</v>
      </c>
      <c r="BJ416" s="1">
        <v>4.9000000000000004</v>
      </c>
      <c r="BL416" s="1">
        <v>0.28000000000000003</v>
      </c>
      <c r="BO416" s="1">
        <v>5.8</v>
      </c>
    </row>
    <row r="417" spans="4:67" x14ac:dyDescent="0.3">
      <c r="D417" s="2">
        <f t="shared" si="24"/>
        <v>2003</v>
      </c>
      <c r="E417" s="2">
        <f t="shared" si="25"/>
        <v>2</v>
      </c>
      <c r="F417" s="3" t="s">
        <v>175</v>
      </c>
      <c r="G417" s="4">
        <v>37670</v>
      </c>
      <c r="J417" s="1" t="s">
        <v>181</v>
      </c>
      <c r="K417" s="1"/>
      <c r="L417" s="1" t="str">
        <f t="shared" si="26"/>
        <v xml:space="preserve">Fysingen </v>
      </c>
      <c r="M417" s="1" t="s">
        <v>177</v>
      </c>
      <c r="Q417" s="1">
        <v>1.2</v>
      </c>
      <c r="V417" s="1">
        <v>3.0449999999999999</v>
      </c>
      <c r="W417" s="1">
        <v>240</v>
      </c>
      <c r="X417" s="1">
        <f t="shared" si="28"/>
        <v>0.43525085144455522</v>
      </c>
      <c r="Y417" s="1">
        <v>0.03</v>
      </c>
      <c r="Z417" s="1">
        <v>6</v>
      </c>
      <c r="AC417" s="1">
        <v>62.8</v>
      </c>
      <c r="AD417" s="1">
        <v>503</v>
      </c>
      <c r="AE417" s="1">
        <v>7.3</v>
      </c>
      <c r="AI417" s="1">
        <v>8.1999999999999993</v>
      </c>
      <c r="AK417" s="1">
        <v>20</v>
      </c>
      <c r="AL417" s="1">
        <v>1194</v>
      </c>
      <c r="AV417" s="1">
        <v>53.316800000000008</v>
      </c>
      <c r="AX417" s="1">
        <v>97.589550000000003</v>
      </c>
      <c r="AY417" s="1">
        <v>1.66</v>
      </c>
    </row>
    <row r="418" spans="4:67" x14ac:dyDescent="0.3">
      <c r="D418" s="2">
        <f t="shared" si="24"/>
        <v>2003</v>
      </c>
      <c r="E418" s="2">
        <f t="shared" si="25"/>
        <v>2</v>
      </c>
      <c r="F418" s="3" t="s">
        <v>175</v>
      </c>
      <c r="G418" s="4">
        <v>37677</v>
      </c>
      <c r="H418" s="1">
        <v>6606238</v>
      </c>
      <c r="I418" s="1">
        <v>661152</v>
      </c>
      <c r="J418" s="5" t="s">
        <v>176</v>
      </c>
      <c r="K418" s="1"/>
      <c r="L418" s="1" t="str">
        <f t="shared" si="26"/>
        <v xml:space="preserve">Oxundaån </v>
      </c>
      <c r="M418" s="1" t="s">
        <v>177</v>
      </c>
      <c r="N418" s="1">
        <v>0.5</v>
      </c>
      <c r="O418" s="1">
        <v>0.5</v>
      </c>
      <c r="Q418" s="1">
        <v>1.5</v>
      </c>
      <c r="T418" s="1">
        <v>50.6</v>
      </c>
      <c r="V418" s="1">
        <v>2.6989999999999998</v>
      </c>
      <c r="W418" s="1">
        <v>32</v>
      </c>
      <c r="X418" s="1">
        <f t="shared" si="28"/>
        <v>6.230017627682588E-2</v>
      </c>
      <c r="Y418" s="1">
        <v>4.7E-2</v>
      </c>
      <c r="Z418" s="1">
        <v>55</v>
      </c>
      <c r="AD418" s="1">
        <v>616</v>
      </c>
      <c r="AE418" s="1">
        <v>7.32</v>
      </c>
      <c r="AG418" s="1">
        <v>2.1</v>
      </c>
      <c r="AI418" s="1">
        <v>10.6</v>
      </c>
      <c r="AK418" s="1">
        <v>93</v>
      </c>
      <c r="AL418" s="1">
        <v>1331</v>
      </c>
      <c r="AR418" s="1">
        <v>56.36</v>
      </c>
      <c r="AS418" s="1">
        <v>6.6000000000000003E-2</v>
      </c>
      <c r="AT418" s="1">
        <v>6.2560000000000002</v>
      </c>
      <c r="AU418" s="1">
        <v>10.539099999999999</v>
      </c>
      <c r="AV418" s="1">
        <v>43.780750000000005</v>
      </c>
      <c r="AW418" s="1">
        <v>32.230700000000006</v>
      </c>
      <c r="AX418" s="1">
        <v>54.728949999999998</v>
      </c>
      <c r="AY418" s="1">
        <v>0.91</v>
      </c>
      <c r="BC418" s="1">
        <v>2.7E-2</v>
      </c>
      <c r="BE418" s="1">
        <v>1.33</v>
      </c>
      <c r="BF418" s="1">
        <v>2.7</v>
      </c>
      <c r="BJ418" s="1">
        <v>4.3</v>
      </c>
      <c r="BL418" s="1">
        <v>0.26</v>
      </c>
      <c r="BO418" s="1">
        <v>6.3</v>
      </c>
    </row>
    <row r="419" spans="4:67" x14ac:dyDescent="0.3">
      <c r="D419" s="2">
        <f t="shared" si="24"/>
        <v>2003</v>
      </c>
      <c r="E419" s="2">
        <f t="shared" si="25"/>
        <v>4</v>
      </c>
      <c r="F419" s="3" t="s">
        <v>178</v>
      </c>
      <c r="G419" s="4">
        <v>37712</v>
      </c>
      <c r="H419" s="1">
        <v>6606238</v>
      </c>
      <c r="I419" s="1">
        <v>661152</v>
      </c>
      <c r="J419" s="5" t="s">
        <v>176</v>
      </c>
      <c r="K419" s="1"/>
      <c r="L419" s="1" t="str">
        <f t="shared" si="26"/>
        <v xml:space="preserve">Oxundaån </v>
      </c>
      <c r="M419" s="1" t="s">
        <v>177</v>
      </c>
      <c r="N419" s="1">
        <v>0.5</v>
      </c>
      <c r="O419" s="1">
        <v>0.5</v>
      </c>
      <c r="Q419" s="1">
        <v>7</v>
      </c>
      <c r="T419" s="1">
        <v>36.5</v>
      </c>
      <c r="V419" s="1">
        <v>1.861</v>
      </c>
      <c r="W419" s="1">
        <v>14</v>
      </c>
      <c r="X419" s="1">
        <f t="shared" si="28"/>
        <v>2.4441403345895454</v>
      </c>
      <c r="Y419" s="1">
        <v>4.9000000000000002E-2</v>
      </c>
      <c r="Z419" s="1">
        <v>7</v>
      </c>
      <c r="AD419" s="1">
        <v>44</v>
      </c>
      <c r="AE419" s="1">
        <v>9.16</v>
      </c>
      <c r="AG419" s="1">
        <v>16.7</v>
      </c>
      <c r="AI419" s="1">
        <v>9.3000000000000007</v>
      </c>
      <c r="AK419" s="1">
        <v>8</v>
      </c>
      <c r="AL419" s="1">
        <v>940</v>
      </c>
      <c r="AR419" s="1">
        <v>41.4</v>
      </c>
      <c r="AS419" s="1">
        <v>0.105</v>
      </c>
      <c r="AT419" s="1">
        <v>5.2003000000000004</v>
      </c>
      <c r="AU419" s="1">
        <v>8.1070000000000011</v>
      </c>
      <c r="AV419" s="1">
        <v>38.286000000000008</v>
      </c>
      <c r="AW419" s="1">
        <v>26.541580000000003</v>
      </c>
      <c r="AX419" s="1">
        <v>40.794449999999998</v>
      </c>
      <c r="AY419" s="1">
        <v>0.9</v>
      </c>
      <c r="BC419" s="1">
        <v>1.4E-2</v>
      </c>
      <c r="BE419" s="1">
        <v>0.92</v>
      </c>
      <c r="BF419" s="1">
        <v>1.7</v>
      </c>
      <c r="BJ419" s="1">
        <v>3.1</v>
      </c>
      <c r="BL419" s="1">
        <v>0.15</v>
      </c>
      <c r="BO419" s="1">
        <v>2.8</v>
      </c>
    </row>
    <row r="420" spans="4:67" x14ac:dyDescent="0.3">
      <c r="D420" s="2">
        <f t="shared" si="24"/>
        <v>2003</v>
      </c>
      <c r="E420" s="2">
        <f t="shared" si="25"/>
        <v>5</v>
      </c>
      <c r="F420" s="3" t="s">
        <v>178</v>
      </c>
      <c r="G420" s="4">
        <v>37747</v>
      </c>
      <c r="H420" s="1">
        <v>6606238</v>
      </c>
      <c r="I420" s="1">
        <v>661152</v>
      </c>
      <c r="J420" s="5" t="s">
        <v>176</v>
      </c>
      <c r="K420" s="1"/>
      <c r="L420" s="1" t="str">
        <f t="shared" si="26"/>
        <v xml:space="preserve">Oxundaån </v>
      </c>
      <c r="M420" s="1" t="s">
        <v>177</v>
      </c>
      <c r="N420" s="1">
        <v>0.5</v>
      </c>
      <c r="O420" s="1">
        <v>0.5</v>
      </c>
      <c r="Q420" s="1">
        <v>8.6</v>
      </c>
      <c r="T420" s="1">
        <v>45.7</v>
      </c>
      <c r="V420" s="1">
        <v>2.407</v>
      </c>
      <c r="W420" s="1">
        <v>59</v>
      </c>
      <c r="X420" s="1">
        <f t="shared" si="28"/>
        <v>0.80454422114266699</v>
      </c>
      <c r="Y420" s="1">
        <v>3.9E-2</v>
      </c>
      <c r="Z420" s="1">
        <v>5</v>
      </c>
      <c r="AD420" s="1">
        <v>178</v>
      </c>
      <c r="AE420" s="1">
        <v>7.92</v>
      </c>
      <c r="AG420" s="1">
        <v>7.6</v>
      </c>
      <c r="AI420" s="1">
        <v>8.1999999999999993</v>
      </c>
      <c r="AK420" s="1">
        <v>49</v>
      </c>
      <c r="AL420" s="1">
        <v>743</v>
      </c>
      <c r="AR420" s="1">
        <v>50.78</v>
      </c>
      <c r="AS420" s="1">
        <v>0.14000000000000001</v>
      </c>
      <c r="AT420" s="1">
        <v>5.3958000000000004</v>
      </c>
      <c r="AU420" s="1">
        <v>9.4259000000000004</v>
      </c>
      <c r="AV420" s="1">
        <v>40.093950000000007</v>
      </c>
      <c r="AW420" s="1">
        <v>29.133800000000001</v>
      </c>
      <c r="AX420" s="1">
        <v>55.257499999999993</v>
      </c>
      <c r="AY420" s="1">
        <v>0.7</v>
      </c>
      <c r="BC420" s="1">
        <v>3.5999999999999997E-2</v>
      </c>
      <c r="BE420" s="1">
        <v>1.17</v>
      </c>
      <c r="BF420" s="1">
        <v>2.9</v>
      </c>
      <c r="BJ420" s="1">
        <v>4.04</v>
      </c>
      <c r="BL420" s="1">
        <v>0.89</v>
      </c>
      <c r="BO420" s="1">
        <v>6.7</v>
      </c>
    </row>
    <row r="421" spans="4:67" x14ac:dyDescent="0.3">
      <c r="D421" s="2">
        <f t="shared" si="24"/>
        <v>2003</v>
      </c>
      <c r="E421" s="2">
        <f t="shared" si="25"/>
        <v>5</v>
      </c>
      <c r="F421" s="3" t="s">
        <v>178</v>
      </c>
      <c r="G421" s="4">
        <v>37754</v>
      </c>
      <c r="J421" s="1" t="s">
        <v>181</v>
      </c>
      <c r="K421" s="1"/>
      <c r="L421" s="1" t="str">
        <f t="shared" si="26"/>
        <v xml:space="preserve">Fysingen </v>
      </c>
      <c r="M421" s="1" t="s">
        <v>177</v>
      </c>
      <c r="P421" s="1">
        <v>1.4</v>
      </c>
      <c r="Q421" s="1">
        <v>13.8</v>
      </c>
      <c r="V421" s="1">
        <v>2.0289999999999999</v>
      </c>
      <c r="W421" s="1">
        <v>24</v>
      </c>
      <c r="X421" s="1">
        <f t="shared" si="28"/>
        <v>0.74600490533430108</v>
      </c>
      <c r="Y421" s="1">
        <v>3.3000000000000002E-2</v>
      </c>
      <c r="Z421" s="1">
        <v>5</v>
      </c>
      <c r="AB421" s="1">
        <v>6.3</v>
      </c>
      <c r="AC421" s="1">
        <v>49.9</v>
      </c>
      <c r="AD421" s="1">
        <v>718</v>
      </c>
      <c r="AE421" s="1">
        <v>8.11</v>
      </c>
      <c r="AI421" s="1">
        <v>7.7</v>
      </c>
      <c r="AK421" s="1">
        <v>24</v>
      </c>
      <c r="AL421" s="1">
        <v>1498</v>
      </c>
      <c r="AV421" s="1">
        <v>41.760100000000001</v>
      </c>
      <c r="AX421" s="1">
        <v>98.406399999999991</v>
      </c>
      <c r="AY421" s="1">
        <v>1.03</v>
      </c>
    </row>
    <row r="422" spans="4:67" x14ac:dyDescent="0.3">
      <c r="D422" s="2">
        <f t="shared" si="24"/>
        <v>2003</v>
      </c>
      <c r="E422" s="2">
        <f t="shared" si="25"/>
        <v>5</v>
      </c>
      <c r="F422" s="3" t="s">
        <v>178</v>
      </c>
      <c r="G422" s="4">
        <v>37767</v>
      </c>
      <c r="H422" s="1">
        <v>6606238</v>
      </c>
      <c r="I422" s="1">
        <v>661152</v>
      </c>
      <c r="J422" s="5" t="s">
        <v>176</v>
      </c>
      <c r="K422" s="1"/>
      <c r="L422" s="1" t="str">
        <f t="shared" si="26"/>
        <v xml:space="preserve">Oxundaån </v>
      </c>
      <c r="M422" s="1" t="s">
        <v>177</v>
      </c>
      <c r="N422" s="1">
        <v>0.5</v>
      </c>
      <c r="O422" s="1">
        <v>0.5</v>
      </c>
      <c r="Q422" s="1">
        <v>17.3</v>
      </c>
      <c r="T422" s="1">
        <v>46.7</v>
      </c>
      <c r="V422" s="1">
        <v>2.3380000000000001</v>
      </c>
      <c r="W422" s="1">
        <v>42</v>
      </c>
      <c r="X422" s="1">
        <f t="shared" si="28"/>
        <v>2.0084166296402022</v>
      </c>
      <c r="Y422" s="1">
        <v>5.7000000000000002E-2</v>
      </c>
      <c r="Z422" s="1">
        <v>4</v>
      </c>
      <c r="AD422" s="1">
        <v>11</v>
      </c>
      <c r="AE422" s="1">
        <v>8.19</v>
      </c>
      <c r="AG422" s="1">
        <v>6.5</v>
      </c>
      <c r="AI422" s="1">
        <v>9.1</v>
      </c>
      <c r="AK422" s="1">
        <v>55</v>
      </c>
      <c r="AL422" s="1">
        <v>546</v>
      </c>
      <c r="AR422" s="1">
        <v>51.52</v>
      </c>
      <c r="AS422" s="1">
        <v>9.5000000000000001E-2</v>
      </c>
      <c r="AT422" s="1">
        <v>5.5522</v>
      </c>
      <c r="AU422" s="1">
        <v>9.8614999999999995</v>
      </c>
      <c r="AV422" s="1">
        <v>36.05265</v>
      </c>
      <c r="AW422" s="1">
        <v>29.409080000000003</v>
      </c>
      <c r="AX422" s="1">
        <v>62.320849999999993</v>
      </c>
      <c r="AY422" s="1">
        <v>0.53</v>
      </c>
      <c r="BC422" s="1">
        <v>2.1999999999999999E-2</v>
      </c>
      <c r="BE422" s="1">
        <v>1.21</v>
      </c>
      <c r="BF422" s="1">
        <v>3.3</v>
      </c>
      <c r="BJ422" s="1">
        <v>4.1500000000000004</v>
      </c>
      <c r="BL422" s="1">
        <v>0.77</v>
      </c>
      <c r="BO422" s="1">
        <v>6.2</v>
      </c>
    </row>
    <row r="423" spans="4:67" x14ac:dyDescent="0.3">
      <c r="D423" s="2">
        <f t="shared" si="24"/>
        <v>2003</v>
      </c>
      <c r="E423" s="2">
        <f t="shared" si="25"/>
        <v>6</v>
      </c>
      <c r="F423" s="3"/>
      <c r="G423" s="4">
        <v>37796</v>
      </c>
      <c r="H423" s="1">
        <v>6606238</v>
      </c>
      <c r="I423" s="1">
        <v>661152</v>
      </c>
      <c r="J423" s="5" t="s">
        <v>176</v>
      </c>
      <c r="K423" s="1"/>
      <c r="L423" s="1" t="str">
        <f t="shared" si="26"/>
        <v xml:space="preserve">Oxundaån </v>
      </c>
      <c r="M423" s="1" t="s">
        <v>177</v>
      </c>
      <c r="N423" s="1">
        <v>0.5</v>
      </c>
      <c r="O423" s="1">
        <v>0.5</v>
      </c>
      <c r="Q423" s="1">
        <v>18.2</v>
      </c>
      <c r="T423" s="1">
        <v>49</v>
      </c>
      <c r="V423" s="1">
        <v>2.4209999999999998</v>
      </c>
      <c r="W423" s="1">
        <v>107</v>
      </c>
      <c r="X423" s="1">
        <f t="shared" si="28"/>
        <v>2.2393265760826786</v>
      </c>
      <c r="Y423" s="1">
        <v>5.1999999999999998E-2</v>
      </c>
      <c r="Z423" s="1">
        <v>49</v>
      </c>
      <c r="AD423" s="1">
        <v>27</v>
      </c>
      <c r="AE423" s="1">
        <v>7.79</v>
      </c>
      <c r="AG423" s="1">
        <v>5.9</v>
      </c>
      <c r="AI423" s="1">
        <v>8.3000000000000007</v>
      </c>
      <c r="AK423" s="1">
        <v>105</v>
      </c>
      <c r="AL423" s="1">
        <v>906</v>
      </c>
      <c r="AR423" s="1">
        <v>53.879999999999995</v>
      </c>
      <c r="AS423" s="1">
        <v>0.06</v>
      </c>
      <c r="AT423" s="1">
        <v>5.9040999999999997</v>
      </c>
      <c r="AU423" s="1">
        <v>10.248699999999999</v>
      </c>
      <c r="AV423" s="1">
        <v>40.732050000000001</v>
      </c>
      <c r="AW423" s="1">
        <v>30.303740000000001</v>
      </c>
      <c r="AX423" s="1">
        <v>60.639099999999999</v>
      </c>
      <c r="AY423" s="1">
        <v>0.91</v>
      </c>
      <c r="BC423" s="1">
        <v>1.4999999999999999E-2</v>
      </c>
      <c r="BE423" s="1">
        <v>1.53</v>
      </c>
      <c r="BF423" s="1">
        <v>2.2000000000000002</v>
      </c>
      <c r="BJ423" s="1">
        <v>4.22</v>
      </c>
      <c r="BL423" s="1">
        <v>0.22</v>
      </c>
      <c r="BO423" s="1">
        <v>1.7</v>
      </c>
    </row>
    <row r="424" spans="4:67" x14ac:dyDescent="0.3">
      <c r="D424" s="2">
        <f t="shared" si="24"/>
        <v>2003</v>
      </c>
      <c r="E424" s="2">
        <f t="shared" si="25"/>
        <v>7</v>
      </c>
      <c r="F424" s="3" t="s">
        <v>179</v>
      </c>
      <c r="G424" s="4">
        <v>37831</v>
      </c>
      <c r="H424" s="1">
        <v>6606238</v>
      </c>
      <c r="I424" s="1">
        <v>661152</v>
      </c>
      <c r="J424" s="5" t="s">
        <v>176</v>
      </c>
      <c r="K424" s="1"/>
      <c r="L424" s="1" t="str">
        <f t="shared" si="26"/>
        <v xml:space="preserve">Oxundaån </v>
      </c>
      <c r="M424" s="1" t="s">
        <v>177</v>
      </c>
      <c r="N424" s="1">
        <v>0.5</v>
      </c>
      <c r="O424" s="1">
        <v>0.5</v>
      </c>
      <c r="Q424" s="1">
        <v>22.7</v>
      </c>
      <c r="T424" s="1">
        <v>49.6</v>
      </c>
      <c r="V424" s="1">
        <v>2.4769999999999999</v>
      </c>
      <c r="W424" s="1">
        <v>99</v>
      </c>
      <c r="X424" s="1">
        <f t="shared" si="28"/>
        <v>2.08370373240292</v>
      </c>
      <c r="Y424" s="1">
        <v>3.9E-2</v>
      </c>
      <c r="Z424" s="1">
        <v>61</v>
      </c>
      <c r="AD424" s="1">
        <v>32</v>
      </c>
      <c r="AE424" s="1">
        <v>7.65</v>
      </c>
      <c r="AG424" s="1">
        <v>4.8</v>
      </c>
      <c r="AI424" s="1">
        <v>8.4</v>
      </c>
      <c r="AK424" s="1">
        <v>77</v>
      </c>
      <c r="AL424" s="1">
        <v>854</v>
      </c>
      <c r="AR424" s="1">
        <v>54.44</v>
      </c>
      <c r="AS424" s="1">
        <v>0.12</v>
      </c>
      <c r="AT424" s="1">
        <v>6.0996000000000006</v>
      </c>
      <c r="AU424" s="1">
        <v>10.4665</v>
      </c>
      <c r="AV424" s="1">
        <v>50.090850000000003</v>
      </c>
      <c r="AW424" s="1">
        <v>30.785480000000003</v>
      </c>
      <c r="AX424" s="1">
        <v>58.044399999999996</v>
      </c>
      <c r="AY424" s="1">
        <v>0.46</v>
      </c>
      <c r="BC424" s="1">
        <v>1.4E-2</v>
      </c>
      <c r="BE424" s="1">
        <v>1.0900000000000001</v>
      </c>
      <c r="BF424" s="1">
        <v>2.2999999999999998</v>
      </c>
      <c r="BJ424" s="1">
        <v>4.1100000000000003</v>
      </c>
      <c r="BL424" s="1">
        <v>0.82</v>
      </c>
      <c r="BO424" s="1">
        <v>3.4</v>
      </c>
    </row>
    <row r="425" spans="4:67" x14ac:dyDescent="0.3">
      <c r="D425" s="2">
        <f t="shared" si="24"/>
        <v>2003</v>
      </c>
      <c r="E425" s="2">
        <f t="shared" si="25"/>
        <v>8</v>
      </c>
      <c r="F425" s="3" t="s">
        <v>179</v>
      </c>
      <c r="G425" s="4">
        <v>37845</v>
      </c>
      <c r="J425" s="1" t="s">
        <v>181</v>
      </c>
      <c r="K425" s="1"/>
      <c r="L425" s="1" t="str">
        <f t="shared" si="26"/>
        <v xml:space="preserve">Fysingen </v>
      </c>
      <c r="M425" s="1" t="s">
        <v>177</v>
      </c>
      <c r="P425" s="1">
        <v>1.1000000000000001</v>
      </c>
      <c r="Q425" s="1">
        <v>22</v>
      </c>
      <c r="V425" s="1">
        <v>2.29</v>
      </c>
      <c r="W425" s="1">
        <v>7</v>
      </c>
      <c r="X425" s="1">
        <f t="shared" si="28"/>
        <v>0.48367905329833277</v>
      </c>
      <c r="Y425" s="1">
        <v>2.5999999999999999E-2</v>
      </c>
      <c r="Z425" s="1">
        <v>2</v>
      </c>
      <c r="AB425" s="1">
        <v>12.2</v>
      </c>
      <c r="AC425" s="1">
        <v>58.2</v>
      </c>
      <c r="AD425" s="1">
        <v>32</v>
      </c>
      <c r="AE425" s="1">
        <v>8.2100000000000009</v>
      </c>
      <c r="AI425" s="1">
        <v>6.7</v>
      </c>
      <c r="AK425" s="1">
        <v>11</v>
      </c>
      <c r="AL425" s="1">
        <v>692</v>
      </c>
      <c r="AV425" s="1">
        <v>55.443800000000003</v>
      </c>
      <c r="AX425" s="1">
        <v>101.52964999999999</v>
      </c>
      <c r="AY425" s="1">
        <v>0.15</v>
      </c>
    </row>
    <row r="426" spans="4:67" x14ac:dyDescent="0.3">
      <c r="D426" s="2">
        <f t="shared" si="24"/>
        <v>2003</v>
      </c>
      <c r="E426" s="2">
        <f t="shared" si="25"/>
        <v>8</v>
      </c>
      <c r="F426" s="3" t="s">
        <v>179</v>
      </c>
      <c r="G426" s="4">
        <v>37853</v>
      </c>
      <c r="J426" s="1" t="s">
        <v>182</v>
      </c>
      <c r="K426" s="1"/>
      <c r="L426" s="1" t="str">
        <f t="shared" si="26"/>
        <v xml:space="preserve">Edssjön </v>
      </c>
      <c r="M426" s="1" t="s">
        <v>177</v>
      </c>
      <c r="P426" s="1">
        <v>1.1000000000000001</v>
      </c>
      <c r="Q426" s="1">
        <v>20.399999999999999</v>
      </c>
      <c r="R426" s="1">
        <v>8.8000000000000007</v>
      </c>
      <c r="S426" s="1">
        <v>99</v>
      </c>
      <c r="V426" s="1">
        <v>2.2999999999999998</v>
      </c>
      <c r="W426" s="1">
        <v>1</v>
      </c>
      <c r="X426" s="1">
        <f t="shared" si="28"/>
        <v>6.0668126507284668E-2</v>
      </c>
      <c r="Y426" s="1">
        <v>4.5999999999999999E-2</v>
      </c>
      <c r="Z426" s="1">
        <v>50</v>
      </c>
      <c r="AB426" s="1">
        <v>37.9</v>
      </c>
      <c r="AC426" s="1">
        <v>45</v>
      </c>
      <c r="AD426" s="1">
        <v>0.1</v>
      </c>
      <c r="AE426" s="1">
        <v>8.1999999999999993</v>
      </c>
      <c r="AI426" s="1">
        <v>11</v>
      </c>
      <c r="AK426" s="1">
        <v>142</v>
      </c>
      <c r="AL426" s="1">
        <v>1500</v>
      </c>
      <c r="AY426" s="1">
        <v>3.6</v>
      </c>
    </row>
    <row r="427" spans="4:67" x14ac:dyDescent="0.3">
      <c r="D427" s="2">
        <f t="shared" si="24"/>
        <v>2003</v>
      </c>
      <c r="E427" s="2">
        <f t="shared" si="25"/>
        <v>8</v>
      </c>
      <c r="F427" s="3" t="s">
        <v>179</v>
      </c>
      <c r="G427" s="4">
        <v>37853</v>
      </c>
      <c r="J427" s="1" t="s">
        <v>183</v>
      </c>
      <c r="K427" s="1"/>
      <c r="L427" s="1" t="str">
        <f t="shared" si="26"/>
        <v xml:space="preserve">Fjäturen </v>
      </c>
      <c r="M427" s="1" t="s">
        <v>177</v>
      </c>
      <c r="P427" s="1">
        <v>2.7</v>
      </c>
      <c r="Q427" s="1">
        <v>19.8</v>
      </c>
      <c r="R427" s="1">
        <v>8.3000000000000007</v>
      </c>
      <c r="S427" s="1">
        <v>93</v>
      </c>
      <c r="V427" s="1">
        <v>1.65</v>
      </c>
      <c r="W427" s="1">
        <v>8</v>
      </c>
      <c r="X427" s="1">
        <f t="shared" si="28"/>
        <v>0.24039969901542482</v>
      </c>
      <c r="Y427" s="1">
        <v>4.1000000000000002E-2</v>
      </c>
      <c r="Z427" s="1">
        <v>3</v>
      </c>
      <c r="AB427" s="1">
        <v>13.6</v>
      </c>
      <c r="AC427" s="1">
        <v>29.3</v>
      </c>
      <c r="AD427" s="1">
        <v>0.1</v>
      </c>
      <c r="AE427" s="1">
        <v>7.9</v>
      </c>
      <c r="AI427" s="1">
        <v>9.8000000000000007</v>
      </c>
      <c r="AK427" s="1">
        <v>26</v>
      </c>
      <c r="AL427" s="1">
        <v>723</v>
      </c>
      <c r="AY427" s="1">
        <v>1</v>
      </c>
    </row>
    <row r="428" spans="4:67" x14ac:dyDescent="0.3">
      <c r="D428" s="2">
        <f t="shared" si="24"/>
        <v>2003</v>
      </c>
      <c r="E428" s="2">
        <f t="shared" si="25"/>
        <v>8</v>
      </c>
      <c r="F428" s="3" t="s">
        <v>179</v>
      </c>
      <c r="G428" s="4">
        <v>37853</v>
      </c>
      <c r="J428" s="1" t="s">
        <v>183</v>
      </c>
      <c r="K428" s="1"/>
      <c r="L428" s="1" t="str">
        <f t="shared" si="26"/>
        <v xml:space="preserve">Fjäturen </v>
      </c>
      <c r="M428" s="1" t="s">
        <v>184</v>
      </c>
      <c r="Q428" s="1">
        <v>16.7</v>
      </c>
      <c r="R428" s="1">
        <v>0.5</v>
      </c>
      <c r="S428" s="1">
        <v>5</v>
      </c>
      <c r="V428" s="1">
        <v>1.65</v>
      </c>
      <c r="W428" s="1">
        <v>5</v>
      </c>
      <c r="X428" s="1">
        <f t="shared" si="28"/>
        <v>2.4449513144428253E-2</v>
      </c>
      <c r="Y428" s="1">
        <v>4.9000000000000002E-2</v>
      </c>
      <c r="Z428" s="1">
        <v>1</v>
      </c>
      <c r="AC428" s="1">
        <v>28.5</v>
      </c>
      <c r="AD428" s="1">
        <v>0.1</v>
      </c>
      <c r="AE428" s="1">
        <v>7.2</v>
      </c>
      <c r="AI428" s="1">
        <v>10</v>
      </c>
      <c r="AK428" s="1">
        <v>50</v>
      </c>
      <c r="AL428" s="1">
        <v>843</v>
      </c>
      <c r="AY428" s="1">
        <v>2.2999999999999998</v>
      </c>
    </row>
    <row r="429" spans="4:67" x14ac:dyDescent="0.3">
      <c r="D429" s="2">
        <f t="shared" si="24"/>
        <v>2003</v>
      </c>
      <c r="E429" s="2">
        <f t="shared" si="25"/>
        <v>8</v>
      </c>
      <c r="F429" s="3" t="s">
        <v>179</v>
      </c>
      <c r="G429" s="4">
        <v>37853</v>
      </c>
      <c r="J429" s="1" t="s">
        <v>185</v>
      </c>
      <c r="K429" s="1"/>
      <c r="L429" s="1" t="str">
        <f t="shared" si="26"/>
        <v xml:space="preserve">Gullsjön </v>
      </c>
      <c r="M429" s="1" t="s">
        <v>177</v>
      </c>
      <c r="P429" s="1">
        <v>1.5</v>
      </c>
      <c r="Q429" s="1">
        <v>18.100000000000001</v>
      </c>
      <c r="R429" s="1">
        <v>4.4000000000000004</v>
      </c>
      <c r="S429" s="1">
        <v>46</v>
      </c>
      <c r="V429" s="1">
        <v>1.96</v>
      </c>
      <c r="W429" s="1">
        <v>45</v>
      </c>
      <c r="X429" s="1">
        <f t="shared" si="28"/>
        <v>0.19410520218745575</v>
      </c>
      <c r="Y429" s="1">
        <v>0.126</v>
      </c>
      <c r="Z429" s="1">
        <v>0.1</v>
      </c>
      <c r="AB429" s="1">
        <v>9.64</v>
      </c>
      <c r="AC429" s="1">
        <v>40.5</v>
      </c>
      <c r="AD429" s="1">
        <v>2</v>
      </c>
      <c r="AE429" s="1">
        <v>7.1</v>
      </c>
      <c r="AI429" s="1">
        <v>13</v>
      </c>
      <c r="AK429" s="1">
        <v>22</v>
      </c>
      <c r="AL429" s="1">
        <v>1050</v>
      </c>
      <c r="AY429" s="1">
        <v>4.4000000000000004</v>
      </c>
    </row>
    <row r="430" spans="4:67" x14ac:dyDescent="0.3">
      <c r="D430" s="2">
        <f t="shared" si="24"/>
        <v>2003</v>
      </c>
      <c r="E430" s="2">
        <f t="shared" si="25"/>
        <v>8</v>
      </c>
      <c r="F430" s="3" t="s">
        <v>179</v>
      </c>
      <c r="G430" s="4">
        <v>37853</v>
      </c>
      <c r="J430" s="1" t="s">
        <v>186</v>
      </c>
      <c r="K430" s="1">
        <v>1</v>
      </c>
      <c r="L430" s="1" t="str">
        <f t="shared" si="26"/>
        <v>Norrviken 1</v>
      </c>
      <c r="M430" s="1" t="s">
        <v>177</v>
      </c>
      <c r="P430" s="1">
        <v>1</v>
      </c>
      <c r="Q430" s="1">
        <v>20</v>
      </c>
      <c r="R430" s="1">
        <v>8.1999999999999993</v>
      </c>
      <c r="S430" s="1">
        <v>91</v>
      </c>
      <c r="V430" s="1">
        <v>2.04</v>
      </c>
      <c r="W430" s="1">
        <v>0.1</v>
      </c>
      <c r="X430" s="1">
        <f t="shared" si="28"/>
        <v>5.9024271850298786E-3</v>
      </c>
      <c r="Y430" s="1">
        <v>4.8000000000000001E-2</v>
      </c>
      <c r="Z430" s="1">
        <v>0.1</v>
      </c>
      <c r="AB430" s="1">
        <v>33</v>
      </c>
      <c r="AC430" s="1">
        <v>41.1</v>
      </c>
      <c r="AD430" s="1">
        <v>0.1</v>
      </c>
      <c r="AE430" s="1">
        <v>8.1999999999999993</v>
      </c>
      <c r="AI430" s="1">
        <v>9.9</v>
      </c>
      <c r="AK430" s="1">
        <v>105</v>
      </c>
      <c r="AL430" s="1">
        <v>1267</v>
      </c>
      <c r="AY430" s="1">
        <v>3.1</v>
      </c>
    </row>
    <row r="431" spans="4:67" x14ac:dyDescent="0.3">
      <c r="D431" s="2">
        <f t="shared" si="24"/>
        <v>2003</v>
      </c>
      <c r="E431" s="2">
        <f t="shared" si="25"/>
        <v>8</v>
      </c>
      <c r="F431" s="3" t="s">
        <v>179</v>
      </c>
      <c r="G431" s="4">
        <v>37853</v>
      </c>
      <c r="J431" s="1" t="s">
        <v>186</v>
      </c>
      <c r="K431" s="1">
        <v>2</v>
      </c>
      <c r="L431" s="1" t="str">
        <f t="shared" si="26"/>
        <v>Norrviken 2</v>
      </c>
      <c r="M431" s="1" t="s">
        <v>177</v>
      </c>
      <c r="P431" s="1">
        <v>1.7</v>
      </c>
      <c r="Q431" s="1">
        <v>20.100000000000001</v>
      </c>
      <c r="R431" s="1">
        <v>8.1</v>
      </c>
      <c r="S431" s="1">
        <v>91</v>
      </c>
      <c r="V431" s="1">
        <v>2.2200000000000002</v>
      </c>
      <c r="W431" s="1">
        <v>5</v>
      </c>
      <c r="X431" s="1">
        <f t="shared" si="28"/>
        <v>0.29715848306190779</v>
      </c>
      <c r="Y431" s="1">
        <v>4.2000000000000003E-2</v>
      </c>
      <c r="Z431" s="1">
        <v>18</v>
      </c>
      <c r="AB431" s="1">
        <v>26</v>
      </c>
      <c r="AC431" s="1">
        <v>42.2</v>
      </c>
      <c r="AD431" s="1">
        <v>0.1</v>
      </c>
      <c r="AE431" s="1">
        <v>8.1999999999999993</v>
      </c>
      <c r="AI431" s="1">
        <v>9.1</v>
      </c>
      <c r="AK431" s="1">
        <v>77</v>
      </c>
      <c r="AL431" s="1">
        <v>1031</v>
      </c>
      <c r="AY431" s="1">
        <v>2.2999999999999998</v>
      </c>
    </row>
    <row r="432" spans="4:67" x14ac:dyDescent="0.3">
      <c r="D432" s="2">
        <f t="shared" si="24"/>
        <v>2003</v>
      </c>
      <c r="E432" s="2">
        <f t="shared" si="25"/>
        <v>8</v>
      </c>
      <c r="F432" s="3" t="s">
        <v>179</v>
      </c>
      <c r="G432" s="4">
        <v>37853</v>
      </c>
      <c r="J432" s="1" t="s">
        <v>186</v>
      </c>
      <c r="K432" s="1">
        <v>3</v>
      </c>
      <c r="L432" s="1" t="str">
        <f t="shared" si="26"/>
        <v>Norrviken 3</v>
      </c>
      <c r="M432" s="1" t="s">
        <v>177</v>
      </c>
      <c r="P432" s="1">
        <v>2</v>
      </c>
      <c r="Q432" s="1">
        <v>20.100000000000001</v>
      </c>
      <c r="R432" s="1">
        <v>7.6</v>
      </c>
      <c r="S432" s="1">
        <v>85</v>
      </c>
      <c r="V432" s="1">
        <v>2.2599999999999998</v>
      </c>
      <c r="W432" s="1">
        <v>0.1</v>
      </c>
      <c r="X432" s="1">
        <f t="shared" si="28"/>
        <v>5.9431696612381561E-3</v>
      </c>
      <c r="Y432" s="1">
        <v>3.2000000000000001E-2</v>
      </c>
      <c r="Z432" s="1">
        <v>21</v>
      </c>
      <c r="AB432" s="1">
        <v>12.5</v>
      </c>
      <c r="AC432" s="1">
        <v>42</v>
      </c>
      <c r="AD432" s="1">
        <v>0.1</v>
      </c>
      <c r="AE432" s="1">
        <v>8.1999999999999993</v>
      </c>
      <c r="AI432" s="1">
        <v>9.1</v>
      </c>
      <c r="AK432" s="1">
        <v>62</v>
      </c>
      <c r="AL432" s="1">
        <v>902</v>
      </c>
      <c r="AY432" s="1">
        <v>2.2000000000000002</v>
      </c>
    </row>
    <row r="433" spans="4:67" x14ac:dyDescent="0.3">
      <c r="D433" s="2">
        <f t="shared" si="24"/>
        <v>2003</v>
      </c>
      <c r="E433" s="2">
        <f t="shared" si="25"/>
        <v>8</v>
      </c>
      <c r="F433" s="3" t="s">
        <v>179</v>
      </c>
      <c r="G433" s="4">
        <v>37853</v>
      </c>
      <c r="J433" s="1" t="s">
        <v>186</v>
      </c>
      <c r="K433" s="1">
        <v>4</v>
      </c>
      <c r="L433" s="1" t="str">
        <f t="shared" si="26"/>
        <v>Norrviken 4</v>
      </c>
      <c r="M433" s="1" t="s">
        <v>177</v>
      </c>
      <c r="P433" s="1">
        <v>1</v>
      </c>
      <c r="Q433" s="1">
        <v>20.399999999999999</v>
      </c>
      <c r="R433" s="1">
        <v>10.1</v>
      </c>
      <c r="S433" s="1">
        <v>114</v>
      </c>
      <c r="V433" s="1">
        <v>2.17</v>
      </c>
      <c r="W433" s="1">
        <v>0.1</v>
      </c>
      <c r="X433" s="1">
        <f t="shared" si="28"/>
        <v>1.3958797195688126E-2</v>
      </c>
      <c r="Y433" s="1">
        <v>4.3999999999999997E-2</v>
      </c>
      <c r="Z433" s="1">
        <v>11</v>
      </c>
      <c r="AB433" s="1">
        <v>78.2</v>
      </c>
      <c r="AC433" s="1">
        <v>41.5</v>
      </c>
      <c r="AD433" s="1">
        <v>0.1</v>
      </c>
      <c r="AE433" s="1">
        <v>8.6</v>
      </c>
      <c r="AI433" s="1">
        <v>10</v>
      </c>
      <c r="AK433" s="1">
        <v>125</v>
      </c>
      <c r="AL433" s="1">
        <v>1721</v>
      </c>
      <c r="AY433" s="1">
        <v>2.2000000000000002</v>
      </c>
    </row>
    <row r="434" spans="4:67" x14ac:dyDescent="0.3">
      <c r="D434" s="2">
        <f t="shared" si="24"/>
        <v>2003</v>
      </c>
      <c r="E434" s="2">
        <f t="shared" si="25"/>
        <v>8</v>
      </c>
      <c r="F434" s="3" t="s">
        <v>179</v>
      </c>
      <c r="G434" s="4">
        <v>37853</v>
      </c>
      <c r="J434" s="1" t="s">
        <v>186</v>
      </c>
      <c r="K434" s="1">
        <v>2</v>
      </c>
      <c r="L434" s="1" t="str">
        <f t="shared" si="26"/>
        <v>Norrviken 2</v>
      </c>
      <c r="M434" s="1" t="s">
        <v>184</v>
      </c>
      <c r="Q434" s="1">
        <v>13.1</v>
      </c>
      <c r="R434" s="1">
        <v>0</v>
      </c>
      <c r="S434" s="1">
        <v>0</v>
      </c>
      <c r="V434" s="1">
        <v>2.52</v>
      </c>
      <c r="W434" s="1">
        <v>535</v>
      </c>
      <c r="X434" s="1">
        <f t="shared" si="28"/>
        <v>3.1533046925527151</v>
      </c>
      <c r="Y434" s="1">
        <v>4.2000000000000003E-2</v>
      </c>
      <c r="Z434" s="1">
        <v>176</v>
      </c>
      <c r="AC434" s="1">
        <v>44.2</v>
      </c>
      <c r="AD434" s="1">
        <v>0.1</v>
      </c>
      <c r="AE434" s="1">
        <v>7.4</v>
      </c>
      <c r="AI434" s="1">
        <v>9.1999999999999993</v>
      </c>
      <c r="AK434" s="1">
        <v>295</v>
      </c>
      <c r="AL434" s="1">
        <v>1816</v>
      </c>
      <c r="AY434" s="1">
        <v>4.0999999999999996</v>
      </c>
    </row>
    <row r="435" spans="4:67" x14ac:dyDescent="0.3">
      <c r="D435" s="2">
        <f t="shared" si="24"/>
        <v>2003</v>
      </c>
      <c r="E435" s="2">
        <f t="shared" si="25"/>
        <v>8</v>
      </c>
      <c r="F435" s="3" t="s">
        <v>179</v>
      </c>
      <c r="G435" s="4">
        <v>37853</v>
      </c>
      <c r="J435" s="1" t="s">
        <v>186</v>
      </c>
      <c r="K435" s="1">
        <v>3</v>
      </c>
      <c r="L435" s="1" t="str">
        <f t="shared" si="26"/>
        <v>Norrviken 3</v>
      </c>
      <c r="M435" s="1" t="s">
        <v>184</v>
      </c>
      <c r="Q435" s="1">
        <v>10</v>
      </c>
      <c r="R435" s="1">
        <v>0</v>
      </c>
      <c r="S435" s="1">
        <v>0</v>
      </c>
      <c r="V435" s="1">
        <v>3.13</v>
      </c>
      <c r="W435" s="1">
        <v>4340</v>
      </c>
      <c r="X435" s="1">
        <f t="shared" si="28"/>
        <v>12.728634329571667</v>
      </c>
      <c r="Y435" s="1">
        <v>0.28899999999999998</v>
      </c>
      <c r="Z435" s="1">
        <v>760</v>
      </c>
      <c r="AC435" s="1">
        <v>47.5</v>
      </c>
      <c r="AD435" s="1">
        <v>0.1</v>
      </c>
      <c r="AE435" s="1">
        <v>7.2</v>
      </c>
      <c r="AI435" s="1">
        <v>10</v>
      </c>
      <c r="AK435" s="1">
        <v>843</v>
      </c>
      <c r="AL435" s="1">
        <v>4596</v>
      </c>
      <c r="AY435" s="1">
        <v>5.2</v>
      </c>
    </row>
    <row r="436" spans="4:67" x14ac:dyDescent="0.3">
      <c r="D436" s="2">
        <f t="shared" si="24"/>
        <v>2003</v>
      </c>
      <c r="E436" s="2">
        <f t="shared" si="25"/>
        <v>8</v>
      </c>
      <c r="F436" s="3" t="s">
        <v>179</v>
      </c>
      <c r="G436" s="4">
        <v>37853</v>
      </c>
      <c r="J436" s="1" t="s">
        <v>187</v>
      </c>
      <c r="K436" s="1"/>
      <c r="L436" s="1" t="str">
        <f t="shared" si="26"/>
        <v xml:space="preserve">Oxundasjön </v>
      </c>
      <c r="M436" s="1" t="s">
        <v>177</v>
      </c>
      <c r="P436" s="1">
        <v>1.6</v>
      </c>
      <c r="Q436" s="1">
        <v>20.6</v>
      </c>
      <c r="R436" s="1">
        <v>8.9</v>
      </c>
      <c r="S436" s="1">
        <v>101</v>
      </c>
      <c r="V436" s="1">
        <v>2.57</v>
      </c>
      <c r="W436" s="1">
        <v>0.1</v>
      </c>
      <c r="X436" s="1">
        <f t="shared" si="28"/>
        <v>6.1504303487665965E-3</v>
      </c>
      <c r="Y436" s="1">
        <v>5.3999999999999999E-2</v>
      </c>
      <c r="Z436" s="1">
        <v>70</v>
      </c>
      <c r="AB436" s="1">
        <v>19</v>
      </c>
      <c r="AC436" s="1">
        <v>49.9</v>
      </c>
      <c r="AD436" s="1">
        <v>0.1</v>
      </c>
      <c r="AE436" s="1">
        <v>8.1999999999999993</v>
      </c>
      <c r="AI436" s="1">
        <v>9</v>
      </c>
      <c r="AK436" s="1">
        <v>140</v>
      </c>
      <c r="AL436" s="1">
        <v>1129</v>
      </c>
      <c r="AY436" s="1">
        <v>0.25</v>
      </c>
    </row>
    <row r="437" spans="4:67" x14ac:dyDescent="0.3">
      <c r="D437" s="2">
        <f t="shared" si="24"/>
        <v>2003</v>
      </c>
      <c r="E437" s="2">
        <f t="shared" si="25"/>
        <v>8</v>
      </c>
      <c r="F437" s="3" t="s">
        <v>179</v>
      </c>
      <c r="G437" s="4">
        <v>37853</v>
      </c>
      <c r="J437" s="1" t="s">
        <v>188</v>
      </c>
      <c r="K437" s="1"/>
      <c r="L437" s="1" t="str">
        <f t="shared" si="26"/>
        <v xml:space="preserve">Ravalen </v>
      </c>
      <c r="M437" s="1" t="s">
        <v>177</v>
      </c>
      <c r="P437" s="1">
        <v>2</v>
      </c>
      <c r="Q437" s="1">
        <v>19.899999999999999</v>
      </c>
      <c r="R437" s="1">
        <v>10.9</v>
      </c>
      <c r="S437" s="1">
        <v>122</v>
      </c>
      <c r="V437" s="1">
        <v>1.48</v>
      </c>
      <c r="W437" s="1">
        <v>7</v>
      </c>
      <c r="X437" s="1">
        <f t="shared" si="28"/>
        <v>0.94680235938906832</v>
      </c>
      <c r="Y437" s="1">
        <v>5.8999999999999997E-2</v>
      </c>
      <c r="Z437" s="1">
        <v>3</v>
      </c>
      <c r="AB437" s="1">
        <v>3.81</v>
      </c>
      <c r="AC437" s="1">
        <v>59.3</v>
      </c>
      <c r="AD437" s="1">
        <v>0.1</v>
      </c>
      <c r="AE437" s="1">
        <v>8.6</v>
      </c>
      <c r="AI437" s="1">
        <v>10</v>
      </c>
      <c r="AK437" s="1">
        <v>25</v>
      </c>
      <c r="AL437" s="1">
        <v>979</v>
      </c>
      <c r="AY437" s="1">
        <v>0.25</v>
      </c>
    </row>
    <row r="438" spans="4:67" x14ac:dyDescent="0.3">
      <c r="D438" s="2">
        <f t="shared" si="24"/>
        <v>2003</v>
      </c>
      <c r="E438" s="2">
        <f t="shared" si="25"/>
        <v>8</v>
      </c>
      <c r="F438" s="3" t="s">
        <v>179</v>
      </c>
      <c r="G438" s="4">
        <v>37853</v>
      </c>
      <c r="J438" s="1" t="s">
        <v>189</v>
      </c>
      <c r="K438" s="1"/>
      <c r="L438" s="1" t="str">
        <f t="shared" si="26"/>
        <v xml:space="preserve">Rösjön </v>
      </c>
      <c r="M438" s="1" t="s">
        <v>177</v>
      </c>
      <c r="P438" s="1">
        <v>3.1</v>
      </c>
      <c r="Q438" s="1">
        <v>20.5</v>
      </c>
      <c r="R438" s="1">
        <v>8.3000000000000007</v>
      </c>
      <c r="S438" s="1">
        <v>93</v>
      </c>
      <c r="V438" s="1">
        <v>1.7</v>
      </c>
      <c r="W438" s="1">
        <v>2</v>
      </c>
      <c r="X438" s="1">
        <f t="shared" si="28"/>
        <v>7.8861864901438275E-2</v>
      </c>
      <c r="Y438" s="1">
        <v>5.0999999999999997E-2</v>
      </c>
      <c r="Z438" s="1">
        <v>3</v>
      </c>
      <c r="AB438" s="1">
        <v>6.16</v>
      </c>
      <c r="AC438" s="1">
        <v>27.6</v>
      </c>
      <c r="AD438" s="1">
        <v>0.1</v>
      </c>
      <c r="AE438" s="1">
        <v>8</v>
      </c>
      <c r="AI438" s="1">
        <v>8.4</v>
      </c>
      <c r="AK438" s="1">
        <v>30</v>
      </c>
      <c r="AL438" s="1">
        <v>626</v>
      </c>
      <c r="AY438" s="1">
        <v>0.89</v>
      </c>
    </row>
    <row r="439" spans="4:67" x14ac:dyDescent="0.3">
      <c r="D439" s="2">
        <f t="shared" si="24"/>
        <v>2003</v>
      </c>
      <c r="E439" s="2">
        <f t="shared" si="25"/>
        <v>8</v>
      </c>
      <c r="F439" s="3" t="s">
        <v>179</v>
      </c>
      <c r="G439" s="4">
        <v>37853</v>
      </c>
      <c r="J439" s="1" t="s">
        <v>189</v>
      </c>
      <c r="K439" s="1"/>
      <c r="L439" s="1" t="str">
        <f t="shared" si="26"/>
        <v xml:space="preserve">Rösjön </v>
      </c>
      <c r="M439" s="1" t="s">
        <v>184</v>
      </c>
      <c r="Q439" s="1">
        <v>19.8</v>
      </c>
      <c r="R439" s="1">
        <v>2.2999999999999998</v>
      </c>
      <c r="S439" s="1">
        <v>25</v>
      </c>
      <c r="V439" s="1">
        <v>1.74</v>
      </c>
      <c r="W439" s="1">
        <v>139</v>
      </c>
      <c r="X439" s="1">
        <f t="shared" si="28"/>
        <v>2.125287984000237</v>
      </c>
      <c r="Y439" s="1">
        <v>5.2999999999999999E-2</v>
      </c>
      <c r="Z439" s="1">
        <v>2</v>
      </c>
      <c r="AC439" s="1">
        <v>28</v>
      </c>
      <c r="AD439" s="1">
        <v>1</v>
      </c>
      <c r="AE439" s="1">
        <v>7.6</v>
      </c>
      <c r="AI439" s="1">
        <v>8.6</v>
      </c>
      <c r="AK439" s="1">
        <v>44</v>
      </c>
      <c r="AL439" s="1">
        <v>806</v>
      </c>
      <c r="AY439" s="1">
        <v>1.9</v>
      </c>
    </row>
    <row r="440" spans="4:67" x14ac:dyDescent="0.3">
      <c r="D440" s="2">
        <f t="shared" si="24"/>
        <v>2003</v>
      </c>
      <c r="E440" s="2">
        <f t="shared" si="25"/>
        <v>8</v>
      </c>
      <c r="F440" s="3" t="s">
        <v>179</v>
      </c>
      <c r="G440" s="4">
        <v>37853</v>
      </c>
      <c r="J440" s="1" t="s">
        <v>190</v>
      </c>
      <c r="K440" s="1"/>
      <c r="L440" s="1" t="str">
        <f t="shared" si="26"/>
        <v xml:space="preserve">Snuggan </v>
      </c>
      <c r="M440" s="1" t="s">
        <v>177</v>
      </c>
      <c r="P440" s="1">
        <v>0.8</v>
      </c>
      <c r="Q440" s="1">
        <v>18.600000000000001</v>
      </c>
      <c r="R440" s="1">
        <v>7.9</v>
      </c>
      <c r="S440" s="1">
        <v>86</v>
      </c>
      <c r="V440" s="1">
        <v>7.0000000000000007E-2</v>
      </c>
      <c r="W440" s="1">
        <v>0.1</v>
      </c>
      <c r="X440" s="1">
        <f t="shared" si="28"/>
        <v>4.4933519989668069E-5</v>
      </c>
      <c r="Y440" s="1">
        <v>0.39400000000000002</v>
      </c>
      <c r="Z440" s="1">
        <v>0.1</v>
      </c>
      <c r="AB440" s="1">
        <v>12.3</v>
      </c>
      <c r="AC440" s="1">
        <v>5.0999999999999996</v>
      </c>
      <c r="AD440" s="1">
        <v>0.1</v>
      </c>
      <c r="AE440" s="1">
        <v>6.1</v>
      </c>
      <c r="AI440" s="1">
        <v>24</v>
      </c>
      <c r="AK440" s="1">
        <v>30</v>
      </c>
      <c r="AL440" s="1">
        <v>963</v>
      </c>
      <c r="AY440" s="1">
        <v>5.8</v>
      </c>
    </row>
    <row r="441" spans="4:67" x14ac:dyDescent="0.3">
      <c r="D441" s="2">
        <f t="shared" si="24"/>
        <v>2003</v>
      </c>
      <c r="E441" s="2">
        <f t="shared" si="25"/>
        <v>8</v>
      </c>
      <c r="F441" s="3" t="s">
        <v>179</v>
      </c>
      <c r="G441" s="4">
        <v>37853</v>
      </c>
      <c r="J441" s="1" t="s">
        <v>191</v>
      </c>
      <c r="K441" s="1">
        <v>2</v>
      </c>
      <c r="L441" s="1" t="str">
        <f t="shared" si="26"/>
        <v>Vallentunasjön 2</v>
      </c>
      <c r="M441" s="1" t="s">
        <v>177</v>
      </c>
      <c r="Q441" s="1">
        <v>18.2</v>
      </c>
      <c r="R441" s="1">
        <v>4.5999999999999996</v>
      </c>
      <c r="S441" s="1">
        <v>50</v>
      </c>
      <c r="V441" s="1">
        <v>1.83</v>
      </c>
      <c r="W441" s="1">
        <v>0.1</v>
      </c>
      <c r="X441" s="1">
        <f t="shared" si="28"/>
        <v>1.3613391065993277E-3</v>
      </c>
      <c r="Y441" s="1">
        <v>4.5999999999999999E-2</v>
      </c>
      <c r="Z441" s="1">
        <v>0.1</v>
      </c>
      <c r="AB441" s="1">
        <v>35.4</v>
      </c>
      <c r="AC441" s="1">
        <v>35.4</v>
      </c>
      <c r="AD441" s="1">
        <v>0.1</v>
      </c>
      <c r="AE441" s="1">
        <v>7.6</v>
      </c>
      <c r="AI441" s="1">
        <v>15</v>
      </c>
      <c r="AK441" s="1">
        <v>86</v>
      </c>
      <c r="AL441" s="1">
        <v>1842</v>
      </c>
      <c r="AY441" s="1">
        <v>5.0999999999999996</v>
      </c>
    </row>
    <row r="442" spans="4:67" x14ac:dyDescent="0.3">
      <c r="D442" s="2">
        <f t="shared" si="24"/>
        <v>2003</v>
      </c>
      <c r="E442" s="2">
        <f t="shared" si="25"/>
        <v>8</v>
      </c>
      <c r="F442" s="3" t="s">
        <v>179</v>
      </c>
      <c r="G442" s="4">
        <v>37853</v>
      </c>
      <c r="J442" s="1" t="s">
        <v>192</v>
      </c>
      <c r="K442" s="1"/>
      <c r="L442" s="1" t="str">
        <f t="shared" si="26"/>
        <v xml:space="preserve">Väsjön </v>
      </c>
      <c r="M442" s="1" t="s">
        <v>177</v>
      </c>
      <c r="P442" s="1">
        <v>2.5</v>
      </c>
      <c r="Q442" s="1">
        <v>19.5</v>
      </c>
      <c r="R442" s="1">
        <v>9</v>
      </c>
      <c r="S442" s="1">
        <v>100</v>
      </c>
      <c r="V442" s="1">
        <v>1.96</v>
      </c>
      <c r="W442" s="1">
        <v>7</v>
      </c>
      <c r="X442" s="1">
        <f t="shared" si="28"/>
        <v>0.32082247786570428</v>
      </c>
      <c r="Y442" s="1">
        <v>5.1999999999999998E-2</v>
      </c>
      <c r="Z442" s="1">
        <v>2</v>
      </c>
      <c r="AB442" s="1">
        <v>2.5</v>
      </c>
      <c r="AC442" s="1">
        <v>40.200000000000003</v>
      </c>
      <c r="AD442" s="1">
        <v>0.1</v>
      </c>
      <c r="AE442" s="1">
        <v>8.1</v>
      </c>
      <c r="AI442" s="1">
        <v>12</v>
      </c>
      <c r="AK442" s="1">
        <v>23</v>
      </c>
      <c r="AL442" s="1">
        <v>724</v>
      </c>
      <c r="AY442" s="1">
        <v>0.25</v>
      </c>
    </row>
    <row r="443" spans="4:67" x14ac:dyDescent="0.3">
      <c r="D443" s="2">
        <f t="shared" si="24"/>
        <v>2003</v>
      </c>
      <c r="E443" s="2">
        <f t="shared" si="25"/>
        <v>8</v>
      </c>
      <c r="F443" s="3" t="s">
        <v>179</v>
      </c>
      <c r="G443" s="4">
        <v>37853</v>
      </c>
      <c r="J443" s="1" t="s">
        <v>193</v>
      </c>
      <c r="K443" s="1"/>
      <c r="L443" s="1" t="str">
        <f t="shared" si="26"/>
        <v xml:space="preserve">Översjön </v>
      </c>
      <c r="M443" s="1" t="s">
        <v>177</v>
      </c>
      <c r="P443" s="1">
        <v>1.9</v>
      </c>
      <c r="Q443" s="1">
        <v>20.399999999999999</v>
      </c>
      <c r="R443" s="1">
        <v>8.1999999999999993</v>
      </c>
      <c r="S443" s="1">
        <v>92</v>
      </c>
      <c r="V443" s="1">
        <v>1.83</v>
      </c>
      <c r="W443" s="1">
        <v>4</v>
      </c>
      <c r="X443" s="1">
        <f t="shared" si="28"/>
        <v>0.12541982111764191</v>
      </c>
      <c r="Y443" s="1">
        <v>0.04</v>
      </c>
      <c r="Z443" s="1">
        <v>0.1</v>
      </c>
      <c r="AB443" s="1">
        <v>9.49</v>
      </c>
      <c r="AC443" s="1">
        <v>40.799999999999997</v>
      </c>
      <c r="AD443" s="1">
        <v>0.1</v>
      </c>
      <c r="AE443" s="1">
        <v>7.9</v>
      </c>
      <c r="AI443" s="1">
        <v>11</v>
      </c>
      <c r="AK443" s="1">
        <v>39</v>
      </c>
      <c r="AL443" s="1">
        <v>924</v>
      </c>
      <c r="AY443" s="1">
        <v>0.56999999999999995</v>
      </c>
    </row>
    <row r="444" spans="4:67" x14ac:dyDescent="0.3">
      <c r="D444" s="2">
        <f t="shared" si="24"/>
        <v>2003</v>
      </c>
      <c r="E444" s="2">
        <f t="shared" si="25"/>
        <v>8</v>
      </c>
      <c r="F444" s="3" t="s">
        <v>179</v>
      </c>
      <c r="G444" s="4">
        <v>37859</v>
      </c>
      <c r="H444" s="1">
        <v>6606238</v>
      </c>
      <c r="I444" s="1">
        <v>661152</v>
      </c>
      <c r="J444" s="5" t="s">
        <v>176</v>
      </c>
      <c r="K444" s="1"/>
      <c r="L444" s="1" t="str">
        <f t="shared" si="26"/>
        <v xml:space="preserve">Oxundaån </v>
      </c>
      <c r="M444" s="1" t="s">
        <v>177</v>
      </c>
      <c r="N444" s="1">
        <v>0.5</v>
      </c>
      <c r="O444" s="1">
        <v>0.5</v>
      </c>
      <c r="Q444" s="1">
        <v>18.399999999999999</v>
      </c>
      <c r="T444" s="1">
        <v>49.2</v>
      </c>
      <c r="V444" s="1">
        <v>2.4649999999999999</v>
      </c>
      <c r="W444" s="1">
        <v>115</v>
      </c>
      <c r="X444" s="1">
        <f t="shared" si="28"/>
        <v>1.518006922135144</v>
      </c>
      <c r="Y444" s="1">
        <v>4.1000000000000002E-2</v>
      </c>
      <c r="Z444" s="1">
        <v>68</v>
      </c>
      <c r="AD444" s="1">
        <v>15</v>
      </c>
      <c r="AE444" s="1">
        <v>7.58</v>
      </c>
      <c r="AG444" s="1">
        <v>4.8</v>
      </c>
      <c r="AI444" s="1">
        <v>9.4</v>
      </c>
      <c r="AK444" s="1">
        <v>137</v>
      </c>
      <c r="AL444" s="1">
        <v>617</v>
      </c>
      <c r="AR444" s="1">
        <v>54</v>
      </c>
      <c r="AS444" s="1">
        <v>7.2999999999999995E-2</v>
      </c>
      <c r="AT444" s="1">
        <v>6.0605000000000002</v>
      </c>
      <c r="AU444" s="1">
        <v>10.3939</v>
      </c>
      <c r="AV444" s="1">
        <v>48.885550000000002</v>
      </c>
      <c r="AW444" s="1">
        <v>30.785480000000003</v>
      </c>
      <c r="AX444" s="1">
        <v>54.440649999999998</v>
      </c>
      <c r="AY444" s="1">
        <v>0.15</v>
      </c>
      <c r="BC444" s="1">
        <v>1.4E-2</v>
      </c>
      <c r="BE444" s="1">
        <v>1.1200000000000001</v>
      </c>
      <c r="BF444" s="1">
        <v>2.7</v>
      </c>
      <c r="BJ444" s="1">
        <v>4.3600000000000003</v>
      </c>
      <c r="BL444" s="1">
        <v>1.08</v>
      </c>
      <c r="BO444" s="1">
        <v>4.7</v>
      </c>
    </row>
    <row r="445" spans="4:67" x14ac:dyDescent="0.3">
      <c r="D445" s="2">
        <f t="shared" si="24"/>
        <v>2003</v>
      </c>
      <c r="E445" s="2">
        <f t="shared" si="25"/>
        <v>9</v>
      </c>
      <c r="F445" s="3"/>
      <c r="G445" s="4">
        <v>37894</v>
      </c>
      <c r="H445" s="1">
        <v>6606238</v>
      </c>
      <c r="I445" s="1">
        <v>661152</v>
      </c>
      <c r="J445" s="5" t="s">
        <v>176</v>
      </c>
      <c r="K445" s="1"/>
      <c r="L445" s="1" t="str">
        <f t="shared" si="26"/>
        <v xml:space="preserve">Oxundaån </v>
      </c>
      <c r="M445" s="1" t="s">
        <v>177</v>
      </c>
      <c r="N445" s="1">
        <v>0.5</v>
      </c>
      <c r="O445" s="1">
        <v>0.5</v>
      </c>
      <c r="Q445" s="1">
        <v>10.8</v>
      </c>
      <c r="T445" s="1">
        <v>50.4</v>
      </c>
      <c r="V445" s="1">
        <v>2.5009999999999999</v>
      </c>
      <c r="W445" s="1">
        <v>64</v>
      </c>
      <c r="X445" s="1">
        <f t="shared" si="28"/>
        <v>1.0115602696989543</v>
      </c>
      <c r="Y445" s="1">
        <v>0.04</v>
      </c>
      <c r="Z445" s="1">
        <v>71</v>
      </c>
      <c r="AD445" s="1">
        <v>13</v>
      </c>
      <c r="AE445" s="1">
        <v>7.91</v>
      </c>
      <c r="AG445" s="1">
        <v>3.3</v>
      </c>
      <c r="AI445" s="1">
        <v>8.6999999999999993</v>
      </c>
      <c r="AK445" s="1">
        <v>90</v>
      </c>
      <c r="AL445" s="1">
        <v>781</v>
      </c>
      <c r="AR445" s="1">
        <v>54.56</v>
      </c>
      <c r="AS445" s="1">
        <v>4.2000000000000003E-2</v>
      </c>
      <c r="AT445" s="1">
        <v>6.1778000000000004</v>
      </c>
      <c r="AU445" s="1">
        <v>10.805299999999999</v>
      </c>
      <c r="AV445" s="1">
        <v>39.065900000000006</v>
      </c>
      <c r="AW445" s="1">
        <v>30.854300000000002</v>
      </c>
      <c r="AX445" s="1">
        <v>60.014450000000004</v>
      </c>
      <c r="AY445" s="1">
        <v>0.24</v>
      </c>
      <c r="BC445" s="1">
        <v>1.7000000000000001E-2</v>
      </c>
      <c r="BE445" s="1">
        <v>0.85</v>
      </c>
      <c r="BF445" s="1">
        <v>2.2000000000000002</v>
      </c>
      <c r="BJ445" s="1">
        <v>5.14</v>
      </c>
      <c r="BL445" s="1">
        <v>0.91</v>
      </c>
      <c r="BO445" s="1">
        <v>4</v>
      </c>
    </row>
    <row r="446" spans="4:67" x14ac:dyDescent="0.3">
      <c r="D446" s="2">
        <f t="shared" si="24"/>
        <v>2003</v>
      </c>
      <c r="E446" s="2">
        <f t="shared" si="25"/>
        <v>10</v>
      </c>
      <c r="F446" s="3" t="s">
        <v>180</v>
      </c>
      <c r="G446" s="4">
        <v>37900</v>
      </c>
      <c r="J446" s="1" t="s">
        <v>181</v>
      </c>
      <c r="K446" s="1"/>
      <c r="L446" s="1" t="str">
        <f t="shared" si="26"/>
        <v xml:space="preserve">Fysingen </v>
      </c>
      <c r="M446" s="1" t="s">
        <v>177</v>
      </c>
      <c r="Q446" s="1">
        <v>11.2</v>
      </c>
      <c r="V446" s="1">
        <v>2.2690000000000001</v>
      </c>
      <c r="W446" s="1">
        <v>58</v>
      </c>
      <c r="X446" s="1">
        <f t="shared" si="28"/>
        <v>1.2396533330927941</v>
      </c>
      <c r="Y446" s="1">
        <v>2.8000000000000001E-2</v>
      </c>
      <c r="Z446" s="1">
        <v>2</v>
      </c>
      <c r="AB446" s="1">
        <v>2.9</v>
      </c>
      <c r="AC446" s="1">
        <v>57.8</v>
      </c>
      <c r="AD446" s="1">
        <v>90</v>
      </c>
      <c r="AE446" s="1">
        <v>8.0299999999999994</v>
      </c>
      <c r="AI446" s="1">
        <v>8.5</v>
      </c>
      <c r="AK446" s="1">
        <v>13</v>
      </c>
      <c r="AL446" s="1">
        <v>756</v>
      </c>
      <c r="AV446" s="1">
        <v>46.439500000000002</v>
      </c>
      <c r="AX446" s="1">
        <v>99.12715</v>
      </c>
      <c r="AY446" s="1">
        <v>0.28999999999999998</v>
      </c>
    </row>
    <row r="447" spans="4:67" x14ac:dyDescent="0.3">
      <c r="D447" s="2">
        <f t="shared" si="24"/>
        <v>2003</v>
      </c>
      <c r="E447" s="2">
        <f t="shared" si="25"/>
        <v>10</v>
      </c>
      <c r="F447" s="3" t="s">
        <v>180</v>
      </c>
      <c r="G447" s="4">
        <v>37922</v>
      </c>
      <c r="H447" s="1">
        <v>6606238</v>
      </c>
      <c r="I447" s="1">
        <v>661152</v>
      </c>
      <c r="J447" s="5" t="s">
        <v>176</v>
      </c>
      <c r="K447" s="1"/>
      <c r="L447" s="1" t="str">
        <f t="shared" si="26"/>
        <v xml:space="preserve">Oxundaån </v>
      </c>
      <c r="M447" s="1" t="s">
        <v>177</v>
      </c>
      <c r="N447" s="1">
        <v>0.5</v>
      </c>
      <c r="O447" s="1">
        <v>0.5</v>
      </c>
      <c r="Q447" s="1">
        <v>4.3</v>
      </c>
      <c r="T447" s="1">
        <v>51</v>
      </c>
      <c r="V447" s="1">
        <v>2.5419999999999998</v>
      </c>
      <c r="W447" s="1">
        <v>116</v>
      </c>
      <c r="X447" s="1">
        <f t="shared" si="28"/>
        <v>0.60628615447520529</v>
      </c>
      <c r="Y447" s="1">
        <v>2.7E-2</v>
      </c>
      <c r="Z447" s="1">
        <v>80</v>
      </c>
      <c r="AD447" s="1">
        <v>11</v>
      </c>
      <c r="AE447" s="1">
        <v>7.65</v>
      </c>
      <c r="AG447" s="1">
        <v>2.1</v>
      </c>
      <c r="AI447" s="1">
        <v>7.7</v>
      </c>
      <c r="AK447" s="1">
        <v>92</v>
      </c>
      <c r="AL447" s="1">
        <v>819</v>
      </c>
      <c r="AR447" s="1">
        <v>55.64</v>
      </c>
      <c r="AS447" s="1">
        <v>4.5999999999999999E-2</v>
      </c>
      <c r="AT447" s="1">
        <v>6.0996000000000006</v>
      </c>
      <c r="AU447" s="1">
        <v>10.829499999999999</v>
      </c>
      <c r="AV447" s="1">
        <v>48.318350000000002</v>
      </c>
      <c r="AW447" s="1">
        <v>31.221340000000001</v>
      </c>
      <c r="AX447" s="1">
        <v>61.263749999999995</v>
      </c>
      <c r="AY447" s="1">
        <v>0.31</v>
      </c>
      <c r="BC447" s="1">
        <v>3.2000000000000001E-2</v>
      </c>
      <c r="BE447" s="1">
        <v>1.1399999999999999</v>
      </c>
      <c r="BF447" s="1">
        <v>5.4</v>
      </c>
      <c r="BJ447" s="1">
        <v>4.91</v>
      </c>
      <c r="BL447" s="1">
        <v>3.85</v>
      </c>
      <c r="BO447" s="1">
        <v>29</v>
      </c>
    </row>
    <row r="448" spans="4:67" x14ac:dyDescent="0.3">
      <c r="D448" s="2">
        <f t="shared" si="24"/>
        <v>2003</v>
      </c>
      <c r="E448" s="2">
        <f t="shared" si="25"/>
        <v>11</v>
      </c>
      <c r="F448" s="3" t="s">
        <v>180</v>
      </c>
      <c r="G448" s="4">
        <v>37950</v>
      </c>
      <c r="H448" s="1">
        <v>6606238</v>
      </c>
      <c r="I448" s="1">
        <v>661152</v>
      </c>
      <c r="J448" s="5" t="s">
        <v>176</v>
      </c>
      <c r="K448" s="1"/>
      <c r="L448" s="1" t="str">
        <f t="shared" si="26"/>
        <v xml:space="preserve">Oxundaån </v>
      </c>
      <c r="M448" s="1" t="s">
        <v>177</v>
      </c>
      <c r="N448" s="1">
        <v>0.5</v>
      </c>
      <c r="O448" s="1">
        <v>0.5</v>
      </c>
      <c r="Q448" s="1">
        <v>3</v>
      </c>
      <c r="T448" s="1">
        <v>50.9</v>
      </c>
      <c r="V448" s="1">
        <v>2.5190000000000001</v>
      </c>
      <c r="W448" s="1">
        <v>150</v>
      </c>
      <c r="X448" s="1">
        <f t="shared" si="28"/>
        <v>0.92805126592549758</v>
      </c>
      <c r="Y448" s="1">
        <v>3.4000000000000002E-2</v>
      </c>
      <c r="Z448" s="1">
        <v>61</v>
      </c>
      <c r="AD448" s="1">
        <v>124</v>
      </c>
      <c r="AE448" s="1">
        <v>7.77</v>
      </c>
      <c r="AG448" s="1">
        <v>2.1</v>
      </c>
      <c r="AI448" s="1">
        <v>8.9</v>
      </c>
      <c r="AK448" s="1">
        <v>106</v>
      </c>
      <c r="AL448" s="1">
        <v>757</v>
      </c>
      <c r="AR448" s="1">
        <v>54.18</v>
      </c>
      <c r="AS448" s="1">
        <v>4.2000000000000003E-2</v>
      </c>
      <c r="AT448" s="1">
        <v>6.0213999999999999</v>
      </c>
      <c r="AU448" s="1">
        <v>10.5633</v>
      </c>
      <c r="AV448" s="1">
        <v>38.534150000000004</v>
      </c>
      <c r="AW448" s="1">
        <v>30.670780000000001</v>
      </c>
      <c r="AX448" s="1">
        <v>63.474049999999991</v>
      </c>
      <c r="AY448" s="1">
        <v>0.44</v>
      </c>
      <c r="BC448" s="1">
        <v>2.4E-2</v>
      </c>
      <c r="BE448" s="1">
        <v>1.1599999999999999</v>
      </c>
      <c r="BF448" s="1">
        <v>3.7</v>
      </c>
      <c r="BJ448" s="1">
        <v>4.66</v>
      </c>
      <c r="BL448" s="1">
        <v>1.2</v>
      </c>
      <c r="BO448" s="1">
        <v>7.6</v>
      </c>
    </row>
    <row r="449" spans="4:67" x14ac:dyDescent="0.3">
      <c r="D449" s="2">
        <f t="shared" si="24"/>
        <v>2003</v>
      </c>
      <c r="E449" s="2">
        <f t="shared" si="25"/>
        <v>12</v>
      </c>
      <c r="F449" s="3" t="s">
        <v>175</v>
      </c>
      <c r="G449" s="4">
        <v>37986</v>
      </c>
      <c r="H449" s="1">
        <v>6606238</v>
      </c>
      <c r="I449" s="1">
        <v>661152</v>
      </c>
      <c r="J449" s="5" t="s">
        <v>176</v>
      </c>
      <c r="K449" s="1"/>
      <c r="L449" s="1" t="str">
        <f t="shared" si="26"/>
        <v xml:space="preserve">Oxundaån </v>
      </c>
      <c r="M449" s="1" t="s">
        <v>177</v>
      </c>
      <c r="N449" s="1">
        <v>0.5</v>
      </c>
      <c r="O449" s="1">
        <v>0.5</v>
      </c>
      <c r="Q449" s="1">
        <v>1</v>
      </c>
      <c r="T449" s="1">
        <v>53.2</v>
      </c>
      <c r="V449" s="1">
        <v>2.2850000000000001</v>
      </c>
      <c r="W449" s="1">
        <v>155</v>
      </c>
      <c r="X449" s="1">
        <f t="shared" si="28"/>
        <v>0.32469718595662261</v>
      </c>
      <c r="Y449" s="1">
        <v>5.7000000000000002E-2</v>
      </c>
      <c r="Z449" s="1">
        <v>62</v>
      </c>
      <c r="AD449" s="1">
        <v>929</v>
      </c>
      <c r="AE449" s="1">
        <v>7.37</v>
      </c>
      <c r="AG449" s="1">
        <v>8.1999999999999993</v>
      </c>
      <c r="AI449" s="1">
        <v>8.3000000000000007</v>
      </c>
      <c r="AK449" s="1">
        <v>72</v>
      </c>
      <c r="AL449" s="1">
        <v>1527</v>
      </c>
      <c r="AR449" s="1">
        <v>55.540000000000006</v>
      </c>
      <c r="AS449" s="1">
        <v>0.38500000000000001</v>
      </c>
      <c r="AT449" s="1">
        <v>6.3733000000000004</v>
      </c>
      <c r="AU449" s="1">
        <v>11.4224</v>
      </c>
      <c r="AV449" s="1">
        <v>46.333150000000003</v>
      </c>
      <c r="AW449" s="1">
        <v>30.441380000000002</v>
      </c>
      <c r="AX449" s="1">
        <v>77.168300000000002</v>
      </c>
      <c r="AY449" s="1">
        <v>1.53</v>
      </c>
      <c r="BC449" s="1">
        <v>3.5000000000000003E-2</v>
      </c>
      <c r="BE449" s="1">
        <v>1.97</v>
      </c>
      <c r="BF449" s="1">
        <v>4.5999999999999996</v>
      </c>
      <c r="BJ449" s="1">
        <v>7.6</v>
      </c>
      <c r="BL449" s="1">
        <v>1.1200000000000001</v>
      </c>
      <c r="BO449" s="1">
        <v>13</v>
      </c>
    </row>
    <row r="450" spans="4:67" x14ac:dyDescent="0.3">
      <c r="D450" s="2">
        <f t="shared" ref="D450:D513" si="29">YEAR(G450)</f>
        <v>2004</v>
      </c>
      <c r="E450" s="2">
        <f t="shared" ref="E450:E513" si="30">MONTH(G450)</f>
        <v>1</v>
      </c>
      <c r="F450" s="3" t="s">
        <v>175</v>
      </c>
      <c r="G450" s="4">
        <v>38013</v>
      </c>
      <c r="H450" s="1">
        <v>6606238</v>
      </c>
      <c r="I450" s="1">
        <v>661152</v>
      </c>
      <c r="J450" s="5" t="s">
        <v>176</v>
      </c>
      <c r="K450" s="1"/>
      <c r="L450" s="1" t="str">
        <f t="shared" ref="L450:L513" si="31">CONCATENATE(J450," ",K450)</f>
        <v xml:space="preserve">Oxundaån </v>
      </c>
      <c r="M450" s="1" t="s">
        <v>177</v>
      </c>
      <c r="N450" s="1">
        <v>0.5</v>
      </c>
      <c r="O450" s="1">
        <v>0.5</v>
      </c>
      <c r="Q450" s="1">
        <v>0.4</v>
      </c>
      <c r="T450" s="1">
        <v>55.9</v>
      </c>
      <c r="V450" s="1">
        <v>2.48</v>
      </c>
      <c r="W450" s="1">
        <v>241</v>
      </c>
      <c r="X450" s="1">
        <f t="shared" si="28"/>
        <v>0.50272042761327984</v>
      </c>
      <c r="Y450" s="1">
        <v>4.9000000000000002E-2</v>
      </c>
      <c r="Z450" s="1">
        <v>48</v>
      </c>
      <c r="AD450" s="1">
        <v>882</v>
      </c>
      <c r="AE450" s="1">
        <v>7.39</v>
      </c>
      <c r="AG450" s="1">
        <v>4</v>
      </c>
      <c r="AI450" s="1">
        <v>8.6</v>
      </c>
      <c r="AK450" s="1">
        <v>56</v>
      </c>
      <c r="AL450" s="1">
        <v>1516</v>
      </c>
      <c r="AR450" s="1">
        <v>60.300000000000004</v>
      </c>
      <c r="AS450" s="1">
        <v>0.23</v>
      </c>
      <c r="AT450" s="1">
        <v>6.7252000000000001</v>
      </c>
      <c r="AU450" s="1">
        <v>12.2936</v>
      </c>
      <c r="AV450" s="1">
        <v>54.451200000000007</v>
      </c>
      <c r="AW450" s="1">
        <v>33.928260000000002</v>
      </c>
      <c r="AX450" s="1">
        <v>79.955199999999991</v>
      </c>
      <c r="AY450" s="1">
        <v>1.52</v>
      </c>
      <c r="BC450" s="1">
        <v>2.5999999999999999E-2</v>
      </c>
      <c r="BE450" s="1">
        <v>1.58</v>
      </c>
      <c r="BF450" s="1">
        <v>3.3</v>
      </c>
      <c r="BJ450" s="1">
        <v>6.23</v>
      </c>
      <c r="BL450" s="1">
        <v>1.06</v>
      </c>
      <c r="BO450" s="1">
        <v>14</v>
      </c>
    </row>
    <row r="451" spans="4:67" x14ac:dyDescent="0.3">
      <c r="D451" s="2">
        <f t="shared" si="29"/>
        <v>2004</v>
      </c>
      <c r="E451" s="2">
        <f t="shared" si="30"/>
        <v>2</v>
      </c>
      <c r="F451" s="3" t="s">
        <v>175</v>
      </c>
      <c r="G451" s="4">
        <v>38028</v>
      </c>
      <c r="J451" s="1" t="s">
        <v>181</v>
      </c>
      <c r="K451" s="1"/>
      <c r="L451" s="1" t="str">
        <f t="shared" si="31"/>
        <v xml:space="preserve">Fysingen </v>
      </c>
      <c r="M451" s="1" t="s">
        <v>177</v>
      </c>
      <c r="P451" s="1">
        <v>0.8</v>
      </c>
      <c r="Q451" s="1">
        <v>0.5</v>
      </c>
      <c r="R451" s="1">
        <v>10.81</v>
      </c>
      <c r="V451" s="1">
        <v>0.86199999999999999</v>
      </c>
      <c r="W451" s="1">
        <v>373</v>
      </c>
      <c r="X451" s="1">
        <f t="shared" si="28"/>
        <v>0.14302286966662595</v>
      </c>
      <c r="Y451" s="1">
        <v>4.5999999999999999E-2</v>
      </c>
      <c r="Z451" s="1">
        <v>24</v>
      </c>
      <c r="AB451" s="1">
        <v>1.5</v>
      </c>
      <c r="AC451" s="1">
        <v>45.3</v>
      </c>
      <c r="AD451" s="1">
        <v>5072</v>
      </c>
      <c r="AE451" s="1">
        <v>6.65</v>
      </c>
      <c r="AI451" s="1">
        <v>8.9</v>
      </c>
      <c r="AK451" s="1">
        <v>71</v>
      </c>
      <c r="AL451" s="1">
        <v>6440</v>
      </c>
      <c r="AV451" s="1">
        <v>23.503350000000005</v>
      </c>
      <c r="AX451" s="1">
        <v>119.06790000000001</v>
      </c>
      <c r="AY451" s="1">
        <v>3.95</v>
      </c>
    </row>
    <row r="452" spans="4:67" x14ac:dyDescent="0.3">
      <c r="D452" s="2">
        <f t="shared" si="29"/>
        <v>2004</v>
      </c>
      <c r="E452" s="2">
        <f t="shared" si="30"/>
        <v>2</v>
      </c>
      <c r="F452" s="3" t="s">
        <v>175</v>
      </c>
      <c r="G452" s="4">
        <v>38041</v>
      </c>
      <c r="H452" s="1">
        <v>6606238</v>
      </c>
      <c r="I452" s="1">
        <v>661152</v>
      </c>
      <c r="J452" s="5" t="s">
        <v>176</v>
      </c>
      <c r="K452" s="1"/>
      <c r="L452" s="1" t="str">
        <f t="shared" si="31"/>
        <v xml:space="preserve">Oxundaån </v>
      </c>
      <c r="M452" s="1" t="s">
        <v>177</v>
      </c>
      <c r="N452" s="1">
        <v>0.5</v>
      </c>
      <c r="O452" s="1">
        <v>0.5</v>
      </c>
      <c r="Q452" s="1">
        <v>1.3</v>
      </c>
      <c r="T452" s="1">
        <v>53.7</v>
      </c>
      <c r="V452" s="1">
        <v>2.173</v>
      </c>
      <c r="W452" s="1">
        <v>94</v>
      </c>
      <c r="X452" s="1">
        <f t="shared" si="28"/>
        <v>0.16799383041026922</v>
      </c>
      <c r="Y452" s="1">
        <v>5.8999999999999997E-2</v>
      </c>
      <c r="Z452" s="1">
        <v>43</v>
      </c>
      <c r="AD452" s="1">
        <v>1716</v>
      </c>
      <c r="AE452" s="1">
        <v>7.29</v>
      </c>
      <c r="AG452" s="1">
        <v>7.7</v>
      </c>
      <c r="AI452" s="1">
        <v>8.6999999999999993</v>
      </c>
      <c r="AK452" s="1">
        <v>66</v>
      </c>
      <c r="AL452" s="1">
        <v>2483</v>
      </c>
      <c r="AR452" s="1">
        <v>55.540000000000006</v>
      </c>
      <c r="AS452" s="1">
        <v>0.26</v>
      </c>
      <c r="AT452" s="1">
        <v>6.1778000000000004</v>
      </c>
      <c r="AU452" s="1">
        <v>11.204600000000001</v>
      </c>
      <c r="AV452" s="1">
        <v>47.254850000000005</v>
      </c>
      <c r="AW452" s="1">
        <v>31.106640000000002</v>
      </c>
      <c r="AX452" s="1">
        <v>80.820099999999996</v>
      </c>
      <c r="AY452" s="1">
        <v>3.65</v>
      </c>
      <c r="BC452" s="1">
        <v>0.06</v>
      </c>
      <c r="BE452" s="1">
        <v>1.84</v>
      </c>
      <c r="BF452" s="1">
        <v>3.1</v>
      </c>
      <c r="BJ452" s="1">
        <v>10.5</v>
      </c>
      <c r="BL452" s="1">
        <v>1.25</v>
      </c>
      <c r="BO452" s="1">
        <v>14</v>
      </c>
    </row>
    <row r="453" spans="4:67" x14ac:dyDescent="0.3">
      <c r="D453" s="2">
        <f t="shared" si="29"/>
        <v>2004</v>
      </c>
      <c r="E453" s="2">
        <f t="shared" si="30"/>
        <v>3</v>
      </c>
      <c r="F453" s="3" t="s">
        <v>175</v>
      </c>
      <c r="G453" s="4">
        <v>38069</v>
      </c>
      <c r="H453" s="1">
        <v>6606238</v>
      </c>
      <c r="I453" s="1">
        <v>661152</v>
      </c>
      <c r="J453" s="5" t="s">
        <v>176</v>
      </c>
      <c r="K453" s="1"/>
      <c r="L453" s="1" t="str">
        <f t="shared" si="31"/>
        <v xml:space="preserve">Oxundaån </v>
      </c>
      <c r="M453" s="1" t="s">
        <v>177</v>
      </c>
      <c r="N453" s="1">
        <v>0.5</v>
      </c>
      <c r="O453" s="1">
        <v>0.5</v>
      </c>
      <c r="Q453" s="1">
        <v>2.2000000000000002</v>
      </c>
      <c r="T453" s="1">
        <v>47</v>
      </c>
      <c r="V453" s="1">
        <v>1.9550000000000001</v>
      </c>
      <c r="W453" s="1">
        <v>74</v>
      </c>
      <c r="X453" s="1">
        <f t="shared" si="28"/>
        <v>0.12703981854705562</v>
      </c>
      <c r="Y453" s="1">
        <v>7.0000000000000007E-2</v>
      </c>
      <c r="Z453" s="1">
        <v>39</v>
      </c>
      <c r="AD453" s="1">
        <v>1847</v>
      </c>
      <c r="AE453" s="1">
        <v>7.24</v>
      </c>
      <c r="AG453" s="1">
        <v>9.6</v>
      </c>
      <c r="AI453" s="1">
        <v>9.1</v>
      </c>
      <c r="AK453" s="1">
        <v>68</v>
      </c>
      <c r="AL453" s="1">
        <v>2050</v>
      </c>
      <c r="AR453" s="1">
        <v>49.12</v>
      </c>
      <c r="AS453" s="1">
        <v>1.1299999999999999</v>
      </c>
      <c r="AT453" s="1">
        <v>6.1778000000000004</v>
      </c>
      <c r="AU453" s="1">
        <v>10.0793</v>
      </c>
      <c r="AV453" s="1">
        <v>34.421950000000002</v>
      </c>
      <c r="AW453" s="1">
        <v>28.858520000000002</v>
      </c>
      <c r="AX453" s="1">
        <v>68.567350000000005</v>
      </c>
      <c r="AY453" s="1">
        <v>1.7</v>
      </c>
      <c r="BC453" s="1">
        <v>6.3E-2</v>
      </c>
      <c r="BE453" s="1">
        <v>2.29</v>
      </c>
      <c r="BF453" s="1">
        <v>4.3</v>
      </c>
      <c r="BJ453" s="1">
        <v>9.74</v>
      </c>
      <c r="BL453" s="1">
        <v>1.61</v>
      </c>
      <c r="BO453" s="1">
        <v>19</v>
      </c>
    </row>
    <row r="454" spans="4:67" x14ac:dyDescent="0.3">
      <c r="D454" s="2">
        <f t="shared" si="29"/>
        <v>2004</v>
      </c>
      <c r="E454" s="2">
        <f t="shared" si="30"/>
        <v>4</v>
      </c>
      <c r="F454" s="3" t="s">
        <v>178</v>
      </c>
      <c r="G454" s="4">
        <v>38104</v>
      </c>
      <c r="H454" s="1">
        <v>6606238</v>
      </c>
      <c r="I454" s="1">
        <v>661152</v>
      </c>
      <c r="J454" s="5" t="s">
        <v>176</v>
      </c>
      <c r="K454" s="1"/>
      <c r="L454" s="1" t="str">
        <f t="shared" si="31"/>
        <v xml:space="preserve">Oxundaån </v>
      </c>
      <c r="M454" s="1" t="s">
        <v>177</v>
      </c>
      <c r="N454" s="1">
        <v>0.5</v>
      </c>
      <c r="O454" s="1">
        <v>0.5</v>
      </c>
      <c r="Q454" s="1">
        <v>10.8</v>
      </c>
      <c r="T454" s="1">
        <v>46.2</v>
      </c>
      <c r="V454" s="1">
        <v>1.9910000000000001</v>
      </c>
      <c r="W454" s="1">
        <v>112</v>
      </c>
      <c r="X454" s="1">
        <f t="shared" si="28"/>
        <v>1.0492073447704322</v>
      </c>
      <c r="Y454" s="1">
        <v>5.8000000000000003E-2</v>
      </c>
      <c r="Z454" s="1">
        <v>6</v>
      </c>
      <c r="AD454" s="1">
        <v>998</v>
      </c>
      <c r="AE454" s="1">
        <v>7.68</v>
      </c>
      <c r="AG454" s="1">
        <v>5.9</v>
      </c>
      <c r="AI454" s="1">
        <v>8.6</v>
      </c>
      <c r="AK454" s="1">
        <v>33</v>
      </c>
      <c r="AL454" s="1">
        <v>1540</v>
      </c>
      <c r="AR454" s="1">
        <v>52.28</v>
      </c>
      <c r="AS454" s="1">
        <v>0.13</v>
      </c>
      <c r="AT454" s="1">
        <v>5.4740000000000011</v>
      </c>
      <c r="AU454" s="1">
        <v>10.030899999999999</v>
      </c>
      <c r="AV454" s="1">
        <v>44.241600000000005</v>
      </c>
      <c r="AW454" s="1">
        <v>27.642700000000005</v>
      </c>
      <c r="AX454" s="1">
        <v>68.423199999999994</v>
      </c>
      <c r="AY454" s="1">
        <v>2.98</v>
      </c>
      <c r="BC454" s="1">
        <v>2.5000000000000001E-2</v>
      </c>
      <c r="BE454" s="1">
        <v>1.23</v>
      </c>
      <c r="BF454" s="1">
        <v>3.1</v>
      </c>
      <c r="BJ454" s="1">
        <v>7.25</v>
      </c>
      <c r="BL454" s="1">
        <v>0.6</v>
      </c>
      <c r="BO454" s="1">
        <v>5.8</v>
      </c>
    </row>
    <row r="455" spans="4:67" x14ac:dyDescent="0.3">
      <c r="D455" s="2">
        <f t="shared" si="29"/>
        <v>2004</v>
      </c>
      <c r="E455" s="2">
        <f t="shared" si="30"/>
        <v>5</v>
      </c>
      <c r="F455" s="3" t="s">
        <v>178</v>
      </c>
      <c r="G455" s="4">
        <v>38118</v>
      </c>
      <c r="J455" s="1" t="s">
        <v>181</v>
      </c>
      <c r="K455" s="1"/>
      <c r="L455" s="1" t="str">
        <f t="shared" si="31"/>
        <v xml:space="preserve">Fysingen </v>
      </c>
      <c r="M455" s="1" t="s">
        <v>177</v>
      </c>
      <c r="Q455" s="1">
        <v>12</v>
      </c>
      <c r="V455" s="1">
        <v>2.008</v>
      </c>
      <c r="W455" s="1">
        <v>25</v>
      </c>
      <c r="X455" s="1">
        <f t="shared" si="28"/>
        <v>0.28132938402355034</v>
      </c>
      <c r="Y455" s="1">
        <v>2.5000000000000001E-2</v>
      </c>
      <c r="Z455" s="1">
        <v>6</v>
      </c>
      <c r="AB455" s="1">
        <v>8.5</v>
      </c>
      <c r="AC455" s="1">
        <v>52.9</v>
      </c>
      <c r="AD455" s="1">
        <v>977</v>
      </c>
      <c r="AE455" s="1">
        <v>7.72</v>
      </c>
      <c r="AI455" s="1">
        <v>6.1</v>
      </c>
      <c r="AK455" s="1">
        <v>38</v>
      </c>
      <c r="AL455" s="1">
        <v>1409</v>
      </c>
      <c r="AV455" s="1">
        <v>38.108750000000001</v>
      </c>
      <c r="AX455" s="1">
        <v>108.0164</v>
      </c>
      <c r="AY455" s="1">
        <v>5.08</v>
      </c>
    </row>
    <row r="456" spans="4:67" x14ac:dyDescent="0.3">
      <c r="D456" s="2">
        <f t="shared" si="29"/>
        <v>2004</v>
      </c>
      <c r="E456" s="2">
        <f t="shared" si="30"/>
        <v>5</v>
      </c>
      <c r="F456" s="3" t="s">
        <v>178</v>
      </c>
      <c r="G456" s="4">
        <v>38132</v>
      </c>
      <c r="H456" s="1">
        <v>6606238</v>
      </c>
      <c r="I456" s="1">
        <v>661152</v>
      </c>
      <c r="J456" s="5" t="s">
        <v>176</v>
      </c>
      <c r="K456" s="1"/>
      <c r="L456" s="1" t="str">
        <f t="shared" si="31"/>
        <v xml:space="preserve">Oxundaån </v>
      </c>
      <c r="M456" s="1" t="s">
        <v>177</v>
      </c>
      <c r="N456" s="1">
        <v>0.5</v>
      </c>
      <c r="O456" s="1">
        <v>0.5</v>
      </c>
      <c r="Q456" s="1">
        <v>12.5</v>
      </c>
      <c r="T456" s="1">
        <v>47.6</v>
      </c>
      <c r="V456" s="1">
        <v>2.1160000000000001</v>
      </c>
      <c r="W456" s="1">
        <v>53</v>
      </c>
      <c r="X456" s="1">
        <f t="shared" si="28"/>
        <v>1.3673264581409257</v>
      </c>
      <c r="Y456" s="1">
        <v>0.05</v>
      </c>
      <c r="Z456" s="1">
        <v>5</v>
      </c>
      <c r="AD456" s="1">
        <v>244</v>
      </c>
      <c r="AE456" s="1">
        <v>8.07</v>
      </c>
      <c r="AG456" s="1">
        <v>4</v>
      </c>
      <c r="AI456" s="1">
        <v>8.8000000000000007</v>
      </c>
      <c r="AK456" s="1">
        <v>47</v>
      </c>
      <c r="AL456" s="1">
        <v>938</v>
      </c>
      <c r="AR456" s="1">
        <v>51.84</v>
      </c>
      <c r="AS456" s="1">
        <v>0.125</v>
      </c>
      <c r="AT456" s="1">
        <v>5.7085999999999997</v>
      </c>
      <c r="AU456" s="1">
        <v>9.7888999999999999</v>
      </c>
      <c r="AV456" s="1">
        <v>44.560650000000003</v>
      </c>
      <c r="AW456" s="1">
        <v>27.528000000000002</v>
      </c>
      <c r="AX456" s="1">
        <v>69.240049999999997</v>
      </c>
      <c r="AY456" s="1">
        <v>2.4900000000000002</v>
      </c>
      <c r="BC456" s="1">
        <v>2.4E-2</v>
      </c>
      <c r="BE456" s="1">
        <v>1.95</v>
      </c>
      <c r="BF456" s="1">
        <v>53</v>
      </c>
      <c r="BJ456" s="1">
        <v>6</v>
      </c>
      <c r="BL456" s="1">
        <v>1.1000000000000001</v>
      </c>
      <c r="BO456" s="1">
        <v>29</v>
      </c>
    </row>
    <row r="457" spans="4:67" x14ac:dyDescent="0.3">
      <c r="D457" s="2">
        <f t="shared" si="29"/>
        <v>2004</v>
      </c>
      <c r="E457" s="2">
        <f t="shared" si="30"/>
        <v>6</v>
      </c>
      <c r="F457" s="3"/>
      <c r="G457" s="4">
        <v>38160</v>
      </c>
      <c r="H457" s="1">
        <v>6606238</v>
      </c>
      <c r="I457" s="1">
        <v>661152</v>
      </c>
      <c r="J457" s="5" t="s">
        <v>176</v>
      </c>
      <c r="K457" s="1"/>
      <c r="L457" s="1" t="str">
        <f t="shared" si="31"/>
        <v xml:space="preserve">Oxundaån </v>
      </c>
      <c r="M457" s="1" t="s">
        <v>177</v>
      </c>
      <c r="N457" s="1">
        <v>0.5</v>
      </c>
      <c r="O457" s="1">
        <v>0.5</v>
      </c>
      <c r="Q457" s="1">
        <v>18.600000000000001</v>
      </c>
      <c r="T457" s="1">
        <v>47.8</v>
      </c>
      <c r="V457" s="1">
        <v>2.222</v>
      </c>
      <c r="W457" s="1">
        <v>71</v>
      </c>
      <c r="X457" s="1">
        <f t="shared" si="28"/>
        <v>2.735038710438062</v>
      </c>
      <c r="Y457" s="1">
        <v>4.9000000000000002E-2</v>
      </c>
      <c r="Z457" s="1">
        <v>12</v>
      </c>
      <c r="AD457" s="1">
        <v>8</v>
      </c>
      <c r="AE457" s="1">
        <v>8.0500000000000007</v>
      </c>
      <c r="AG457" s="1">
        <v>4.7</v>
      </c>
      <c r="AI457" s="1">
        <v>9.1999999999999993</v>
      </c>
      <c r="AK457" s="1">
        <v>52</v>
      </c>
      <c r="AL457" s="1">
        <v>796</v>
      </c>
      <c r="AR457" s="1">
        <v>53.099999999999994</v>
      </c>
      <c r="AS457" s="1">
        <v>0.14000000000000001</v>
      </c>
      <c r="AT457" s="1">
        <v>5.7085999999999997</v>
      </c>
      <c r="AU457" s="1">
        <v>9.9219999999999988</v>
      </c>
      <c r="AV457" s="1">
        <v>42.150050000000007</v>
      </c>
      <c r="AW457" s="1">
        <v>28.812640000000002</v>
      </c>
      <c r="AX457" s="1">
        <v>68.711499999999987</v>
      </c>
      <c r="AY457" s="1">
        <v>0.22</v>
      </c>
      <c r="BC457" s="1">
        <v>1.2999999999999999E-2</v>
      </c>
      <c r="BE457" s="1">
        <v>1.6</v>
      </c>
      <c r="BF457" s="1">
        <v>4.2</v>
      </c>
      <c r="BJ457" s="1">
        <v>5.25</v>
      </c>
      <c r="BL457" s="1">
        <v>0.92</v>
      </c>
      <c r="BO457" s="1">
        <v>9.3000000000000007</v>
      </c>
    </row>
    <row r="458" spans="4:67" x14ac:dyDescent="0.3">
      <c r="D458" s="2">
        <f t="shared" si="29"/>
        <v>2004</v>
      </c>
      <c r="E458" s="2">
        <f t="shared" si="30"/>
        <v>7</v>
      </c>
      <c r="F458" s="3" t="s">
        <v>179</v>
      </c>
      <c r="G458" s="4">
        <v>38195</v>
      </c>
      <c r="H458" s="1">
        <v>6606238</v>
      </c>
      <c r="I458" s="1">
        <v>661152</v>
      </c>
      <c r="J458" s="5" t="s">
        <v>176</v>
      </c>
      <c r="K458" s="1"/>
      <c r="L458" s="1" t="str">
        <f t="shared" si="31"/>
        <v xml:space="preserve">Oxundaån </v>
      </c>
      <c r="M458" s="1" t="s">
        <v>177</v>
      </c>
      <c r="N458" s="1">
        <v>0.5</v>
      </c>
      <c r="O458" s="1">
        <v>0.5</v>
      </c>
      <c r="Q458" s="1">
        <v>21.4</v>
      </c>
      <c r="T458" s="1">
        <v>48.1</v>
      </c>
      <c r="V458" s="1">
        <v>2.3109999999999999</v>
      </c>
      <c r="W458" s="1">
        <v>61</v>
      </c>
      <c r="X458" s="1">
        <f t="shared" si="28"/>
        <v>1.9626412928517685</v>
      </c>
      <c r="Y458" s="1">
        <v>6.0999999999999999E-2</v>
      </c>
      <c r="Z458" s="1">
        <v>28</v>
      </c>
      <c r="AD458" s="1">
        <v>17</v>
      </c>
      <c r="AE458" s="1">
        <v>7.88</v>
      </c>
      <c r="AG458" s="1">
        <v>6</v>
      </c>
      <c r="AI458" s="1">
        <v>9.1</v>
      </c>
      <c r="AK458" s="1">
        <v>99</v>
      </c>
      <c r="AL458" s="1">
        <v>664</v>
      </c>
      <c r="AR458" s="1">
        <v>52.480000000000004</v>
      </c>
      <c r="AS458" s="1">
        <v>0.125</v>
      </c>
      <c r="AT458" s="1">
        <v>5.5522</v>
      </c>
      <c r="AU458" s="1">
        <v>9.7042000000000002</v>
      </c>
      <c r="AV458" s="1">
        <v>40.732050000000001</v>
      </c>
      <c r="AW458" s="1">
        <v>28.353840000000002</v>
      </c>
      <c r="AX458" s="1">
        <v>64.915549999999996</v>
      </c>
      <c r="AY458" s="1">
        <v>2.54</v>
      </c>
      <c r="BC458" s="1">
        <v>1.9E-2</v>
      </c>
      <c r="BE458" s="1">
        <v>1.45</v>
      </c>
      <c r="BF458" s="1">
        <v>5.0999999999999996</v>
      </c>
      <c r="BJ458" s="1">
        <v>5.0999999999999996</v>
      </c>
      <c r="BL458" s="1">
        <v>0.72</v>
      </c>
      <c r="BO458" s="1">
        <v>7.2</v>
      </c>
    </row>
    <row r="459" spans="4:67" x14ac:dyDescent="0.3">
      <c r="D459" s="2">
        <f t="shared" si="29"/>
        <v>2004</v>
      </c>
      <c r="E459" s="2">
        <f t="shared" si="30"/>
        <v>8</v>
      </c>
      <c r="F459" s="3" t="s">
        <v>179</v>
      </c>
      <c r="G459" s="4">
        <v>38216</v>
      </c>
      <c r="J459" s="1" t="s">
        <v>182</v>
      </c>
      <c r="K459" s="1"/>
      <c r="L459" s="1" t="str">
        <f t="shared" si="31"/>
        <v xml:space="preserve">Edssjön </v>
      </c>
      <c r="M459" s="1" t="s">
        <v>177</v>
      </c>
      <c r="P459" s="1">
        <v>0.7</v>
      </c>
      <c r="Q459" s="1">
        <v>21</v>
      </c>
      <c r="R459" s="1">
        <v>13.7</v>
      </c>
      <c r="S459" s="1">
        <v>157</v>
      </c>
      <c r="W459" s="1">
        <v>8</v>
      </c>
      <c r="X459" s="1">
        <f t="shared" si="28"/>
        <v>1.433627420441737</v>
      </c>
      <c r="Y459" s="1">
        <v>5.3999999999999999E-2</v>
      </c>
      <c r="Z459" s="1">
        <v>38</v>
      </c>
      <c r="AB459" s="1">
        <v>122</v>
      </c>
      <c r="AC459" s="1">
        <v>44.4</v>
      </c>
      <c r="AD459" s="1">
        <v>0.1</v>
      </c>
      <c r="AE459" s="1">
        <v>8.7100000000000009</v>
      </c>
      <c r="AI459" s="1">
        <v>11</v>
      </c>
      <c r="AK459" s="1">
        <v>166</v>
      </c>
      <c r="AL459" s="1">
        <v>1995</v>
      </c>
      <c r="AY459" s="1">
        <v>3.84</v>
      </c>
    </row>
    <row r="460" spans="4:67" x14ac:dyDescent="0.3">
      <c r="D460" s="2">
        <f t="shared" si="29"/>
        <v>2004</v>
      </c>
      <c r="E460" s="2">
        <f t="shared" si="30"/>
        <v>8</v>
      </c>
      <c r="F460" s="3" t="s">
        <v>179</v>
      </c>
      <c r="G460" s="4">
        <v>38216</v>
      </c>
      <c r="J460" s="1" t="s">
        <v>183</v>
      </c>
      <c r="K460" s="1"/>
      <c r="L460" s="1" t="str">
        <f t="shared" si="31"/>
        <v xml:space="preserve">Fjäturen </v>
      </c>
      <c r="M460" s="1" t="s">
        <v>177</v>
      </c>
      <c r="P460" s="1">
        <v>2.2000000000000002</v>
      </c>
      <c r="Q460" s="1">
        <v>21.3</v>
      </c>
      <c r="R460" s="1">
        <v>8.1999999999999993</v>
      </c>
      <c r="S460" s="1">
        <v>94</v>
      </c>
      <c r="W460" s="1">
        <v>7</v>
      </c>
      <c r="X460" s="1">
        <f t="shared" si="28"/>
        <v>0.23383473061088481</v>
      </c>
      <c r="Y460" s="1">
        <v>5.6000000000000001E-2</v>
      </c>
      <c r="Z460" s="1">
        <v>1</v>
      </c>
      <c r="AB460" s="1">
        <v>6.12</v>
      </c>
      <c r="AC460" s="1">
        <v>30.9</v>
      </c>
      <c r="AD460" s="1">
        <v>0.1</v>
      </c>
      <c r="AE460" s="1">
        <v>7.9</v>
      </c>
      <c r="AI460" s="1">
        <v>9.8000000000000007</v>
      </c>
      <c r="AK460" s="1">
        <v>25</v>
      </c>
      <c r="AL460" s="1">
        <v>577</v>
      </c>
      <c r="AY460" s="1">
        <v>0.56200000000000006</v>
      </c>
    </row>
    <row r="461" spans="4:67" x14ac:dyDescent="0.3">
      <c r="D461" s="2">
        <f t="shared" si="29"/>
        <v>2004</v>
      </c>
      <c r="E461" s="2">
        <f t="shared" si="30"/>
        <v>8</v>
      </c>
      <c r="F461" s="3" t="s">
        <v>179</v>
      </c>
      <c r="G461" s="4">
        <v>38216</v>
      </c>
      <c r="J461" s="1" t="s">
        <v>183</v>
      </c>
      <c r="K461" s="1"/>
      <c r="L461" s="1" t="str">
        <f t="shared" si="31"/>
        <v xml:space="preserve">Fjäturen </v>
      </c>
      <c r="M461" s="1" t="s">
        <v>184</v>
      </c>
      <c r="Q461" s="1">
        <v>12.7</v>
      </c>
      <c r="R461" s="1">
        <v>0.1</v>
      </c>
      <c r="S461" s="1">
        <v>0.4</v>
      </c>
      <c r="W461" s="1">
        <v>457</v>
      </c>
      <c r="X461" s="1">
        <f t="shared" si="28"/>
        <v>2.8629985320975644</v>
      </c>
      <c r="Y461" s="1">
        <v>7.1999999999999995E-2</v>
      </c>
      <c r="Z461" s="1">
        <v>136</v>
      </c>
      <c r="AB461" s="1">
        <v>7.49</v>
      </c>
      <c r="AC461" s="1">
        <v>35.6</v>
      </c>
      <c r="AD461" s="1">
        <v>0.1</v>
      </c>
      <c r="AE461" s="1">
        <v>7.44</v>
      </c>
      <c r="AF461" s="1">
        <v>2.5000000000000001E-2</v>
      </c>
      <c r="AI461" s="1">
        <v>11</v>
      </c>
      <c r="AK461" s="1">
        <v>210</v>
      </c>
      <c r="AL461" s="1">
        <v>1111</v>
      </c>
      <c r="AY461" s="1">
        <v>4</v>
      </c>
    </row>
    <row r="462" spans="4:67" x14ac:dyDescent="0.3">
      <c r="D462" s="2">
        <f t="shared" si="29"/>
        <v>2004</v>
      </c>
      <c r="E462" s="2">
        <f t="shared" si="30"/>
        <v>8</v>
      </c>
      <c r="F462" s="3" t="s">
        <v>179</v>
      </c>
      <c r="G462" s="4">
        <v>38216</v>
      </c>
      <c r="J462" s="1" t="s">
        <v>185</v>
      </c>
      <c r="K462" s="1"/>
      <c r="L462" s="1" t="str">
        <f t="shared" si="31"/>
        <v xml:space="preserve">Gullsjön </v>
      </c>
      <c r="M462" s="1" t="s">
        <v>177</v>
      </c>
      <c r="P462" s="1">
        <v>1.6</v>
      </c>
      <c r="Q462" s="1">
        <v>18.399999999999999</v>
      </c>
      <c r="R462" s="1">
        <v>3.2</v>
      </c>
      <c r="S462" s="1">
        <v>35</v>
      </c>
      <c r="W462" s="1">
        <v>7</v>
      </c>
      <c r="X462" s="1">
        <f t="shared" si="28"/>
        <v>2.1881904199539649E-2</v>
      </c>
      <c r="Y462" s="1">
        <v>0.11700000000000001</v>
      </c>
      <c r="Z462" s="1">
        <v>3</v>
      </c>
      <c r="AB462" s="1">
        <v>6.39</v>
      </c>
      <c r="AC462" s="1">
        <v>44.5</v>
      </c>
      <c r="AD462" s="1">
        <v>0.1</v>
      </c>
      <c r="AE462" s="1">
        <v>6.95</v>
      </c>
      <c r="AI462" s="1">
        <v>12</v>
      </c>
      <c r="AK462" s="1">
        <v>18</v>
      </c>
      <c r="AL462" s="1">
        <v>802</v>
      </c>
      <c r="AY462" s="1">
        <v>4.55</v>
      </c>
    </row>
    <row r="463" spans="4:67" x14ac:dyDescent="0.3">
      <c r="D463" s="2">
        <f t="shared" si="29"/>
        <v>2004</v>
      </c>
      <c r="E463" s="2">
        <f t="shared" si="30"/>
        <v>8</v>
      </c>
      <c r="F463" s="3" t="s">
        <v>179</v>
      </c>
      <c r="G463" s="4">
        <v>38216</v>
      </c>
      <c r="J463" s="1" t="s">
        <v>186</v>
      </c>
      <c r="K463" s="1">
        <v>1</v>
      </c>
      <c r="L463" s="1" t="str">
        <f t="shared" si="31"/>
        <v>Norrviken 1</v>
      </c>
      <c r="M463" s="1" t="s">
        <v>177</v>
      </c>
      <c r="P463" s="1">
        <v>0.5</v>
      </c>
      <c r="Q463" s="1">
        <v>21.2</v>
      </c>
      <c r="R463" s="1">
        <v>15.3</v>
      </c>
      <c r="S463" s="1">
        <v>175</v>
      </c>
      <c r="W463" s="1">
        <v>1</v>
      </c>
      <c r="X463" s="1">
        <f t="shared" si="28"/>
        <v>0.22601981665942111</v>
      </c>
      <c r="Y463" s="1">
        <v>4.5999999999999999E-2</v>
      </c>
      <c r="Z463" s="1">
        <v>8</v>
      </c>
      <c r="AB463" s="1">
        <v>88.1</v>
      </c>
      <c r="AC463" s="1">
        <v>44.1</v>
      </c>
      <c r="AD463" s="1">
        <v>0.1</v>
      </c>
      <c r="AE463" s="1">
        <v>8.83</v>
      </c>
      <c r="AI463" s="1">
        <v>11</v>
      </c>
      <c r="AK463" s="1">
        <v>139</v>
      </c>
      <c r="AL463" s="1">
        <v>1567</v>
      </c>
      <c r="AY463" s="1">
        <v>2.17</v>
      </c>
    </row>
    <row r="464" spans="4:67" x14ac:dyDescent="0.3">
      <c r="D464" s="2">
        <f t="shared" si="29"/>
        <v>2004</v>
      </c>
      <c r="E464" s="2">
        <f t="shared" si="30"/>
        <v>8</v>
      </c>
      <c r="F464" s="3" t="s">
        <v>179</v>
      </c>
      <c r="G464" s="4">
        <v>38216</v>
      </c>
      <c r="J464" s="1" t="s">
        <v>186</v>
      </c>
      <c r="K464" s="1">
        <v>4</v>
      </c>
      <c r="L464" s="1" t="str">
        <f t="shared" si="31"/>
        <v>Norrviken 4</v>
      </c>
      <c r="M464" s="1" t="s">
        <v>177</v>
      </c>
      <c r="P464" s="1">
        <v>1.1000000000000001</v>
      </c>
      <c r="Q464" s="1">
        <v>20.6</v>
      </c>
      <c r="R464" s="1">
        <v>9.6999999999999993</v>
      </c>
      <c r="S464" s="1">
        <v>110</v>
      </c>
      <c r="W464" s="1">
        <v>0.1</v>
      </c>
      <c r="X464" s="1">
        <f t="shared" si="28"/>
        <v>1.4134820600548194E-2</v>
      </c>
      <c r="Y464" s="1">
        <v>4.7E-2</v>
      </c>
      <c r="Z464" s="1">
        <v>4</v>
      </c>
      <c r="AB464" s="1">
        <v>23.3</v>
      </c>
      <c r="AC464" s="1">
        <v>45.2</v>
      </c>
      <c r="AD464" s="1">
        <v>0.1</v>
      </c>
      <c r="AE464" s="1">
        <v>8.6</v>
      </c>
      <c r="AI464" s="1">
        <v>9.3000000000000007</v>
      </c>
      <c r="AK464" s="1">
        <v>54</v>
      </c>
      <c r="AL464" s="1">
        <v>882</v>
      </c>
      <c r="AY464" s="1">
        <v>1.37</v>
      </c>
    </row>
    <row r="465" spans="4:67" x14ac:dyDescent="0.3">
      <c r="D465" s="2">
        <f t="shared" si="29"/>
        <v>2004</v>
      </c>
      <c r="E465" s="2">
        <f t="shared" si="30"/>
        <v>8</v>
      </c>
      <c r="F465" s="3" t="s">
        <v>179</v>
      </c>
      <c r="G465" s="4">
        <v>38216</v>
      </c>
      <c r="J465" s="1" t="s">
        <v>186</v>
      </c>
      <c r="K465" s="1">
        <v>2</v>
      </c>
      <c r="L465" s="1" t="str">
        <f t="shared" si="31"/>
        <v>Norrviken 2</v>
      </c>
      <c r="M465" s="1" t="s">
        <v>177</v>
      </c>
      <c r="P465" s="1">
        <v>1</v>
      </c>
      <c r="Q465" s="1">
        <v>21.3</v>
      </c>
      <c r="R465" s="1">
        <v>11.7</v>
      </c>
      <c r="S465" s="1">
        <v>134</v>
      </c>
      <c r="W465" s="1">
        <v>3</v>
      </c>
      <c r="X465" s="1">
        <f t="shared" si="28"/>
        <v>0.4011826731414414</v>
      </c>
      <c r="Y465" s="1">
        <v>4.2000000000000003E-2</v>
      </c>
      <c r="Z465" s="1">
        <v>5</v>
      </c>
      <c r="AB465" s="1">
        <v>36.299999999999997</v>
      </c>
      <c r="AC465" s="1">
        <v>44.8</v>
      </c>
      <c r="AD465" s="1">
        <v>0.1</v>
      </c>
      <c r="AE465" s="1">
        <v>8.5500000000000007</v>
      </c>
      <c r="AI465" s="1">
        <v>9.6999999999999993</v>
      </c>
      <c r="AK465" s="1">
        <v>83</v>
      </c>
      <c r="AL465" s="1">
        <v>1016</v>
      </c>
      <c r="AY465" s="1">
        <v>1.5</v>
      </c>
    </row>
    <row r="466" spans="4:67" x14ac:dyDescent="0.3">
      <c r="D466" s="2">
        <f t="shared" si="29"/>
        <v>2004</v>
      </c>
      <c r="E466" s="2">
        <f t="shared" si="30"/>
        <v>8</v>
      </c>
      <c r="F466" s="3" t="s">
        <v>179</v>
      </c>
      <c r="G466" s="4">
        <v>38216</v>
      </c>
      <c r="J466" s="1" t="s">
        <v>186</v>
      </c>
      <c r="K466" s="1">
        <v>3</v>
      </c>
      <c r="L466" s="1" t="str">
        <f t="shared" si="31"/>
        <v>Norrviken 3</v>
      </c>
      <c r="M466" s="1" t="s">
        <v>177</v>
      </c>
      <c r="P466" s="1">
        <v>1.3</v>
      </c>
      <c r="Q466" s="1">
        <v>21.5</v>
      </c>
      <c r="R466" s="1">
        <v>11</v>
      </c>
      <c r="S466" s="1">
        <v>127</v>
      </c>
      <c r="W466" s="1">
        <v>0.1</v>
      </c>
      <c r="X466" s="1">
        <f t="shared" ref="X466:X521" si="32">W466 * (1/((10^((0.0901821 + (2729.92 /(273.15 + Q466)))-AE466)+1)))</f>
        <v>1.354151070799995E-2</v>
      </c>
      <c r="Y466" s="1">
        <v>4.2000000000000003E-2</v>
      </c>
      <c r="Z466" s="1">
        <v>5</v>
      </c>
      <c r="AB466" s="1">
        <v>23.4</v>
      </c>
      <c r="AC466" s="1">
        <v>44.8</v>
      </c>
      <c r="AD466" s="1">
        <v>0.1</v>
      </c>
      <c r="AE466" s="1">
        <v>8.5500000000000007</v>
      </c>
      <c r="AI466" s="1">
        <v>9.3000000000000007</v>
      </c>
      <c r="AK466" s="1">
        <v>59</v>
      </c>
      <c r="AL466" s="1">
        <v>899</v>
      </c>
      <c r="AY466" s="1">
        <v>1.46</v>
      </c>
    </row>
    <row r="467" spans="4:67" x14ac:dyDescent="0.3">
      <c r="D467" s="2">
        <f t="shared" si="29"/>
        <v>2004</v>
      </c>
      <c r="E467" s="2">
        <f t="shared" si="30"/>
        <v>8</v>
      </c>
      <c r="F467" s="3" t="s">
        <v>179</v>
      </c>
      <c r="G467" s="4">
        <v>38216</v>
      </c>
      <c r="J467" s="1" t="s">
        <v>186</v>
      </c>
      <c r="K467" s="1">
        <v>2</v>
      </c>
      <c r="L467" s="1" t="str">
        <f t="shared" si="31"/>
        <v>Norrviken 2</v>
      </c>
      <c r="M467" s="1" t="s">
        <v>184</v>
      </c>
      <c r="Q467" s="1">
        <v>17.399999999999999</v>
      </c>
      <c r="R467" s="1">
        <v>0.2</v>
      </c>
      <c r="S467" s="1">
        <v>2</v>
      </c>
      <c r="W467" s="1">
        <v>225</v>
      </c>
      <c r="X467" s="1">
        <f t="shared" si="32"/>
        <v>2.7602086099691285</v>
      </c>
      <c r="Y467" s="1">
        <v>3.7999999999999999E-2</v>
      </c>
      <c r="Z467" s="1">
        <v>79</v>
      </c>
      <c r="AB467" s="1">
        <v>11.9</v>
      </c>
      <c r="AC467" s="1">
        <v>47.5</v>
      </c>
      <c r="AD467" s="1">
        <v>0.1</v>
      </c>
      <c r="AE467" s="1">
        <v>7.58</v>
      </c>
      <c r="AF467" s="1">
        <v>2.5000000000000001E-2</v>
      </c>
      <c r="AI467" s="1">
        <v>9.8000000000000007</v>
      </c>
      <c r="AK467" s="1">
        <v>160</v>
      </c>
      <c r="AL467" s="1">
        <v>1061</v>
      </c>
      <c r="AY467" s="1">
        <v>1.86</v>
      </c>
    </row>
    <row r="468" spans="4:67" x14ac:dyDescent="0.3">
      <c r="D468" s="2">
        <f t="shared" si="29"/>
        <v>2004</v>
      </c>
      <c r="E468" s="2">
        <f t="shared" si="30"/>
        <v>8</v>
      </c>
      <c r="F468" s="3" t="s">
        <v>179</v>
      </c>
      <c r="G468" s="4">
        <v>38216</v>
      </c>
      <c r="J468" s="1" t="s">
        <v>186</v>
      </c>
      <c r="K468" s="1">
        <v>3</v>
      </c>
      <c r="L468" s="1" t="str">
        <f t="shared" si="31"/>
        <v>Norrviken 3</v>
      </c>
      <c r="M468" s="1" t="s">
        <v>184</v>
      </c>
      <c r="Q468" s="1">
        <v>12.2</v>
      </c>
      <c r="R468" s="1">
        <v>0.3</v>
      </c>
      <c r="S468" s="1">
        <v>3</v>
      </c>
      <c r="W468" s="1">
        <v>3080</v>
      </c>
      <c r="X468" s="1">
        <f t="shared" si="32"/>
        <v>14.107724531293783</v>
      </c>
      <c r="Y468" s="1">
        <v>5.8999999999999997E-2</v>
      </c>
      <c r="Z468" s="1">
        <v>500</v>
      </c>
      <c r="AB468" s="1">
        <v>8.64</v>
      </c>
      <c r="AC468" s="1">
        <v>51.4</v>
      </c>
      <c r="AD468" s="1">
        <v>0.1</v>
      </c>
      <c r="AE468" s="1">
        <v>7.32</v>
      </c>
      <c r="AF468" s="1">
        <v>3</v>
      </c>
      <c r="AI468" s="1">
        <v>10</v>
      </c>
      <c r="AK468" s="1">
        <v>815</v>
      </c>
      <c r="AL468" s="1">
        <v>4201</v>
      </c>
      <c r="AY468" s="1">
        <v>4.6100000000000003</v>
      </c>
    </row>
    <row r="469" spans="4:67" x14ac:dyDescent="0.3">
      <c r="D469" s="2">
        <f t="shared" si="29"/>
        <v>2004</v>
      </c>
      <c r="E469" s="2">
        <f t="shared" si="30"/>
        <v>8</v>
      </c>
      <c r="F469" s="3" t="s">
        <v>179</v>
      </c>
      <c r="G469" s="4">
        <v>38216</v>
      </c>
      <c r="J469" s="1" t="s">
        <v>187</v>
      </c>
      <c r="K469" s="1"/>
      <c r="L469" s="1" t="str">
        <f t="shared" si="31"/>
        <v xml:space="preserve">Oxundasjön </v>
      </c>
      <c r="M469" s="1" t="s">
        <v>177</v>
      </c>
      <c r="Q469" s="1">
        <v>19.399999999999999</v>
      </c>
      <c r="R469" s="1">
        <v>5.9</v>
      </c>
      <c r="S469" s="1">
        <v>66</v>
      </c>
      <c r="W469" s="1">
        <v>17</v>
      </c>
      <c r="X469" s="1">
        <f t="shared" si="32"/>
        <v>0.42444485707402085</v>
      </c>
      <c r="Y469" s="1">
        <v>4.8000000000000001E-2</v>
      </c>
      <c r="Z469" s="1">
        <v>112</v>
      </c>
      <c r="AB469" s="1">
        <v>14.2</v>
      </c>
      <c r="AC469" s="1">
        <v>50.5</v>
      </c>
      <c r="AD469" s="1">
        <v>0.1</v>
      </c>
      <c r="AE469" s="1">
        <v>7.83</v>
      </c>
      <c r="AI469" s="1">
        <v>8.8000000000000007</v>
      </c>
      <c r="AK469" s="1">
        <v>148</v>
      </c>
      <c r="AL469" s="1">
        <v>769</v>
      </c>
      <c r="AY469" s="1">
        <v>2.37</v>
      </c>
    </row>
    <row r="470" spans="4:67" x14ac:dyDescent="0.3">
      <c r="D470" s="2">
        <f t="shared" si="29"/>
        <v>2004</v>
      </c>
      <c r="E470" s="2">
        <f t="shared" si="30"/>
        <v>8</v>
      </c>
      <c r="F470" s="3" t="s">
        <v>179</v>
      </c>
      <c r="G470" s="4">
        <v>38216</v>
      </c>
      <c r="J470" s="1" t="s">
        <v>188</v>
      </c>
      <c r="K470" s="1"/>
      <c r="L470" s="1" t="str">
        <f t="shared" si="31"/>
        <v xml:space="preserve">Ravalen </v>
      </c>
      <c r="M470" s="1" t="s">
        <v>177</v>
      </c>
      <c r="P470" s="1">
        <v>1.5</v>
      </c>
      <c r="Q470" s="1">
        <v>21.9</v>
      </c>
      <c r="R470" s="1">
        <v>10.199999999999999</v>
      </c>
      <c r="S470" s="1">
        <v>117</v>
      </c>
      <c r="W470" s="1">
        <v>1</v>
      </c>
      <c r="X470" s="1">
        <f t="shared" si="32"/>
        <v>0.10244294739497702</v>
      </c>
      <c r="Y470" s="1">
        <v>5.5E-2</v>
      </c>
      <c r="Z470" s="1">
        <v>2</v>
      </c>
      <c r="AB470" s="1">
        <v>1.98</v>
      </c>
      <c r="AC470" s="1">
        <v>65.3</v>
      </c>
      <c r="AD470" s="1">
        <v>0.1</v>
      </c>
      <c r="AE470" s="1">
        <v>8.4</v>
      </c>
      <c r="AI470" s="1">
        <v>9.3000000000000007</v>
      </c>
      <c r="AK470" s="1">
        <v>12</v>
      </c>
      <c r="AL470" s="1">
        <v>708</v>
      </c>
      <c r="AY470" s="1">
        <v>0.435</v>
      </c>
    </row>
    <row r="471" spans="4:67" x14ac:dyDescent="0.3">
      <c r="D471" s="2">
        <f t="shared" si="29"/>
        <v>2004</v>
      </c>
      <c r="E471" s="2">
        <f t="shared" si="30"/>
        <v>8</v>
      </c>
      <c r="F471" s="3" t="s">
        <v>179</v>
      </c>
      <c r="G471" s="4">
        <v>38216</v>
      </c>
      <c r="J471" s="1" t="s">
        <v>189</v>
      </c>
      <c r="K471" s="1"/>
      <c r="L471" s="1" t="str">
        <f t="shared" si="31"/>
        <v xml:space="preserve">Rösjön </v>
      </c>
      <c r="M471" s="1" t="s">
        <v>177</v>
      </c>
      <c r="P471" s="1">
        <v>2.7</v>
      </c>
      <c r="Q471" s="1">
        <v>21.5</v>
      </c>
      <c r="R471" s="1">
        <v>8.6999999999999993</v>
      </c>
      <c r="S471" s="1">
        <v>100</v>
      </c>
      <c r="W471" s="1">
        <v>0.1</v>
      </c>
      <c r="X471" s="1">
        <f t="shared" si="32"/>
        <v>3.5416001540285974E-3</v>
      </c>
      <c r="Y471" s="1">
        <v>2.7E-2</v>
      </c>
      <c r="Z471" s="1">
        <v>2</v>
      </c>
      <c r="AB471" s="1">
        <v>4.1500000000000004</v>
      </c>
      <c r="AC471" s="1">
        <v>27.5</v>
      </c>
      <c r="AD471" s="1">
        <v>0.1</v>
      </c>
      <c r="AE471" s="1">
        <v>7.92</v>
      </c>
      <c r="AI471" s="1">
        <v>8.1999999999999993</v>
      </c>
      <c r="AK471" s="1">
        <v>18</v>
      </c>
      <c r="AL471" s="1">
        <v>558</v>
      </c>
      <c r="AY471" s="1">
        <v>0.23699999999999999</v>
      </c>
    </row>
    <row r="472" spans="4:67" x14ac:dyDescent="0.3">
      <c r="D472" s="2">
        <f t="shared" si="29"/>
        <v>2004</v>
      </c>
      <c r="E472" s="2">
        <f t="shared" si="30"/>
        <v>8</v>
      </c>
      <c r="F472" s="3" t="s">
        <v>179</v>
      </c>
      <c r="G472" s="4">
        <v>38216</v>
      </c>
      <c r="J472" s="1" t="s">
        <v>189</v>
      </c>
      <c r="K472" s="1"/>
      <c r="L472" s="1" t="str">
        <f t="shared" si="31"/>
        <v xml:space="preserve">Rösjön </v>
      </c>
      <c r="M472" s="1" t="s">
        <v>184</v>
      </c>
      <c r="Q472" s="1">
        <v>18.399999999999999</v>
      </c>
      <c r="R472" s="1">
        <v>0.1</v>
      </c>
      <c r="S472" s="1">
        <v>1</v>
      </c>
      <c r="W472" s="1">
        <v>70</v>
      </c>
      <c r="X472" s="1">
        <f t="shared" si="32"/>
        <v>0.61323010580249304</v>
      </c>
      <c r="Y472" s="1">
        <v>3.5999999999999997E-2</v>
      </c>
      <c r="Z472" s="1">
        <v>34</v>
      </c>
      <c r="AB472" s="1">
        <v>8.81</v>
      </c>
      <c r="AC472" s="1">
        <v>28.6</v>
      </c>
      <c r="AD472" s="1">
        <v>0.1</v>
      </c>
      <c r="AE472" s="1">
        <v>7.4</v>
      </c>
      <c r="AF472" s="1">
        <v>2.5000000000000001E-2</v>
      </c>
      <c r="AI472" s="1">
        <v>8.8000000000000007</v>
      </c>
      <c r="AK472" s="1">
        <v>130</v>
      </c>
      <c r="AL472" s="1">
        <v>758</v>
      </c>
      <c r="AY472" s="1">
        <v>1.98</v>
      </c>
    </row>
    <row r="473" spans="4:67" x14ac:dyDescent="0.3">
      <c r="D473" s="2">
        <f t="shared" si="29"/>
        <v>2004</v>
      </c>
      <c r="E473" s="2">
        <f t="shared" si="30"/>
        <v>8</v>
      </c>
      <c r="F473" s="3" t="s">
        <v>179</v>
      </c>
      <c r="G473" s="4">
        <v>38216</v>
      </c>
      <c r="J473" s="1" t="s">
        <v>190</v>
      </c>
      <c r="K473" s="1"/>
      <c r="L473" s="1" t="str">
        <f t="shared" si="31"/>
        <v xml:space="preserve">Snuggan </v>
      </c>
      <c r="M473" s="1" t="s">
        <v>177</v>
      </c>
      <c r="P473" s="1">
        <v>0.8</v>
      </c>
      <c r="Q473" s="1">
        <v>21.2</v>
      </c>
      <c r="R473" s="1">
        <v>9</v>
      </c>
      <c r="S473" s="1">
        <v>103</v>
      </c>
      <c r="V473" s="1">
        <v>7.4074074074074001E-2</v>
      </c>
      <c r="W473" s="1">
        <v>0.1</v>
      </c>
      <c r="X473" s="1">
        <f t="shared" si="32"/>
        <v>9.0162289339597524E-5</v>
      </c>
      <c r="Y473" s="1">
        <v>0.376</v>
      </c>
      <c r="Z473" s="1">
        <v>2</v>
      </c>
      <c r="AB473" s="1">
        <v>39.200000000000003</v>
      </c>
      <c r="AC473" s="1">
        <v>5.4</v>
      </c>
      <c r="AD473" s="1">
        <v>0.1</v>
      </c>
      <c r="AE473" s="1">
        <v>6.32</v>
      </c>
      <c r="AI473" s="1">
        <v>22</v>
      </c>
      <c r="AK473" s="1">
        <v>13</v>
      </c>
      <c r="AL473" s="1">
        <v>802</v>
      </c>
      <c r="AY473" s="1">
        <v>5.32</v>
      </c>
    </row>
    <row r="474" spans="4:67" x14ac:dyDescent="0.3">
      <c r="D474" s="2">
        <f t="shared" si="29"/>
        <v>2004</v>
      </c>
      <c r="E474" s="2">
        <f t="shared" si="30"/>
        <v>8</v>
      </c>
      <c r="F474" s="3" t="s">
        <v>179</v>
      </c>
      <c r="G474" s="4">
        <v>38216</v>
      </c>
      <c r="J474" s="1" t="s">
        <v>191</v>
      </c>
      <c r="K474" s="1">
        <v>2</v>
      </c>
      <c r="L474" s="1" t="str">
        <f t="shared" si="31"/>
        <v>Vallentunasjön 2</v>
      </c>
      <c r="M474" s="1" t="s">
        <v>177</v>
      </c>
      <c r="Q474" s="1">
        <v>19.3</v>
      </c>
      <c r="R474" s="1">
        <v>4.7</v>
      </c>
      <c r="S474" s="1">
        <v>52</v>
      </c>
      <c r="W474" s="1">
        <v>0.1</v>
      </c>
      <c r="X474" s="1">
        <f t="shared" si="32"/>
        <v>1.7677326030732616E-3</v>
      </c>
      <c r="Y474" s="1">
        <v>9.4E-2</v>
      </c>
      <c r="Z474" s="1">
        <v>1</v>
      </c>
      <c r="AB474" s="1">
        <v>40.200000000000003</v>
      </c>
      <c r="AC474" s="1">
        <v>41.1</v>
      </c>
      <c r="AD474" s="1">
        <v>0.1</v>
      </c>
      <c r="AE474" s="1">
        <v>7.68</v>
      </c>
      <c r="AI474" s="1">
        <v>11</v>
      </c>
      <c r="AK474" s="1">
        <v>84</v>
      </c>
      <c r="AL474" s="1">
        <v>1653</v>
      </c>
      <c r="AY474" s="1">
        <v>6.34</v>
      </c>
    </row>
    <row r="475" spans="4:67" x14ac:dyDescent="0.3">
      <c r="D475" s="2">
        <f t="shared" si="29"/>
        <v>2004</v>
      </c>
      <c r="E475" s="2">
        <f t="shared" si="30"/>
        <v>8</v>
      </c>
      <c r="F475" s="3" t="s">
        <v>179</v>
      </c>
      <c r="G475" s="4">
        <v>38216</v>
      </c>
      <c r="J475" s="1" t="s">
        <v>192</v>
      </c>
      <c r="K475" s="1"/>
      <c r="L475" s="1" t="str">
        <f t="shared" si="31"/>
        <v xml:space="preserve">Väsjön </v>
      </c>
      <c r="M475" s="1" t="s">
        <v>177</v>
      </c>
      <c r="P475" s="1">
        <v>1.4</v>
      </c>
      <c r="Q475" s="1">
        <v>20.7</v>
      </c>
      <c r="R475" s="1">
        <v>9</v>
      </c>
      <c r="S475" s="1">
        <v>102</v>
      </c>
      <c r="W475" s="1">
        <v>0.1</v>
      </c>
      <c r="X475" s="1">
        <f t="shared" si="32"/>
        <v>2.6782177731054552E-3</v>
      </c>
      <c r="Y475" s="1">
        <v>4.8000000000000001E-2</v>
      </c>
      <c r="Z475" s="1">
        <v>2</v>
      </c>
      <c r="AB475" s="1">
        <v>3.54</v>
      </c>
      <c r="AC475" s="1">
        <v>43.4</v>
      </c>
      <c r="AD475" s="1">
        <v>0.1</v>
      </c>
      <c r="AE475" s="1">
        <v>7.82</v>
      </c>
      <c r="AI475" s="1">
        <v>11</v>
      </c>
      <c r="AK475" s="1">
        <v>13</v>
      </c>
      <c r="AL475" s="1">
        <v>656</v>
      </c>
      <c r="AY475" s="1">
        <v>0.14099999999999999</v>
      </c>
    </row>
    <row r="476" spans="4:67" x14ac:dyDescent="0.3">
      <c r="D476" s="2">
        <f t="shared" si="29"/>
        <v>2004</v>
      </c>
      <c r="E476" s="2">
        <f t="shared" si="30"/>
        <v>8</v>
      </c>
      <c r="F476" s="3" t="s">
        <v>179</v>
      </c>
      <c r="G476" s="4">
        <v>38216</v>
      </c>
      <c r="J476" s="1" t="s">
        <v>193</v>
      </c>
      <c r="K476" s="1"/>
      <c r="L476" s="1" t="str">
        <f t="shared" si="31"/>
        <v xml:space="preserve">Översjön </v>
      </c>
      <c r="M476" s="1" t="s">
        <v>177</v>
      </c>
      <c r="P476" s="1">
        <v>1.9</v>
      </c>
      <c r="Q476" s="1">
        <v>21.6</v>
      </c>
      <c r="R476" s="1">
        <v>9</v>
      </c>
      <c r="S476" s="1">
        <v>104</v>
      </c>
      <c r="W476" s="1">
        <v>1</v>
      </c>
      <c r="X476" s="1">
        <f t="shared" si="32"/>
        <v>3.3363083289369669E-2</v>
      </c>
      <c r="Y476" s="1">
        <v>4.1000000000000002E-2</v>
      </c>
      <c r="Z476" s="1">
        <v>3</v>
      </c>
      <c r="AB476" s="1">
        <v>8.1199999999999992</v>
      </c>
      <c r="AC476" s="1">
        <v>42.5</v>
      </c>
      <c r="AD476" s="1">
        <v>0.1</v>
      </c>
      <c r="AE476" s="1">
        <v>7.89</v>
      </c>
      <c r="AI476" s="1">
        <v>10</v>
      </c>
      <c r="AK476" s="1">
        <v>18</v>
      </c>
      <c r="AL476" s="1">
        <v>710</v>
      </c>
      <c r="AY476" s="1">
        <v>0.92900000000000005</v>
      </c>
    </row>
    <row r="477" spans="4:67" x14ac:dyDescent="0.3">
      <c r="D477" s="2">
        <f t="shared" si="29"/>
        <v>2004</v>
      </c>
      <c r="E477" s="2">
        <f t="shared" si="30"/>
        <v>8</v>
      </c>
      <c r="F477" s="3" t="s">
        <v>179</v>
      </c>
      <c r="G477" s="4">
        <v>38223</v>
      </c>
      <c r="J477" s="1" t="s">
        <v>181</v>
      </c>
      <c r="K477" s="1"/>
      <c r="L477" s="1" t="str">
        <f t="shared" si="31"/>
        <v xml:space="preserve">Fysingen </v>
      </c>
      <c r="M477" s="1" t="s">
        <v>177</v>
      </c>
      <c r="P477" s="1">
        <v>1.8</v>
      </c>
      <c r="Q477" s="1">
        <v>17.3</v>
      </c>
      <c r="R477" s="1">
        <v>9.5</v>
      </c>
      <c r="V477" s="1">
        <v>2.101</v>
      </c>
      <c r="W477" s="1">
        <v>6</v>
      </c>
      <c r="X477" s="1">
        <f t="shared" si="32"/>
        <v>0.29976306273264008</v>
      </c>
      <c r="Y477" s="1">
        <v>2.5000000000000001E-2</v>
      </c>
      <c r="Z477" s="1">
        <v>6</v>
      </c>
      <c r="AB477" s="1">
        <v>5.8</v>
      </c>
      <c r="AC477" s="1">
        <v>55.9</v>
      </c>
      <c r="AD477" s="1">
        <v>1</v>
      </c>
      <c r="AE477" s="1">
        <v>8.2100000000000009</v>
      </c>
      <c r="AI477" s="1">
        <v>7.1</v>
      </c>
      <c r="AK477" s="1">
        <v>22</v>
      </c>
      <c r="AL477" s="1">
        <v>715</v>
      </c>
      <c r="AV477" s="1">
        <v>43.284450000000007</v>
      </c>
      <c r="AX477" s="1">
        <v>111.28379999999999</v>
      </c>
      <c r="AY477" s="1">
        <v>1.1000000000000001</v>
      </c>
    </row>
    <row r="478" spans="4:67" x14ac:dyDescent="0.3">
      <c r="D478" s="2">
        <f t="shared" si="29"/>
        <v>2004</v>
      </c>
      <c r="E478" s="2">
        <f t="shared" si="30"/>
        <v>8</v>
      </c>
      <c r="F478" s="3" t="s">
        <v>179</v>
      </c>
      <c r="G478" s="4">
        <v>38230</v>
      </c>
      <c r="H478" s="1">
        <v>6606238</v>
      </c>
      <c r="I478" s="1">
        <v>661152</v>
      </c>
      <c r="J478" s="5" t="s">
        <v>176</v>
      </c>
      <c r="K478" s="1"/>
      <c r="L478" s="1" t="str">
        <f t="shared" si="31"/>
        <v xml:space="preserve">Oxundaån </v>
      </c>
      <c r="M478" s="1" t="s">
        <v>177</v>
      </c>
      <c r="N478" s="1">
        <v>0.5</v>
      </c>
      <c r="O478" s="1">
        <v>0.5</v>
      </c>
      <c r="Q478" s="1">
        <v>17.2</v>
      </c>
      <c r="T478" s="1">
        <v>48.8</v>
      </c>
      <c r="V478" s="1">
        <v>2.4060000000000001</v>
      </c>
      <c r="W478" s="1">
        <v>66</v>
      </c>
      <c r="X478" s="1">
        <f t="shared" si="32"/>
        <v>1.0242347537762728</v>
      </c>
      <c r="Y478" s="1">
        <v>0.05</v>
      </c>
      <c r="Z478" s="1">
        <v>79</v>
      </c>
      <c r="AD478" s="1">
        <v>305</v>
      </c>
      <c r="AE478" s="1">
        <v>7.69</v>
      </c>
      <c r="AG478" s="1">
        <v>6.1</v>
      </c>
      <c r="AI478" s="1">
        <v>9.1</v>
      </c>
      <c r="AK478" s="1">
        <v>143</v>
      </c>
      <c r="AL478" s="1">
        <v>793</v>
      </c>
      <c r="AR478" s="1">
        <v>52.980000000000004</v>
      </c>
      <c r="AS478" s="1">
        <v>0.115</v>
      </c>
      <c r="AT478" s="1">
        <v>5.7867999999999995</v>
      </c>
      <c r="AU478" s="1">
        <v>9.8735999999999997</v>
      </c>
      <c r="AV478" s="1">
        <v>37.683350000000004</v>
      </c>
      <c r="AW478" s="1">
        <v>28.858520000000002</v>
      </c>
      <c r="AX478" s="1">
        <v>61.311799999999998</v>
      </c>
      <c r="AY478" s="1">
        <v>2.09</v>
      </c>
      <c r="BC478" s="1">
        <v>2.3E-2</v>
      </c>
      <c r="BE478" s="1">
        <v>1.62</v>
      </c>
      <c r="BF478" s="1">
        <v>3.5</v>
      </c>
      <c r="BJ478" s="1">
        <v>5.0999999999999996</v>
      </c>
      <c r="BL478" s="1">
        <v>0.24</v>
      </c>
      <c r="BO478" s="1">
        <v>4.9000000000000004</v>
      </c>
    </row>
    <row r="479" spans="4:67" x14ac:dyDescent="0.3">
      <c r="D479" s="2">
        <f t="shared" si="29"/>
        <v>2004</v>
      </c>
      <c r="E479" s="2">
        <f t="shared" si="30"/>
        <v>9</v>
      </c>
      <c r="F479" s="3"/>
      <c r="G479" s="4">
        <v>38258</v>
      </c>
      <c r="H479" s="1">
        <v>6606238</v>
      </c>
      <c r="I479" s="1">
        <v>661152</v>
      </c>
      <c r="J479" s="5" t="s">
        <v>176</v>
      </c>
      <c r="K479" s="1"/>
      <c r="L479" s="1" t="str">
        <f t="shared" si="31"/>
        <v xml:space="preserve">Oxundaån </v>
      </c>
      <c r="M479" s="1" t="s">
        <v>177</v>
      </c>
      <c r="N479" s="1">
        <v>0.5</v>
      </c>
      <c r="O479" s="1">
        <v>0.5</v>
      </c>
      <c r="Q479" s="1">
        <v>13.5</v>
      </c>
      <c r="T479" s="1">
        <v>38</v>
      </c>
      <c r="V479" s="1">
        <v>2.0720000000000001</v>
      </c>
      <c r="W479" s="1">
        <v>32</v>
      </c>
      <c r="X479" s="1">
        <f t="shared" si="32"/>
        <v>0.43204983585962897</v>
      </c>
      <c r="Y479" s="1">
        <v>7.4999999999999997E-2</v>
      </c>
      <c r="Z479" s="1">
        <v>16</v>
      </c>
      <c r="AD479" s="1">
        <v>274</v>
      </c>
      <c r="AE479" s="1">
        <v>7.75</v>
      </c>
      <c r="AG479" s="1">
        <v>0.9</v>
      </c>
      <c r="AI479" s="1">
        <v>10.1</v>
      </c>
      <c r="AK479" s="1">
        <v>27</v>
      </c>
      <c r="AL479" s="1">
        <v>725</v>
      </c>
      <c r="AR479" s="1">
        <v>46.1</v>
      </c>
      <c r="AS479" s="1">
        <v>6.7000000000000004E-2</v>
      </c>
      <c r="AT479" s="1">
        <v>4.3010000000000002</v>
      </c>
      <c r="AU479" s="1">
        <v>7.1994999999999996</v>
      </c>
      <c r="AV479" s="1">
        <v>28.360000000000003</v>
      </c>
      <c r="AW479" s="1">
        <v>19.567820000000001</v>
      </c>
      <c r="AX479" s="1">
        <v>45.599449999999997</v>
      </c>
      <c r="AY479" s="1">
        <v>0.26</v>
      </c>
      <c r="BC479" s="1">
        <v>2.3E-2</v>
      </c>
      <c r="BE479" s="1">
        <v>0.6</v>
      </c>
      <c r="BF479" s="1">
        <v>2.9</v>
      </c>
      <c r="BJ479" s="1">
        <v>3.4</v>
      </c>
      <c r="BL479" s="1">
        <v>0.91</v>
      </c>
      <c r="BO479" s="1">
        <v>4.5</v>
      </c>
    </row>
    <row r="480" spans="4:67" x14ac:dyDescent="0.3">
      <c r="D480" s="2">
        <f t="shared" si="29"/>
        <v>2004</v>
      </c>
      <c r="E480" s="2">
        <f t="shared" si="30"/>
        <v>10</v>
      </c>
      <c r="F480" s="3" t="s">
        <v>180</v>
      </c>
      <c r="G480" s="4">
        <v>38272</v>
      </c>
      <c r="J480" s="1" t="s">
        <v>181</v>
      </c>
      <c r="K480" s="1"/>
      <c r="L480" s="1" t="str">
        <f t="shared" si="31"/>
        <v xml:space="preserve">Fysingen </v>
      </c>
      <c r="M480" s="1" t="s">
        <v>177</v>
      </c>
      <c r="P480" s="1">
        <v>3</v>
      </c>
      <c r="Q480" s="1">
        <v>8.4</v>
      </c>
      <c r="V480" s="1">
        <v>2.2450000000000001</v>
      </c>
      <c r="W480" s="1">
        <v>27</v>
      </c>
      <c r="X480" s="1">
        <f t="shared" si="32"/>
        <v>0.53270608825443133</v>
      </c>
      <c r="Y480" s="1">
        <v>2.1000000000000001E-2</v>
      </c>
      <c r="Z480" s="1">
        <v>1</v>
      </c>
      <c r="AB480" s="1">
        <v>2.9</v>
      </c>
      <c r="AC480" s="1">
        <v>57.3</v>
      </c>
      <c r="AD480" s="1">
        <v>14</v>
      </c>
      <c r="AE480" s="1">
        <v>8.09</v>
      </c>
      <c r="AI480" s="1">
        <v>7.8</v>
      </c>
      <c r="AK480" s="1">
        <v>9</v>
      </c>
      <c r="AL480" s="1">
        <v>657</v>
      </c>
      <c r="AV480" s="1">
        <v>42.894500000000001</v>
      </c>
      <c r="AX480" s="1">
        <v>109.65009999999999</v>
      </c>
      <c r="AY480" s="1">
        <v>0.21</v>
      </c>
    </row>
    <row r="481" spans="4:67" x14ac:dyDescent="0.3">
      <c r="D481" s="2">
        <f t="shared" si="29"/>
        <v>2004</v>
      </c>
      <c r="E481" s="2">
        <f t="shared" si="30"/>
        <v>10</v>
      </c>
      <c r="F481" s="3" t="s">
        <v>180</v>
      </c>
      <c r="G481" s="4">
        <v>38286</v>
      </c>
      <c r="H481" s="1">
        <v>6606238</v>
      </c>
      <c r="I481" s="1">
        <v>661152</v>
      </c>
      <c r="J481" s="5" t="s">
        <v>176</v>
      </c>
      <c r="K481" s="1"/>
      <c r="L481" s="1" t="str">
        <f t="shared" si="31"/>
        <v xml:space="preserve">Oxundaån </v>
      </c>
      <c r="M481" s="1" t="s">
        <v>177</v>
      </c>
      <c r="N481" s="1">
        <v>0.5</v>
      </c>
      <c r="O481" s="1">
        <v>0.5</v>
      </c>
      <c r="Q481" s="1">
        <v>8.3000000000000007</v>
      </c>
      <c r="T481" s="1">
        <v>46.1</v>
      </c>
      <c r="V481" s="1">
        <v>2.3679999999999999</v>
      </c>
      <c r="W481" s="1">
        <v>56</v>
      </c>
      <c r="X481" s="1">
        <f t="shared" si="32"/>
        <v>0.3356681152018548</v>
      </c>
      <c r="Y481" s="1">
        <v>5.8000000000000003E-2</v>
      </c>
      <c r="Z481" s="1">
        <v>60</v>
      </c>
      <c r="AD481" s="1">
        <v>176</v>
      </c>
      <c r="AE481" s="1">
        <v>7.57</v>
      </c>
      <c r="AG481" s="1">
        <v>2.2000000000000002</v>
      </c>
      <c r="AI481" s="1">
        <v>9.6999999999999993</v>
      </c>
      <c r="AK481" s="1">
        <v>76</v>
      </c>
      <c r="AL481" s="1">
        <v>799</v>
      </c>
      <c r="AR481" s="1">
        <v>52.400000000000006</v>
      </c>
      <c r="AS481" s="1">
        <v>0.05</v>
      </c>
      <c r="AT481" s="1">
        <v>5.5130999999999997</v>
      </c>
      <c r="AU481" s="1">
        <v>9.2081</v>
      </c>
      <c r="AV481" s="1">
        <v>35.910849999999996</v>
      </c>
      <c r="AW481" s="1">
        <v>26.770980000000002</v>
      </c>
      <c r="AX481" s="1">
        <v>55.930199999999992</v>
      </c>
      <c r="AY481" s="1">
        <v>0.69</v>
      </c>
      <c r="BC481" s="1">
        <v>0.01</v>
      </c>
      <c r="BE481" s="1">
        <v>1.1499999999999999</v>
      </c>
      <c r="BF481" s="1">
        <v>2.9</v>
      </c>
      <c r="BJ481" s="1">
        <v>4.5999999999999996</v>
      </c>
      <c r="BL481" s="1">
        <v>0.37</v>
      </c>
      <c r="BO481" s="1">
        <v>4.0999999999999996</v>
      </c>
    </row>
    <row r="482" spans="4:67" x14ac:dyDescent="0.3">
      <c r="D482" s="2">
        <f t="shared" si="29"/>
        <v>2004</v>
      </c>
      <c r="E482" s="2">
        <f t="shared" si="30"/>
        <v>11</v>
      </c>
      <c r="F482" s="3" t="s">
        <v>180</v>
      </c>
      <c r="G482" s="4">
        <v>38321</v>
      </c>
      <c r="H482" s="1">
        <v>6606238</v>
      </c>
      <c r="I482" s="1">
        <v>661152</v>
      </c>
      <c r="J482" s="5" t="s">
        <v>176</v>
      </c>
      <c r="K482" s="1"/>
      <c r="L482" s="1" t="str">
        <f t="shared" si="31"/>
        <v xml:space="preserve">Oxundaån </v>
      </c>
      <c r="M482" s="1" t="s">
        <v>177</v>
      </c>
      <c r="N482" s="1">
        <v>0.5</v>
      </c>
      <c r="O482" s="1">
        <v>0.5</v>
      </c>
      <c r="Q482" s="1">
        <v>0.8</v>
      </c>
      <c r="T482" s="1">
        <v>50.1</v>
      </c>
      <c r="V482" s="1">
        <v>2.444</v>
      </c>
      <c r="W482" s="1">
        <v>58</v>
      </c>
      <c r="X482" s="1">
        <f t="shared" si="32"/>
        <v>0.34327152647655801</v>
      </c>
      <c r="Y482" s="1">
        <v>3.5000000000000003E-2</v>
      </c>
      <c r="Z482" s="1">
        <v>32</v>
      </c>
      <c r="AD482" s="1">
        <v>95</v>
      </c>
      <c r="AE482" s="1">
        <v>7.83</v>
      </c>
      <c r="AG482" s="1">
        <v>1.8</v>
      </c>
      <c r="AI482" s="1">
        <v>9.1</v>
      </c>
      <c r="AK482" s="1">
        <v>70</v>
      </c>
      <c r="AL482" s="1">
        <v>623</v>
      </c>
      <c r="AR482" s="1">
        <v>54.720000000000006</v>
      </c>
      <c r="AS482" s="1">
        <v>3.3000000000000002E-2</v>
      </c>
      <c r="AT482" s="1">
        <v>5.9823000000000004</v>
      </c>
      <c r="AU482" s="1">
        <v>10.164</v>
      </c>
      <c r="AV482" s="1">
        <v>39.24315</v>
      </c>
      <c r="AW482" s="1">
        <v>29.776120000000002</v>
      </c>
      <c r="AX482" s="1">
        <v>66.068749999999994</v>
      </c>
      <c r="AY482" s="1">
        <v>1.78</v>
      </c>
      <c r="BC482" s="1">
        <v>1.9E-2</v>
      </c>
      <c r="BE482" s="1">
        <v>1.53</v>
      </c>
      <c r="BF482" s="1">
        <v>3.7</v>
      </c>
      <c r="BJ482" s="1">
        <v>4.95</v>
      </c>
      <c r="BL482" s="1">
        <v>0.39</v>
      </c>
      <c r="BO482" s="1">
        <v>8.6999999999999993</v>
      </c>
    </row>
    <row r="483" spans="4:67" x14ac:dyDescent="0.3">
      <c r="D483" s="2">
        <f t="shared" si="29"/>
        <v>2004</v>
      </c>
      <c r="E483" s="2">
        <f t="shared" si="30"/>
        <v>12</v>
      </c>
      <c r="F483" s="3" t="s">
        <v>175</v>
      </c>
      <c r="G483" s="4">
        <v>38348</v>
      </c>
      <c r="H483" s="1">
        <v>6606238</v>
      </c>
      <c r="I483" s="1">
        <v>661152</v>
      </c>
      <c r="J483" s="5" t="s">
        <v>176</v>
      </c>
      <c r="K483" s="1"/>
      <c r="L483" s="1" t="str">
        <f t="shared" si="31"/>
        <v xml:space="preserve">Oxundaån </v>
      </c>
      <c r="M483" s="1" t="s">
        <v>177</v>
      </c>
      <c r="N483" s="1">
        <v>0.5</v>
      </c>
      <c r="O483" s="1">
        <v>0.5</v>
      </c>
      <c r="Q483" s="1">
        <v>1</v>
      </c>
      <c r="T483" s="1">
        <v>51.1</v>
      </c>
      <c r="V483" s="1">
        <v>2.4489999999999998</v>
      </c>
      <c r="W483" s="1">
        <v>107</v>
      </c>
      <c r="X483" s="1">
        <f t="shared" si="32"/>
        <v>0.33120352085139543</v>
      </c>
      <c r="Y483" s="1">
        <v>5.3999999999999999E-2</v>
      </c>
      <c r="Z483" s="1">
        <v>40</v>
      </c>
      <c r="AD483" s="1">
        <v>311</v>
      </c>
      <c r="AE483" s="1">
        <v>7.54</v>
      </c>
      <c r="AG483" s="1">
        <v>2.5</v>
      </c>
      <c r="AI483" s="1">
        <v>8.8000000000000007</v>
      </c>
      <c r="AK483" s="1">
        <v>55</v>
      </c>
      <c r="AL483" s="1">
        <v>766</v>
      </c>
      <c r="AR483" s="1">
        <v>56.78</v>
      </c>
      <c r="AS483" s="1">
        <v>8.1000000000000003E-2</v>
      </c>
      <c r="AT483" s="1">
        <v>6.2169000000000008</v>
      </c>
      <c r="AU483" s="1">
        <v>10.4544</v>
      </c>
      <c r="AV483" s="1">
        <v>41.6892</v>
      </c>
      <c r="AW483" s="1">
        <v>30.831360000000004</v>
      </c>
      <c r="AX483" s="1">
        <v>66.837549999999993</v>
      </c>
      <c r="AY483" s="1">
        <v>1.87</v>
      </c>
      <c r="BC483" s="1">
        <v>2.8000000000000001E-2</v>
      </c>
      <c r="BE483" s="1">
        <v>1.93</v>
      </c>
      <c r="BF483" s="1">
        <v>3.6</v>
      </c>
      <c r="BJ483" s="1">
        <v>4.4000000000000004</v>
      </c>
      <c r="BL483" s="1">
        <v>0.34</v>
      </c>
      <c r="BO483" s="1">
        <v>11</v>
      </c>
    </row>
    <row r="484" spans="4:67" x14ac:dyDescent="0.3">
      <c r="D484" s="2">
        <f t="shared" si="29"/>
        <v>2005</v>
      </c>
      <c r="E484" s="2">
        <f t="shared" si="30"/>
        <v>2</v>
      </c>
      <c r="F484" s="3" t="s">
        <v>175</v>
      </c>
      <c r="G484" s="4">
        <v>38384</v>
      </c>
      <c r="H484" s="1">
        <v>6606238</v>
      </c>
      <c r="I484" s="1">
        <v>661152</v>
      </c>
      <c r="J484" s="5" t="s">
        <v>176</v>
      </c>
      <c r="K484" s="1"/>
      <c r="L484" s="1" t="str">
        <f t="shared" si="31"/>
        <v xml:space="preserve">Oxundaån </v>
      </c>
      <c r="M484" s="1" t="s">
        <v>177</v>
      </c>
      <c r="N484" s="1">
        <v>0.5</v>
      </c>
      <c r="O484" s="1">
        <v>0.5</v>
      </c>
      <c r="Q484" s="1">
        <v>0.8</v>
      </c>
      <c r="T484" s="1">
        <v>52.7</v>
      </c>
      <c r="V484" s="1">
        <v>2.2429999999999999</v>
      </c>
      <c r="W484" s="1">
        <v>50</v>
      </c>
      <c r="X484" s="1">
        <f t="shared" si="32"/>
        <v>0.12378876797355383</v>
      </c>
      <c r="Y484" s="1">
        <v>4.9000000000000002E-2</v>
      </c>
      <c r="Z484" s="1">
        <v>27</v>
      </c>
      <c r="AD484" s="1">
        <v>1025</v>
      </c>
      <c r="AE484" s="1">
        <v>7.45</v>
      </c>
      <c r="AG484" s="1">
        <v>4.2</v>
      </c>
      <c r="AI484" s="1">
        <v>8</v>
      </c>
      <c r="AK484" s="1">
        <v>44</v>
      </c>
      <c r="AL484" s="1">
        <v>1193</v>
      </c>
      <c r="AR484" s="1">
        <v>56.980000000000004</v>
      </c>
      <c r="AS484" s="1">
        <v>0.26</v>
      </c>
      <c r="AT484" s="1">
        <v>6.4906000000000006</v>
      </c>
      <c r="AU484" s="1">
        <v>11.3377</v>
      </c>
      <c r="AV484" s="1">
        <v>47.148500000000006</v>
      </c>
      <c r="AW484" s="1">
        <v>30.464320000000004</v>
      </c>
      <c r="AX484" s="1">
        <v>81.252549999999999</v>
      </c>
      <c r="AY484" s="1">
        <v>2.58</v>
      </c>
      <c r="BC484" s="1">
        <v>2.5000000000000001E-2</v>
      </c>
      <c r="BE484" s="1">
        <v>1.8</v>
      </c>
      <c r="BF484" s="1">
        <v>3.1</v>
      </c>
      <c r="BJ484" s="1">
        <v>7</v>
      </c>
      <c r="BL484" s="1">
        <v>0.56999999999999995</v>
      </c>
      <c r="BO484" s="1">
        <v>12</v>
      </c>
    </row>
    <row r="485" spans="4:67" x14ac:dyDescent="0.3">
      <c r="D485" s="2">
        <f t="shared" si="29"/>
        <v>2005</v>
      </c>
      <c r="E485" s="2">
        <f t="shared" si="30"/>
        <v>2</v>
      </c>
      <c r="F485" s="3" t="s">
        <v>175</v>
      </c>
      <c r="G485" s="4">
        <v>38390</v>
      </c>
      <c r="J485" s="1" t="s">
        <v>181</v>
      </c>
      <c r="K485" s="1"/>
      <c r="L485" s="1" t="str">
        <f t="shared" si="31"/>
        <v xml:space="preserve">Fysingen </v>
      </c>
      <c r="M485" s="1" t="s">
        <v>177</v>
      </c>
      <c r="P485" s="1">
        <v>2</v>
      </c>
      <c r="Q485" s="1">
        <v>2</v>
      </c>
      <c r="V485" s="1">
        <v>1.93</v>
      </c>
      <c r="W485" s="1">
        <v>125</v>
      </c>
      <c r="X485" s="1">
        <f t="shared" si="32"/>
        <v>0.68043606665206258</v>
      </c>
      <c r="Y485" s="1">
        <v>2.1000000000000001E-2</v>
      </c>
      <c r="Z485" s="1">
        <v>14</v>
      </c>
      <c r="AB485" s="1">
        <v>3.6</v>
      </c>
      <c r="AC485" s="1">
        <v>56.9</v>
      </c>
      <c r="AD485" s="1">
        <v>1292</v>
      </c>
      <c r="AE485" s="1">
        <v>7.75</v>
      </c>
      <c r="AI485" s="1">
        <v>8</v>
      </c>
      <c r="AK485" s="1">
        <v>19</v>
      </c>
      <c r="AL485" s="1">
        <v>1791</v>
      </c>
      <c r="AV485" s="1">
        <v>39.101350000000004</v>
      </c>
      <c r="AX485" s="1">
        <v>122.4314</v>
      </c>
      <c r="AY485" s="1">
        <v>2.85</v>
      </c>
    </row>
    <row r="486" spans="4:67" x14ac:dyDescent="0.3">
      <c r="D486" s="2">
        <f t="shared" si="29"/>
        <v>2005</v>
      </c>
      <c r="E486" s="2">
        <f t="shared" si="30"/>
        <v>3</v>
      </c>
      <c r="F486" s="3" t="s">
        <v>175</v>
      </c>
      <c r="G486" s="4">
        <v>38412</v>
      </c>
      <c r="H486" s="1">
        <v>6606238</v>
      </c>
      <c r="I486" s="1">
        <v>661152</v>
      </c>
      <c r="J486" s="5" t="s">
        <v>176</v>
      </c>
      <c r="K486" s="1"/>
      <c r="L486" s="1" t="str">
        <f t="shared" si="31"/>
        <v xml:space="preserve">Oxundaån </v>
      </c>
      <c r="M486" s="1" t="s">
        <v>177</v>
      </c>
      <c r="N486" s="1">
        <v>0.5</v>
      </c>
      <c r="O486" s="1">
        <v>0.5</v>
      </c>
      <c r="Q486" s="1">
        <v>0</v>
      </c>
      <c r="T486" s="1">
        <v>53.5</v>
      </c>
      <c r="V486" s="1">
        <v>2.4359999999999999</v>
      </c>
      <c r="W486" s="1">
        <v>38</v>
      </c>
      <c r="X486" s="1">
        <f t="shared" si="32"/>
        <v>8.7979036883180109E-2</v>
      </c>
      <c r="Y486" s="1">
        <v>5.1999999999999998E-2</v>
      </c>
      <c r="Z486" s="1">
        <v>29</v>
      </c>
      <c r="AD486" s="1">
        <v>781</v>
      </c>
      <c r="AE486" s="1">
        <v>7.45</v>
      </c>
      <c r="AG486" s="1">
        <v>2.4</v>
      </c>
      <c r="AI486" s="1">
        <v>8.4</v>
      </c>
      <c r="AK486" s="1">
        <v>47</v>
      </c>
      <c r="AL486" s="1">
        <v>1243</v>
      </c>
      <c r="AR486" s="1">
        <v>60.06</v>
      </c>
      <c r="AS486" s="1">
        <v>0.125</v>
      </c>
      <c r="AT486" s="1">
        <v>6.4124000000000008</v>
      </c>
      <c r="AU486" s="1">
        <v>11.0473</v>
      </c>
      <c r="AV486" s="1">
        <v>42.788150000000009</v>
      </c>
      <c r="AW486" s="1">
        <v>32.024239999999999</v>
      </c>
      <c r="AX486" s="1">
        <v>75.438500000000005</v>
      </c>
      <c r="AY486" s="1">
        <v>3.71</v>
      </c>
      <c r="BC486" s="1">
        <v>2.1999999999999999E-2</v>
      </c>
      <c r="BE486" s="1">
        <v>2.31</v>
      </c>
      <c r="BF486" s="1">
        <v>3.9</v>
      </c>
      <c r="BJ486" s="1">
        <v>6.37</v>
      </c>
      <c r="BL486" s="1">
        <v>0.4</v>
      </c>
      <c r="BO486" s="1">
        <v>10</v>
      </c>
    </row>
    <row r="487" spans="4:67" x14ac:dyDescent="0.3">
      <c r="D487" s="2">
        <f t="shared" si="29"/>
        <v>2005</v>
      </c>
      <c r="E487" s="2">
        <f t="shared" si="30"/>
        <v>3</v>
      </c>
      <c r="F487" s="3" t="s">
        <v>175</v>
      </c>
      <c r="G487" s="4">
        <v>38441</v>
      </c>
      <c r="H487" s="1">
        <v>6606238</v>
      </c>
      <c r="I487" s="1">
        <v>661152</v>
      </c>
      <c r="J487" s="5" t="s">
        <v>176</v>
      </c>
      <c r="K487" s="1"/>
      <c r="L487" s="1" t="str">
        <f t="shared" si="31"/>
        <v xml:space="preserve">Oxundaån </v>
      </c>
      <c r="M487" s="1" t="s">
        <v>177</v>
      </c>
      <c r="N487" s="1">
        <v>0.5</v>
      </c>
      <c r="O487" s="1">
        <v>0.5</v>
      </c>
      <c r="Q487" s="1">
        <v>2</v>
      </c>
      <c r="T487" s="1">
        <v>54.9</v>
      </c>
      <c r="V487" s="1">
        <v>2.6030000000000002</v>
      </c>
      <c r="W487" s="1">
        <v>15</v>
      </c>
      <c r="X487" s="1">
        <f t="shared" si="32"/>
        <v>5.0451713122331217E-2</v>
      </c>
      <c r="Y487" s="1">
        <v>4.2999999999999997E-2</v>
      </c>
      <c r="Z487" s="1">
        <v>14</v>
      </c>
      <c r="AD487" s="1">
        <v>716</v>
      </c>
      <c r="AE487" s="1">
        <v>7.54</v>
      </c>
      <c r="AG487" s="1">
        <v>3.4</v>
      </c>
      <c r="AI487" s="1">
        <v>9.6</v>
      </c>
      <c r="AK487" s="1">
        <v>20</v>
      </c>
      <c r="AL487" s="1">
        <v>943</v>
      </c>
      <c r="AR487" s="1">
        <v>63.3</v>
      </c>
      <c r="AS487" s="1">
        <v>7.1999999999999995E-2</v>
      </c>
      <c r="AT487" s="1">
        <v>6.4124000000000008</v>
      </c>
      <c r="AU487" s="1">
        <v>11.204600000000001</v>
      </c>
      <c r="AV487" s="1">
        <v>45.62415</v>
      </c>
      <c r="AW487" s="1">
        <v>33.53828</v>
      </c>
      <c r="AX487" s="1">
        <v>72.459400000000002</v>
      </c>
      <c r="AY487" s="1">
        <v>1.9</v>
      </c>
      <c r="BC487" s="1">
        <v>1.6E-2</v>
      </c>
      <c r="BE487" s="1">
        <v>2.0499999999999998</v>
      </c>
      <c r="BF487" s="1">
        <v>4</v>
      </c>
      <c r="BJ487" s="1">
        <v>6.05</v>
      </c>
      <c r="BL487" s="1">
        <v>0.52</v>
      </c>
      <c r="BO487" s="1">
        <v>8.8000000000000007</v>
      </c>
    </row>
    <row r="488" spans="4:67" x14ac:dyDescent="0.3">
      <c r="D488" s="2">
        <f t="shared" si="29"/>
        <v>2005</v>
      </c>
      <c r="E488" s="2">
        <f t="shared" si="30"/>
        <v>4</v>
      </c>
      <c r="F488" s="3" t="s">
        <v>178</v>
      </c>
      <c r="G488" s="4">
        <v>38461</v>
      </c>
      <c r="J488" s="1" t="s">
        <v>181</v>
      </c>
      <c r="K488" s="1"/>
      <c r="L488" s="1" t="str">
        <f t="shared" si="31"/>
        <v xml:space="preserve">Fysingen </v>
      </c>
      <c r="M488" s="1" t="s">
        <v>177</v>
      </c>
      <c r="P488" s="1">
        <v>1.7</v>
      </c>
      <c r="Q488" s="1">
        <v>7</v>
      </c>
      <c r="V488" s="1">
        <v>1.7450000000000001</v>
      </c>
      <c r="W488" s="1">
        <v>35</v>
      </c>
      <c r="X488" s="1">
        <f t="shared" si="32"/>
        <v>0.37558336096146894</v>
      </c>
      <c r="Y488" s="1">
        <v>3.7999999999999999E-2</v>
      </c>
      <c r="Z488" s="1">
        <v>9</v>
      </c>
      <c r="AB488" s="1">
        <v>7.3</v>
      </c>
      <c r="AC488" s="1">
        <v>51.8</v>
      </c>
      <c r="AD488" s="1">
        <v>1494</v>
      </c>
      <c r="AE488" s="1">
        <v>7.87</v>
      </c>
      <c r="AI488" s="1">
        <v>7.7</v>
      </c>
      <c r="AK488" s="1">
        <v>25</v>
      </c>
      <c r="AL488" s="1">
        <v>1616</v>
      </c>
      <c r="AV488" s="1">
        <v>35.698149999999998</v>
      </c>
      <c r="AX488" s="1">
        <v>111.23575</v>
      </c>
      <c r="AY488" s="1">
        <v>3.38</v>
      </c>
    </row>
    <row r="489" spans="4:67" x14ac:dyDescent="0.3">
      <c r="D489" s="2">
        <f t="shared" si="29"/>
        <v>2005</v>
      </c>
      <c r="E489" s="2">
        <f t="shared" si="30"/>
        <v>4</v>
      </c>
      <c r="F489" s="3" t="s">
        <v>178</v>
      </c>
      <c r="G489" s="4">
        <v>38468</v>
      </c>
      <c r="H489" s="1">
        <v>6606238</v>
      </c>
      <c r="I489" s="1">
        <v>661152</v>
      </c>
      <c r="J489" s="5" t="s">
        <v>176</v>
      </c>
      <c r="K489" s="1"/>
      <c r="L489" s="1" t="str">
        <f t="shared" si="31"/>
        <v xml:space="preserve">Oxundaån </v>
      </c>
      <c r="M489" s="1" t="s">
        <v>177</v>
      </c>
      <c r="N489" s="1">
        <v>0.5</v>
      </c>
      <c r="O489" s="1">
        <v>0.5</v>
      </c>
      <c r="Q489" s="1">
        <v>9</v>
      </c>
      <c r="T489" s="1">
        <v>48.6</v>
      </c>
      <c r="V489" s="1">
        <v>2.2400000000000002</v>
      </c>
      <c r="W489" s="1">
        <v>35</v>
      </c>
      <c r="X489" s="1">
        <f t="shared" si="32"/>
        <v>1.1583725687417981</v>
      </c>
      <c r="Y489" s="1">
        <v>4.2000000000000003E-2</v>
      </c>
      <c r="Z489" s="1">
        <v>6</v>
      </c>
      <c r="AD489" s="1">
        <v>510</v>
      </c>
      <c r="AE489" s="1">
        <v>8.3000000000000007</v>
      </c>
      <c r="AG489" s="1">
        <v>3.6</v>
      </c>
      <c r="AI489" s="1">
        <v>8</v>
      </c>
      <c r="AK489" s="1">
        <v>26</v>
      </c>
      <c r="AL489" s="1">
        <v>884</v>
      </c>
      <c r="AR489" s="1">
        <v>56.42</v>
      </c>
      <c r="AS489" s="1">
        <v>8.5000000000000006E-2</v>
      </c>
      <c r="AT489" s="1">
        <v>5.5130999999999997</v>
      </c>
      <c r="AU489" s="1">
        <v>10.6843</v>
      </c>
      <c r="AV489" s="1">
        <v>44.241600000000005</v>
      </c>
      <c r="AW489" s="1">
        <v>28.652060000000006</v>
      </c>
      <c r="AX489" s="1">
        <v>75.486549999999994</v>
      </c>
      <c r="AY489" s="1">
        <v>2.2999999999999998</v>
      </c>
      <c r="BC489" s="1">
        <v>1.4999999999999999E-2</v>
      </c>
      <c r="BE489" s="1">
        <v>1.47</v>
      </c>
      <c r="BF489" s="1">
        <v>2</v>
      </c>
      <c r="BJ489" s="1">
        <v>5.19</v>
      </c>
      <c r="BL489" s="1">
        <v>0.14000000000000001</v>
      </c>
      <c r="BO489" s="1">
        <v>2.1</v>
      </c>
    </row>
    <row r="490" spans="4:67" x14ac:dyDescent="0.3">
      <c r="D490" s="2">
        <f t="shared" si="29"/>
        <v>2005</v>
      </c>
      <c r="E490" s="2">
        <f t="shared" si="30"/>
        <v>5</v>
      </c>
      <c r="F490" s="3" t="s">
        <v>178</v>
      </c>
      <c r="G490" s="4">
        <v>38496</v>
      </c>
      <c r="H490" s="1">
        <v>6606238</v>
      </c>
      <c r="I490" s="1">
        <v>661152</v>
      </c>
      <c r="J490" s="5" t="s">
        <v>176</v>
      </c>
      <c r="K490" s="1"/>
      <c r="L490" s="1" t="str">
        <f t="shared" si="31"/>
        <v xml:space="preserve">Oxundaån </v>
      </c>
      <c r="M490" s="1" t="s">
        <v>177</v>
      </c>
      <c r="N490" s="1">
        <v>0.5</v>
      </c>
      <c r="O490" s="1">
        <v>0.5</v>
      </c>
      <c r="Q490" s="1">
        <v>15.1</v>
      </c>
      <c r="T490" s="1">
        <v>50.1</v>
      </c>
      <c r="V490" s="1">
        <v>2.302</v>
      </c>
      <c r="W490" s="1">
        <v>94</v>
      </c>
      <c r="X490" s="1">
        <f t="shared" si="32"/>
        <v>3.3609751497106135</v>
      </c>
      <c r="Y490" s="1">
        <v>3.7999999999999999E-2</v>
      </c>
      <c r="Z490" s="1">
        <v>4</v>
      </c>
      <c r="AD490" s="1">
        <v>74</v>
      </c>
      <c r="AE490" s="1">
        <v>8.1300000000000008</v>
      </c>
      <c r="AG490" s="1">
        <v>6.9</v>
      </c>
      <c r="AI490" s="1">
        <v>11.1</v>
      </c>
      <c r="AK490" s="1">
        <v>29</v>
      </c>
      <c r="AL490" s="1">
        <v>704</v>
      </c>
      <c r="AR490" s="1">
        <v>55.540000000000006</v>
      </c>
      <c r="AS490" s="1">
        <v>0.13500000000000001</v>
      </c>
      <c r="AT490" s="1">
        <v>5.6303999999999998</v>
      </c>
      <c r="AU490" s="1">
        <v>10.405999999999999</v>
      </c>
      <c r="AV490" s="1">
        <v>42.717250000000007</v>
      </c>
      <c r="AW490" s="1">
        <v>29.156739999999999</v>
      </c>
      <c r="AX490" s="1">
        <v>73.372349999999997</v>
      </c>
      <c r="AY490" s="1">
        <v>0.78</v>
      </c>
      <c r="BC490" s="1">
        <v>1.7000000000000001E-2</v>
      </c>
      <c r="BE490" s="1">
        <v>1.38</v>
      </c>
      <c r="BF490" s="1">
        <v>2.6</v>
      </c>
      <c r="BJ490" s="1">
        <v>4.8499999999999996</v>
      </c>
      <c r="BL490" s="1">
        <v>0.26</v>
      </c>
      <c r="BO490" s="1">
        <v>4</v>
      </c>
    </row>
    <row r="491" spans="4:67" x14ac:dyDescent="0.3">
      <c r="D491" s="2">
        <f t="shared" si="29"/>
        <v>2005</v>
      </c>
      <c r="E491" s="2">
        <f t="shared" si="30"/>
        <v>6</v>
      </c>
      <c r="F491" s="3"/>
      <c r="G491" s="4">
        <v>38524</v>
      </c>
      <c r="H491" s="1">
        <v>6606238</v>
      </c>
      <c r="I491" s="1">
        <v>661152</v>
      </c>
      <c r="J491" s="5" t="s">
        <v>176</v>
      </c>
      <c r="K491" s="1"/>
      <c r="L491" s="1" t="str">
        <f t="shared" si="31"/>
        <v xml:space="preserve">Oxundaån </v>
      </c>
      <c r="M491" s="1" t="s">
        <v>177</v>
      </c>
      <c r="N491" s="1">
        <v>0.5</v>
      </c>
      <c r="O491" s="1">
        <v>0.5</v>
      </c>
      <c r="Q491" s="1">
        <v>22.5</v>
      </c>
      <c r="T491" s="1">
        <v>49.6</v>
      </c>
      <c r="V491" s="1">
        <v>2.3610000000000002</v>
      </c>
      <c r="W491" s="1">
        <v>49</v>
      </c>
      <c r="X491" s="1">
        <f t="shared" si="32"/>
        <v>3.5010509413605528</v>
      </c>
      <c r="Y491" s="1">
        <v>5.0999999999999997E-2</v>
      </c>
      <c r="Z491" s="1">
        <v>8</v>
      </c>
      <c r="AD491" s="1">
        <v>15</v>
      </c>
      <c r="AE491" s="1">
        <v>8.2100000000000009</v>
      </c>
      <c r="AG491" s="1">
        <v>8.3000000000000007</v>
      </c>
      <c r="AI491" s="1">
        <v>10.5</v>
      </c>
      <c r="AK491" s="1">
        <v>54</v>
      </c>
      <c r="AL491" s="1">
        <v>786</v>
      </c>
      <c r="AR491" s="1">
        <v>56.379999999999995</v>
      </c>
      <c r="AS491" s="1">
        <v>0.17499999999999999</v>
      </c>
      <c r="AT491" s="1">
        <v>5.6303999999999998</v>
      </c>
      <c r="AU491" s="1">
        <v>10.442299999999999</v>
      </c>
      <c r="AV491" s="1">
        <v>42.043700000000001</v>
      </c>
      <c r="AW491" s="1">
        <v>29.179680000000001</v>
      </c>
      <c r="AX491" s="1">
        <v>71.690599999999989</v>
      </c>
      <c r="AY491" s="1">
        <v>0.18</v>
      </c>
      <c r="BC491" s="1">
        <v>1.7000000000000001E-2</v>
      </c>
      <c r="BE491" s="1">
        <v>1.72</v>
      </c>
      <c r="BF491" s="1">
        <v>3.3</v>
      </c>
      <c r="BJ491" s="1">
        <v>4.7</v>
      </c>
      <c r="BL491" s="1">
        <v>0.3</v>
      </c>
      <c r="BO491" s="1">
        <v>3.4</v>
      </c>
    </row>
    <row r="492" spans="4:67" x14ac:dyDescent="0.3">
      <c r="D492" s="2">
        <f t="shared" si="29"/>
        <v>2005</v>
      </c>
      <c r="E492" s="2">
        <f t="shared" si="30"/>
        <v>7</v>
      </c>
      <c r="F492" s="3" t="s">
        <v>179</v>
      </c>
      <c r="G492" s="4">
        <v>38559</v>
      </c>
      <c r="H492" s="1">
        <v>6606238</v>
      </c>
      <c r="I492" s="1">
        <v>661152</v>
      </c>
      <c r="J492" s="5" t="s">
        <v>176</v>
      </c>
      <c r="K492" s="1"/>
      <c r="L492" s="1" t="str">
        <f t="shared" si="31"/>
        <v xml:space="preserve">Oxundaån </v>
      </c>
      <c r="M492" s="1" t="s">
        <v>177</v>
      </c>
      <c r="N492" s="1">
        <v>0.5</v>
      </c>
      <c r="O492" s="1">
        <v>0.5</v>
      </c>
      <c r="Q492" s="1">
        <v>20.3</v>
      </c>
      <c r="T492" s="1">
        <v>49.7</v>
      </c>
      <c r="V492" s="1">
        <v>2.399</v>
      </c>
      <c r="W492" s="1">
        <v>35</v>
      </c>
      <c r="X492" s="1">
        <f t="shared" si="32"/>
        <v>1.3019006596273566</v>
      </c>
      <c r="Y492" s="1">
        <v>4.4999999999999998E-2</v>
      </c>
      <c r="Z492" s="1">
        <v>62</v>
      </c>
      <c r="AD492" s="1">
        <v>13</v>
      </c>
      <c r="AE492" s="1">
        <v>7.98</v>
      </c>
      <c r="AG492" s="1">
        <v>3.7</v>
      </c>
      <c r="AI492" s="1">
        <v>9.1</v>
      </c>
      <c r="AK492" s="1">
        <v>103</v>
      </c>
      <c r="AL492" s="1">
        <v>548</v>
      </c>
      <c r="AR492" s="1">
        <v>57.42</v>
      </c>
      <c r="AS492" s="1">
        <v>9.5000000000000001E-2</v>
      </c>
      <c r="AT492" s="1">
        <v>5.9040999999999997</v>
      </c>
      <c r="AU492" s="1">
        <v>11.0352</v>
      </c>
      <c r="AV492" s="1">
        <v>43.178100000000001</v>
      </c>
      <c r="AW492" s="1">
        <v>29.684360000000002</v>
      </c>
      <c r="AX492" s="1">
        <v>70.056899999999999</v>
      </c>
      <c r="AY492" s="1">
        <v>0.2</v>
      </c>
      <c r="BC492" s="1">
        <v>0.01</v>
      </c>
      <c r="BE492" s="1">
        <v>1.57</v>
      </c>
      <c r="BF492" s="1">
        <v>4</v>
      </c>
      <c r="BJ492" s="1">
        <v>4.09</v>
      </c>
      <c r="BL492" s="1">
        <v>0.79</v>
      </c>
      <c r="BO492" s="1">
        <v>17</v>
      </c>
    </row>
    <row r="493" spans="4:67" x14ac:dyDescent="0.3">
      <c r="D493" s="2">
        <f t="shared" si="29"/>
        <v>2005</v>
      </c>
      <c r="E493" s="2">
        <f t="shared" si="30"/>
        <v>8</v>
      </c>
      <c r="F493" s="3" t="s">
        <v>179</v>
      </c>
      <c r="G493" s="4">
        <v>38572</v>
      </c>
      <c r="J493" s="1" t="s">
        <v>182</v>
      </c>
      <c r="K493" s="1"/>
      <c r="L493" s="1" t="str">
        <f t="shared" si="31"/>
        <v xml:space="preserve">Edssjön </v>
      </c>
      <c r="M493" s="1" t="s">
        <v>177</v>
      </c>
      <c r="P493" s="1">
        <v>1.1000000000000001</v>
      </c>
      <c r="Q493" s="1">
        <v>19.100000000000001</v>
      </c>
      <c r="R493" s="1">
        <v>10.6</v>
      </c>
      <c r="S493" s="1">
        <v>115</v>
      </c>
      <c r="V493" s="1">
        <v>2.6181818181818199</v>
      </c>
      <c r="W493" s="1">
        <v>2</v>
      </c>
      <c r="X493" s="1">
        <f t="shared" si="32"/>
        <v>0.20125383047674131</v>
      </c>
      <c r="Y493" s="1">
        <v>0.06</v>
      </c>
      <c r="Z493" s="1">
        <v>46</v>
      </c>
      <c r="AB493" s="1">
        <v>55.7</v>
      </c>
      <c r="AC493" s="1">
        <v>48.5</v>
      </c>
      <c r="AD493" s="1">
        <v>0.1</v>
      </c>
      <c r="AE493" s="1">
        <v>8.48</v>
      </c>
      <c r="AI493" s="1">
        <v>15</v>
      </c>
      <c r="AK493" s="1">
        <v>179</v>
      </c>
      <c r="AL493" s="1">
        <v>1161</v>
      </c>
      <c r="AY493" s="1">
        <v>0.54700000000000004</v>
      </c>
    </row>
    <row r="494" spans="4:67" x14ac:dyDescent="0.3">
      <c r="D494" s="2">
        <f t="shared" si="29"/>
        <v>2005</v>
      </c>
      <c r="E494" s="2">
        <f t="shared" si="30"/>
        <v>8</v>
      </c>
      <c r="F494" s="3" t="s">
        <v>179</v>
      </c>
      <c r="G494" s="4">
        <v>38572</v>
      </c>
      <c r="J494" s="1" t="s">
        <v>188</v>
      </c>
      <c r="K494" s="1"/>
      <c r="L494" s="1" t="str">
        <f t="shared" si="31"/>
        <v xml:space="preserve">Ravalen </v>
      </c>
      <c r="M494" s="1" t="s">
        <v>177</v>
      </c>
      <c r="P494" s="1">
        <v>1.7</v>
      </c>
      <c r="Q494" s="1">
        <v>18.7</v>
      </c>
      <c r="R494" s="1">
        <v>9.1</v>
      </c>
      <c r="S494" s="1">
        <v>98</v>
      </c>
      <c r="V494" s="1">
        <v>2.4363636363636401</v>
      </c>
      <c r="W494" s="1">
        <v>10</v>
      </c>
      <c r="X494" s="1">
        <f t="shared" si="32"/>
        <v>0.33212589115998281</v>
      </c>
      <c r="Y494" s="1">
        <v>8.5000000000000006E-2</v>
      </c>
      <c r="Z494" s="1">
        <v>0.1</v>
      </c>
      <c r="AB494" s="1">
        <v>6.5</v>
      </c>
      <c r="AC494" s="1">
        <v>61.9</v>
      </c>
      <c r="AD494" s="1">
        <v>0.1</v>
      </c>
      <c r="AE494" s="1">
        <v>7.98</v>
      </c>
      <c r="AI494" s="1">
        <v>16</v>
      </c>
      <c r="AK494" s="1">
        <v>12</v>
      </c>
      <c r="AL494" s="1">
        <v>810</v>
      </c>
      <c r="AY494" s="1">
        <v>1.65</v>
      </c>
    </row>
    <row r="495" spans="4:67" x14ac:dyDescent="0.3">
      <c r="D495" s="2">
        <f t="shared" si="29"/>
        <v>2005</v>
      </c>
      <c r="E495" s="2">
        <f t="shared" si="30"/>
        <v>8</v>
      </c>
      <c r="F495" s="3" t="s">
        <v>179</v>
      </c>
      <c r="G495" s="4">
        <v>38572</v>
      </c>
      <c r="J495" s="1" t="s">
        <v>190</v>
      </c>
      <c r="K495" s="1"/>
      <c r="L495" s="1" t="str">
        <f t="shared" si="31"/>
        <v xml:space="preserve">Snuggan </v>
      </c>
      <c r="M495" s="1" t="s">
        <v>177</v>
      </c>
      <c r="P495" s="1">
        <v>0.7</v>
      </c>
      <c r="Q495" s="1">
        <v>18.7</v>
      </c>
      <c r="R495" s="1">
        <v>10.199999999999999</v>
      </c>
      <c r="S495" s="1">
        <v>110</v>
      </c>
      <c r="V495" s="1">
        <v>6.9090909090909106E-2</v>
      </c>
      <c r="W495" s="1">
        <v>0.1</v>
      </c>
      <c r="X495" s="1">
        <f t="shared" si="32"/>
        <v>1.6797383268606157E-4</v>
      </c>
      <c r="Y495" s="1">
        <v>0.42899999999999999</v>
      </c>
      <c r="Z495" s="1">
        <v>0.1</v>
      </c>
      <c r="AB495" s="1">
        <v>219</v>
      </c>
      <c r="AC495" s="1">
        <v>5.5</v>
      </c>
      <c r="AD495" s="1">
        <v>0.1</v>
      </c>
      <c r="AE495" s="1">
        <v>6.67</v>
      </c>
      <c r="AI495" s="1">
        <v>33</v>
      </c>
      <c r="AK495" s="1">
        <v>86</v>
      </c>
      <c r="AL495" s="1">
        <v>1661</v>
      </c>
      <c r="AY495" s="1">
        <v>6.12</v>
      </c>
    </row>
    <row r="496" spans="4:67" x14ac:dyDescent="0.3">
      <c r="D496" s="2">
        <f t="shared" si="29"/>
        <v>2005</v>
      </c>
      <c r="E496" s="2">
        <f t="shared" si="30"/>
        <v>8</v>
      </c>
      <c r="F496" s="3" t="s">
        <v>179</v>
      </c>
      <c r="G496" s="4">
        <v>38572</v>
      </c>
      <c r="J496" s="1" t="s">
        <v>192</v>
      </c>
      <c r="K496" s="1"/>
      <c r="L496" s="1" t="str">
        <f t="shared" si="31"/>
        <v xml:space="preserve">Väsjön </v>
      </c>
      <c r="M496" s="1" t="s">
        <v>177</v>
      </c>
      <c r="P496" s="1">
        <v>2.2000000000000002</v>
      </c>
      <c r="Q496" s="1">
        <v>19.100000000000001</v>
      </c>
      <c r="R496" s="1">
        <v>7.8</v>
      </c>
      <c r="S496" s="1">
        <v>85</v>
      </c>
      <c r="V496" s="1">
        <v>2.8727272727272801</v>
      </c>
      <c r="W496" s="1">
        <v>4</v>
      </c>
      <c r="X496" s="1">
        <f t="shared" si="32"/>
        <v>7.9814336745728381E-2</v>
      </c>
      <c r="Y496" s="1">
        <v>0.06</v>
      </c>
      <c r="Z496" s="1">
        <v>1</v>
      </c>
      <c r="AB496" s="1">
        <v>2.42</v>
      </c>
      <c r="AC496" s="1">
        <v>49.7</v>
      </c>
      <c r="AD496" s="1">
        <v>0.1</v>
      </c>
      <c r="AE496" s="1">
        <v>7.74</v>
      </c>
      <c r="AI496" s="1">
        <v>13</v>
      </c>
      <c r="AK496" s="1">
        <v>8</v>
      </c>
      <c r="AL496" s="1">
        <v>713</v>
      </c>
      <c r="AY496" s="1">
        <v>0.44800000000000001</v>
      </c>
    </row>
    <row r="497" spans="4:67" x14ac:dyDescent="0.3">
      <c r="D497" s="2">
        <f t="shared" si="29"/>
        <v>2005</v>
      </c>
      <c r="E497" s="2">
        <f t="shared" si="30"/>
        <v>8</v>
      </c>
      <c r="F497" s="3" t="s">
        <v>179</v>
      </c>
      <c r="G497" s="4">
        <v>38574</v>
      </c>
      <c r="J497" s="1" t="s">
        <v>183</v>
      </c>
      <c r="K497" s="1"/>
      <c r="L497" s="1" t="str">
        <f t="shared" si="31"/>
        <v xml:space="preserve">Fjäturen </v>
      </c>
      <c r="M497" s="1" t="s">
        <v>177</v>
      </c>
      <c r="P497" s="1">
        <v>2.1</v>
      </c>
      <c r="Q497" s="1">
        <v>19.2</v>
      </c>
      <c r="R497" s="1">
        <v>8.3000000000000007</v>
      </c>
      <c r="S497" s="1">
        <v>92</v>
      </c>
      <c r="V497" s="1">
        <v>1.6785714285714299</v>
      </c>
      <c r="W497" s="1">
        <v>47</v>
      </c>
      <c r="X497" s="1">
        <f t="shared" si="32"/>
        <v>1.1830300997442287</v>
      </c>
      <c r="Y497" s="1">
        <v>4.9000000000000002E-2</v>
      </c>
      <c r="Z497" s="1">
        <v>3</v>
      </c>
      <c r="AB497" s="1">
        <v>7.97</v>
      </c>
      <c r="AC497" s="1">
        <v>32.9</v>
      </c>
      <c r="AD497" s="1">
        <v>52</v>
      </c>
      <c r="AE497" s="1">
        <v>7.84</v>
      </c>
      <c r="AI497" s="1">
        <v>12</v>
      </c>
      <c r="AK497" s="1">
        <v>43</v>
      </c>
      <c r="AL497" s="1">
        <v>732</v>
      </c>
      <c r="AY497" s="1">
        <v>0.76200000000000001</v>
      </c>
    </row>
    <row r="498" spans="4:67" x14ac:dyDescent="0.3">
      <c r="D498" s="2">
        <f t="shared" si="29"/>
        <v>2005</v>
      </c>
      <c r="E498" s="2">
        <f t="shared" si="30"/>
        <v>8</v>
      </c>
      <c r="F498" s="3" t="s">
        <v>179</v>
      </c>
      <c r="G498" s="4">
        <v>38574</v>
      </c>
      <c r="J498" s="1" t="s">
        <v>183</v>
      </c>
      <c r="K498" s="1"/>
      <c r="L498" s="1" t="str">
        <f t="shared" si="31"/>
        <v xml:space="preserve">Fjäturen </v>
      </c>
      <c r="M498" s="1" t="s">
        <v>184</v>
      </c>
      <c r="Q498" s="1">
        <v>12.4</v>
      </c>
      <c r="R498" s="1">
        <v>0.1</v>
      </c>
      <c r="S498" s="1">
        <v>1</v>
      </c>
      <c r="V498" s="1">
        <v>2.4642857142857202</v>
      </c>
      <c r="W498" s="1">
        <v>911</v>
      </c>
      <c r="X498" s="1">
        <f t="shared" si="32"/>
        <v>8.6098408884625037</v>
      </c>
      <c r="Y498" s="1">
        <v>6.7000000000000004E-2</v>
      </c>
      <c r="Z498" s="1">
        <v>244</v>
      </c>
      <c r="AC498" s="1">
        <v>37.1</v>
      </c>
      <c r="AD498" s="1">
        <v>2</v>
      </c>
      <c r="AE498" s="1">
        <v>7.63</v>
      </c>
      <c r="AF498" s="1">
        <v>2.5000000000000001E-2</v>
      </c>
      <c r="AI498" s="1">
        <v>15</v>
      </c>
      <c r="AK498" s="1">
        <v>301</v>
      </c>
      <c r="AL498" s="1">
        <v>1624</v>
      </c>
      <c r="AY498" s="1">
        <v>5.98</v>
      </c>
    </row>
    <row r="499" spans="4:67" x14ac:dyDescent="0.3">
      <c r="D499" s="2">
        <f t="shared" si="29"/>
        <v>2005</v>
      </c>
      <c r="E499" s="2">
        <f t="shared" si="30"/>
        <v>8</v>
      </c>
      <c r="F499" s="3" t="s">
        <v>179</v>
      </c>
      <c r="G499" s="4">
        <v>38574</v>
      </c>
      <c r="J499" s="1" t="s">
        <v>185</v>
      </c>
      <c r="K499" s="1"/>
      <c r="L499" s="1" t="str">
        <f t="shared" si="31"/>
        <v xml:space="preserve">Gullsjön </v>
      </c>
      <c r="M499" s="1" t="s">
        <v>177</v>
      </c>
      <c r="P499" s="1">
        <v>1.8</v>
      </c>
      <c r="Q499" s="1">
        <v>19.3</v>
      </c>
      <c r="R499" s="1">
        <v>5.8</v>
      </c>
      <c r="S499" s="1">
        <v>64</v>
      </c>
      <c r="V499" s="1">
        <v>1.6428571428571499</v>
      </c>
      <c r="W499" s="1">
        <v>7</v>
      </c>
      <c r="X499" s="1">
        <f t="shared" si="32"/>
        <v>5.8427895323011306E-2</v>
      </c>
      <c r="Y499" s="1">
        <v>0.121</v>
      </c>
      <c r="Z499" s="1">
        <v>2</v>
      </c>
      <c r="AB499" s="1">
        <v>11.8</v>
      </c>
      <c r="AC499" s="1">
        <v>44.5</v>
      </c>
      <c r="AD499" s="1">
        <v>0.1</v>
      </c>
      <c r="AE499" s="1">
        <v>7.35</v>
      </c>
      <c r="AI499" s="1">
        <v>15</v>
      </c>
      <c r="AK499" s="1">
        <v>27</v>
      </c>
      <c r="AL499" s="1">
        <v>781</v>
      </c>
      <c r="AY499" s="1">
        <v>6.07</v>
      </c>
    </row>
    <row r="500" spans="4:67" x14ac:dyDescent="0.3">
      <c r="D500" s="2">
        <f t="shared" si="29"/>
        <v>2005</v>
      </c>
      <c r="E500" s="2">
        <f t="shared" si="30"/>
        <v>8</v>
      </c>
      <c r="F500" s="3" t="s">
        <v>179</v>
      </c>
      <c r="G500" s="4">
        <v>38574</v>
      </c>
      <c r="J500" s="1" t="s">
        <v>186</v>
      </c>
      <c r="K500" s="1">
        <v>1</v>
      </c>
      <c r="L500" s="1" t="str">
        <f t="shared" si="31"/>
        <v>Norrviken 1</v>
      </c>
      <c r="M500" s="1" t="s">
        <v>177</v>
      </c>
      <c r="P500" s="1">
        <v>1</v>
      </c>
      <c r="Q500" s="1">
        <v>18.600000000000001</v>
      </c>
      <c r="R500" s="1">
        <v>7.6</v>
      </c>
      <c r="S500" s="1">
        <v>83</v>
      </c>
      <c r="V500" s="1">
        <v>2.28571428571429</v>
      </c>
      <c r="W500" s="1">
        <v>43</v>
      </c>
      <c r="X500" s="1">
        <f t="shared" si="32"/>
        <v>0.86576640180389552</v>
      </c>
      <c r="Y500" s="1">
        <v>5.8000000000000003E-2</v>
      </c>
      <c r="Z500" s="1">
        <v>15</v>
      </c>
      <c r="AB500" s="1">
        <v>25.4</v>
      </c>
      <c r="AC500" s="1">
        <v>46.1</v>
      </c>
      <c r="AD500" s="1">
        <v>1</v>
      </c>
      <c r="AE500" s="1">
        <v>7.76</v>
      </c>
      <c r="AI500" s="1">
        <v>11</v>
      </c>
      <c r="AK500" s="1">
        <v>82</v>
      </c>
      <c r="AL500" s="1">
        <v>1137</v>
      </c>
      <c r="AY500" s="1">
        <v>3.05</v>
      </c>
    </row>
    <row r="501" spans="4:67" x14ac:dyDescent="0.3">
      <c r="D501" s="2">
        <f t="shared" si="29"/>
        <v>2005</v>
      </c>
      <c r="E501" s="2">
        <f t="shared" si="30"/>
        <v>8</v>
      </c>
      <c r="F501" s="3" t="s">
        <v>179</v>
      </c>
      <c r="G501" s="4">
        <v>38574</v>
      </c>
      <c r="J501" s="1" t="s">
        <v>186</v>
      </c>
      <c r="K501" s="1">
        <v>2</v>
      </c>
      <c r="L501" s="1" t="str">
        <f t="shared" si="31"/>
        <v>Norrviken 2</v>
      </c>
      <c r="M501" s="1" t="s">
        <v>177</v>
      </c>
      <c r="P501" s="1">
        <v>1.7</v>
      </c>
      <c r="Q501" s="1">
        <v>18.899999999999999</v>
      </c>
      <c r="R501" s="1">
        <v>7.5</v>
      </c>
      <c r="S501" s="1">
        <v>83</v>
      </c>
      <c r="V501" s="1">
        <v>2.3928571428571499</v>
      </c>
      <c r="W501" s="1">
        <v>35</v>
      </c>
      <c r="X501" s="1">
        <f t="shared" si="32"/>
        <v>1.0547661837916644</v>
      </c>
      <c r="Y501" s="1">
        <v>3.7999999999999999E-2</v>
      </c>
      <c r="Z501" s="1">
        <v>33</v>
      </c>
      <c r="AB501" s="1">
        <v>22.2</v>
      </c>
      <c r="AC501" s="1">
        <v>47.5</v>
      </c>
      <c r="AD501" s="1">
        <v>3</v>
      </c>
      <c r="AE501" s="1">
        <v>7.93</v>
      </c>
      <c r="AI501" s="1">
        <v>9.9</v>
      </c>
      <c r="AK501" s="1">
        <v>71</v>
      </c>
      <c r="AL501" s="1">
        <v>859</v>
      </c>
      <c r="AY501" s="1">
        <v>1.48</v>
      </c>
    </row>
    <row r="502" spans="4:67" x14ac:dyDescent="0.3">
      <c r="D502" s="2">
        <f t="shared" si="29"/>
        <v>2005</v>
      </c>
      <c r="E502" s="2">
        <f t="shared" si="30"/>
        <v>8</v>
      </c>
      <c r="F502" s="3" t="s">
        <v>179</v>
      </c>
      <c r="G502" s="4">
        <v>38574</v>
      </c>
      <c r="J502" s="1" t="s">
        <v>186</v>
      </c>
      <c r="K502" s="1">
        <v>3</v>
      </c>
      <c r="L502" s="1" t="str">
        <f t="shared" si="31"/>
        <v>Norrviken 3</v>
      </c>
      <c r="M502" s="1" t="s">
        <v>177</v>
      </c>
      <c r="P502" s="1">
        <v>1.8</v>
      </c>
      <c r="Q502" s="1">
        <v>18.899999999999999</v>
      </c>
      <c r="R502" s="1">
        <v>6.6</v>
      </c>
      <c r="S502" s="1">
        <v>73</v>
      </c>
      <c r="V502" s="1">
        <v>2.5714285714285801</v>
      </c>
      <c r="W502" s="1">
        <v>12</v>
      </c>
      <c r="X502" s="1">
        <f t="shared" si="32"/>
        <v>0.40427357398599423</v>
      </c>
      <c r="Y502" s="1">
        <v>4.2000000000000003E-2</v>
      </c>
      <c r="Z502" s="1">
        <v>27</v>
      </c>
      <c r="AB502" s="1">
        <v>29.5</v>
      </c>
      <c r="AC502" s="1">
        <v>47.3</v>
      </c>
      <c r="AD502" s="1">
        <v>1</v>
      </c>
      <c r="AE502" s="1">
        <v>7.98</v>
      </c>
      <c r="AI502" s="1">
        <v>11</v>
      </c>
      <c r="AK502" s="1">
        <v>64</v>
      </c>
      <c r="AL502" s="1">
        <v>881</v>
      </c>
      <c r="AY502" s="1">
        <v>1.4</v>
      </c>
    </row>
    <row r="503" spans="4:67" x14ac:dyDescent="0.3">
      <c r="D503" s="2">
        <f t="shared" si="29"/>
        <v>2005</v>
      </c>
      <c r="E503" s="2">
        <f t="shared" si="30"/>
        <v>8</v>
      </c>
      <c r="F503" s="3" t="s">
        <v>179</v>
      </c>
      <c r="G503" s="4">
        <v>38574</v>
      </c>
      <c r="J503" s="1" t="s">
        <v>186</v>
      </c>
      <c r="K503" s="1">
        <v>4</v>
      </c>
      <c r="L503" s="1" t="str">
        <f t="shared" si="31"/>
        <v>Norrviken 4</v>
      </c>
      <c r="M503" s="1" t="s">
        <v>177</v>
      </c>
      <c r="P503" s="1">
        <v>1.3</v>
      </c>
      <c r="Q503" s="1">
        <v>19.399999999999999</v>
      </c>
      <c r="R503" s="1">
        <v>8.4</v>
      </c>
      <c r="S503" s="1">
        <v>93</v>
      </c>
      <c r="V503" s="1">
        <v>2.4285714285714399</v>
      </c>
      <c r="W503" s="1">
        <v>5</v>
      </c>
      <c r="X503" s="1">
        <f t="shared" si="32"/>
        <v>0.20382084166414574</v>
      </c>
      <c r="Y503" s="1">
        <v>4.2000000000000003E-2</v>
      </c>
      <c r="Z503" s="1">
        <v>33</v>
      </c>
      <c r="AB503" s="1">
        <v>27.8</v>
      </c>
      <c r="AC503" s="1">
        <v>47.2</v>
      </c>
      <c r="AD503" s="1">
        <v>0.1</v>
      </c>
      <c r="AE503" s="1">
        <v>8.0500000000000007</v>
      </c>
      <c r="AI503" s="1">
        <v>11</v>
      </c>
      <c r="AK503" s="1">
        <v>39</v>
      </c>
      <c r="AL503" s="1">
        <v>862</v>
      </c>
      <c r="AY503" s="1">
        <v>1.55</v>
      </c>
    </row>
    <row r="504" spans="4:67" x14ac:dyDescent="0.3">
      <c r="D504" s="2">
        <f t="shared" si="29"/>
        <v>2005</v>
      </c>
      <c r="E504" s="2">
        <f t="shared" si="30"/>
        <v>8</v>
      </c>
      <c r="F504" s="3" t="s">
        <v>179</v>
      </c>
      <c r="G504" s="4">
        <v>38574</v>
      </c>
      <c r="J504" s="1" t="s">
        <v>186</v>
      </c>
      <c r="K504" s="1">
        <v>2</v>
      </c>
      <c r="L504" s="1" t="str">
        <f t="shared" si="31"/>
        <v>Norrviken 2</v>
      </c>
      <c r="M504" s="1" t="s">
        <v>184</v>
      </c>
      <c r="Q504" s="1">
        <v>16</v>
      </c>
      <c r="R504" s="1">
        <v>0.1</v>
      </c>
      <c r="S504" s="1">
        <v>1</v>
      </c>
      <c r="V504" s="1">
        <v>2.6428571428571499</v>
      </c>
      <c r="W504" s="1">
        <v>382</v>
      </c>
      <c r="X504" s="1">
        <f t="shared" si="32"/>
        <v>4.8433953823071505</v>
      </c>
      <c r="Y504" s="1">
        <v>5.0999999999999997E-2</v>
      </c>
      <c r="Z504" s="1">
        <v>156</v>
      </c>
      <c r="AC504" s="1">
        <v>50.3</v>
      </c>
      <c r="AD504" s="1">
        <v>0.1</v>
      </c>
      <c r="AE504" s="1">
        <v>7.64</v>
      </c>
      <c r="AF504" s="1">
        <v>2.5000000000000001E-2</v>
      </c>
      <c r="AI504" s="1">
        <v>11</v>
      </c>
      <c r="AK504" s="1">
        <v>228</v>
      </c>
      <c r="AL504" s="1">
        <v>1201</v>
      </c>
      <c r="AY504" s="1">
        <v>2.59</v>
      </c>
    </row>
    <row r="505" spans="4:67" x14ac:dyDescent="0.3">
      <c r="D505" s="2">
        <f t="shared" si="29"/>
        <v>2005</v>
      </c>
      <c r="E505" s="2">
        <f t="shared" si="30"/>
        <v>8</v>
      </c>
      <c r="F505" s="3" t="s">
        <v>179</v>
      </c>
      <c r="G505" s="4">
        <v>38574</v>
      </c>
      <c r="J505" s="1" t="s">
        <v>186</v>
      </c>
      <c r="K505" s="1">
        <v>3</v>
      </c>
      <c r="L505" s="1" t="str">
        <f t="shared" si="31"/>
        <v>Norrviken 3</v>
      </c>
      <c r="M505" s="1" t="s">
        <v>184</v>
      </c>
      <c r="Q505" s="1">
        <v>11.8</v>
      </c>
      <c r="R505" s="1">
        <v>0.1</v>
      </c>
      <c r="S505" s="1">
        <v>0.1</v>
      </c>
      <c r="V505" s="1">
        <v>3.3214285714285801</v>
      </c>
      <c r="W505" s="1">
        <v>2494</v>
      </c>
      <c r="X505" s="1">
        <f t="shared" si="32"/>
        <v>24.107299160302333</v>
      </c>
      <c r="Y505" s="1">
        <v>6.2E-2</v>
      </c>
      <c r="Z505" s="1">
        <v>363</v>
      </c>
      <c r="AC505" s="1">
        <v>53.5</v>
      </c>
      <c r="AD505" s="1">
        <v>0.1</v>
      </c>
      <c r="AE505" s="1">
        <v>7.66</v>
      </c>
      <c r="AF505" s="1">
        <v>2.9</v>
      </c>
      <c r="AI505" s="1">
        <v>11</v>
      </c>
      <c r="AK505" s="1">
        <v>694</v>
      </c>
      <c r="AL505" s="1">
        <v>3562</v>
      </c>
      <c r="AY505" s="1">
        <v>5.72</v>
      </c>
    </row>
    <row r="506" spans="4:67" x14ac:dyDescent="0.3">
      <c r="D506" s="2">
        <f t="shared" si="29"/>
        <v>2005</v>
      </c>
      <c r="E506" s="2">
        <f t="shared" si="30"/>
        <v>8</v>
      </c>
      <c r="F506" s="3" t="s">
        <v>179</v>
      </c>
      <c r="G506" s="4">
        <v>38574</v>
      </c>
      <c r="J506" s="1" t="s">
        <v>187</v>
      </c>
      <c r="K506" s="1"/>
      <c r="L506" s="1" t="str">
        <f t="shared" si="31"/>
        <v xml:space="preserve">Oxundasjön </v>
      </c>
      <c r="M506" s="1" t="s">
        <v>177</v>
      </c>
      <c r="P506" s="1">
        <v>1.4</v>
      </c>
      <c r="Q506" s="1">
        <v>18.399999999999999</v>
      </c>
      <c r="R506" s="1">
        <v>6.7</v>
      </c>
      <c r="S506" s="1">
        <v>75</v>
      </c>
      <c r="V506" s="1">
        <v>2.3928571428571499</v>
      </c>
      <c r="W506" s="1">
        <v>37</v>
      </c>
      <c r="X506" s="1">
        <f t="shared" si="32"/>
        <v>0.84055957247664059</v>
      </c>
      <c r="Y506" s="1">
        <v>3.6999999999999998E-2</v>
      </c>
      <c r="Z506" s="1">
        <v>81</v>
      </c>
      <c r="AB506" s="1">
        <v>14.4</v>
      </c>
      <c r="AC506" s="1">
        <v>51.9</v>
      </c>
      <c r="AD506" s="1">
        <v>3</v>
      </c>
      <c r="AE506" s="1">
        <v>7.82</v>
      </c>
      <c r="AI506" s="1">
        <v>9.9</v>
      </c>
      <c r="AK506" s="1">
        <v>166</v>
      </c>
      <c r="AL506" s="1">
        <v>846</v>
      </c>
      <c r="AY506" s="1">
        <v>1.41</v>
      </c>
    </row>
    <row r="507" spans="4:67" x14ac:dyDescent="0.3">
      <c r="D507" s="2">
        <f t="shared" si="29"/>
        <v>2005</v>
      </c>
      <c r="E507" s="2">
        <f t="shared" si="30"/>
        <v>8</v>
      </c>
      <c r="F507" s="3" t="s">
        <v>179</v>
      </c>
      <c r="G507" s="4">
        <v>38574</v>
      </c>
      <c r="J507" s="1" t="s">
        <v>189</v>
      </c>
      <c r="K507" s="1"/>
      <c r="L507" s="1" t="str">
        <f t="shared" si="31"/>
        <v xml:space="preserve">Rösjön </v>
      </c>
      <c r="M507" s="1" t="s">
        <v>177</v>
      </c>
      <c r="P507" s="1">
        <v>2.7</v>
      </c>
      <c r="Q507" s="1">
        <v>19.600000000000001</v>
      </c>
      <c r="R507" s="1">
        <v>8</v>
      </c>
      <c r="S507" s="1">
        <v>89</v>
      </c>
      <c r="V507" s="1">
        <v>1.71428571428572</v>
      </c>
      <c r="W507" s="1">
        <v>11</v>
      </c>
      <c r="X507" s="1">
        <f t="shared" si="32"/>
        <v>0.2663637416556503</v>
      </c>
      <c r="Y507" s="1">
        <v>2.5999999999999999E-2</v>
      </c>
      <c r="Z507" s="1">
        <v>1</v>
      </c>
      <c r="AB507" s="1">
        <v>8.14</v>
      </c>
      <c r="AC507" s="1">
        <v>27.6</v>
      </c>
      <c r="AD507" s="1">
        <v>1</v>
      </c>
      <c r="AE507" s="1">
        <v>7.81</v>
      </c>
      <c r="AI507" s="1">
        <v>11</v>
      </c>
      <c r="AK507" s="1">
        <v>31</v>
      </c>
      <c r="AL507" s="1">
        <v>631</v>
      </c>
      <c r="AY507" s="1">
        <v>0.23200000000000001</v>
      </c>
    </row>
    <row r="508" spans="4:67" x14ac:dyDescent="0.3">
      <c r="D508" s="2">
        <f t="shared" si="29"/>
        <v>2005</v>
      </c>
      <c r="E508" s="2">
        <f t="shared" si="30"/>
        <v>8</v>
      </c>
      <c r="F508" s="3" t="s">
        <v>179</v>
      </c>
      <c r="G508" s="4">
        <v>38574</v>
      </c>
      <c r="J508" s="1" t="s">
        <v>189</v>
      </c>
      <c r="K508" s="1"/>
      <c r="L508" s="1" t="str">
        <f t="shared" si="31"/>
        <v xml:space="preserve">Rösjön </v>
      </c>
      <c r="M508" s="1" t="s">
        <v>184</v>
      </c>
      <c r="Q508" s="1">
        <v>19.2</v>
      </c>
      <c r="R508" s="1">
        <v>6.2</v>
      </c>
      <c r="S508" s="1">
        <v>68</v>
      </c>
      <c r="V508" s="1">
        <v>1.71428571428572</v>
      </c>
      <c r="W508" s="1">
        <v>38</v>
      </c>
      <c r="X508" s="1">
        <f t="shared" si="32"/>
        <v>0.79895905467615136</v>
      </c>
      <c r="Y508" s="1">
        <v>2.5999999999999999E-2</v>
      </c>
      <c r="Z508" s="1">
        <v>6</v>
      </c>
      <c r="AC508" s="1">
        <v>27.7</v>
      </c>
      <c r="AD508" s="1">
        <v>2</v>
      </c>
      <c r="AE508" s="1">
        <v>7.76</v>
      </c>
      <c r="AI508" s="1">
        <v>9.6999999999999993</v>
      </c>
      <c r="AK508" s="1">
        <v>102</v>
      </c>
      <c r="AL508" s="1">
        <v>714</v>
      </c>
      <c r="AY508" s="1">
        <v>0.39400000000000002</v>
      </c>
    </row>
    <row r="509" spans="4:67" x14ac:dyDescent="0.3">
      <c r="D509" s="2">
        <f t="shared" si="29"/>
        <v>2005</v>
      </c>
      <c r="E509" s="2">
        <f t="shared" si="30"/>
        <v>8</v>
      </c>
      <c r="F509" s="3" t="s">
        <v>179</v>
      </c>
      <c r="G509" s="4">
        <v>38574</v>
      </c>
      <c r="J509" s="1" t="s">
        <v>193</v>
      </c>
      <c r="K509" s="1"/>
      <c r="L509" s="1" t="str">
        <f t="shared" si="31"/>
        <v xml:space="preserve">Översjön </v>
      </c>
      <c r="M509" s="1" t="s">
        <v>177</v>
      </c>
      <c r="P509" s="1">
        <v>1.9</v>
      </c>
      <c r="Q509" s="1">
        <v>19.100000000000001</v>
      </c>
      <c r="R509" s="1">
        <v>8</v>
      </c>
      <c r="S509" s="1">
        <v>89</v>
      </c>
      <c r="V509" s="1">
        <v>1.53571428571429</v>
      </c>
      <c r="W509" s="1">
        <v>16</v>
      </c>
      <c r="X509" s="1">
        <f t="shared" si="32"/>
        <v>0.29167826025857191</v>
      </c>
      <c r="Y509" s="1">
        <v>4.3999999999999997E-2</v>
      </c>
      <c r="Z509" s="1">
        <v>2</v>
      </c>
      <c r="AB509" s="1">
        <v>7.74</v>
      </c>
      <c r="AC509" s="1">
        <v>43.5</v>
      </c>
      <c r="AD509" s="1">
        <v>1</v>
      </c>
      <c r="AE509" s="1">
        <v>7.7</v>
      </c>
      <c r="AI509" s="1">
        <v>11</v>
      </c>
      <c r="AK509" s="1">
        <v>36</v>
      </c>
      <c r="AL509" s="1">
        <v>773</v>
      </c>
      <c r="AY509" s="1">
        <v>0.16300000000000001</v>
      </c>
    </row>
    <row r="510" spans="4:67" x14ac:dyDescent="0.3">
      <c r="D510" s="2">
        <f t="shared" si="29"/>
        <v>2005</v>
      </c>
      <c r="E510" s="2">
        <f t="shared" si="30"/>
        <v>8</v>
      </c>
      <c r="F510" s="3" t="s">
        <v>179</v>
      </c>
      <c r="G510" s="4">
        <v>38586</v>
      </c>
      <c r="J510" s="1" t="s">
        <v>181</v>
      </c>
      <c r="K510" s="1"/>
      <c r="L510" s="1" t="str">
        <f t="shared" si="31"/>
        <v xml:space="preserve">Fysingen </v>
      </c>
      <c r="M510" s="1" t="s">
        <v>177</v>
      </c>
      <c r="P510" s="1">
        <v>1.6</v>
      </c>
      <c r="Q510" s="1">
        <v>21.7</v>
      </c>
      <c r="R510" s="1">
        <v>8.7100000000000009</v>
      </c>
      <c r="V510" s="1">
        <v>2.0710000000000002</v>
      </c>
      <c r="W510" s="1">
        <v>4</v>
      </c>
      <c r="X510" s="1">
        <f t="shared" si="32"/>
        <v>0.23799269788907884</v>
      </c>
      <c r="Y510" s="1">
        <v>3.3000000000000002E-2</v>
      </c>
      <c r="Z510" s="1">
        <v>2</v>
      </c>
      <c r="AB510" s="1">
        <v>6.5</v>
      </c>
      <c r="AC510" s="1">
        <v>54.6</v>
      </c>
      <c r="AD510" s="1">
        <v>1</v>
      </c>
      <c r="AE510" s="1">
        <v>8.15</v>
      </c>
      <c r="AI510" s="1">
        <v>6.9</v>
      </c>
      <c r="AK510" s="1">
        <v>29</v>
      </c>
      <c r="AL510" s="1">
        <v>496</v>
      </c>
      <c r="AV510" s="1">
        <v>39.739450000000005</v>
      </c>
      <c r="AX510" s="1">
        <v>112.00454999999999</v>
      </c>
      <c r="AY510" s="1">
        <v>0.15</v>
      </c>
    </row>
    <row r="511" spans="4:67" x14ac:dyDescent="0.3">
      <c r="D511" s="2">
        <f t="shared" si="29"/>
        <v>2005</v>
      </c>
      <c r="E511" s="2">
        <f t="shared" si="30"/>
        <v>8</v>
      </c>
      <c r="F511" s="3" t="s">
        <v>179</v>
      </c>
      <c r="G511" s="4">
        <v>38594</v>
      </c>
      <c r="H511" s="1">
        <v>6606238</v>
      </c>
      <c r="I511" s="1">
        <v>661152</v>
      </c>
      <c r="J511" s="5" t="s">
        <v>176</v>
      </c>
      <c r="K511" s="1"/>
      <c r="L511" s="1" t="str">
        <f t="shared" si="31"/>
        <v xml:space="preserve">Oxundaån </v>
      </c>
      <c r="M511" s="1" t="s">
        <v>177</v>
      </c>
      <c r="N511" s="1">
        <v>0.5</v>
      </c>
      <c r="O511" s="1">
        <v>0.5</v>
      </c>
      <c r="Q511" s="1">
        <v>18.2</v>
      </c>
      <c r="T511" s="1">
        <v>47.7</v>
      </c>
      <c r="V511" s="1">
        <v>2.4660000000000002</v>
      </c>
      <c r="W511" s="1">
        <v>113</v>
      </c>
      <c r="X511" s="1">
        <f t="shared" si="32"/>
        <v>3.0969132697822079</v>
      </c>
      <c r="Y511" s="1">
        <v>0.03</v>
      </c>
      <c r="Z511" s="1">
        <v>64</v>
      </c>
      <c r="AD511" s="1">
        <v>16</v>
      </c>
      <c r="AE511" s="1">
        <v>7.91</v>
      </c>
      <c r="AG511" s="1">
        <v>5.8</v>
      </c>
      <c r="AI511" s="1">
        <v>10.8</v>
      </c>
      <c r="AK511" s="1">
        <v>119</v>
      </c>
      <c r="AL511" s="1">
        <v>511</v>
      </c>
      <c r="AR511" s="1">
        <v>57.14</v>
      </c>
      <c r="AS511" s="1">
        <v>8.5000000000000006E-2</v>
      </c>
      <c r="AT511" s="1">
        <v>6.0213999999999999</v>
      </c>
      <c r="AU511" s="1">
        <v>10.4786</v>
      </c>
      <c r="AV511" s="1">
        <v>47.644800000000004</v>
      </c>
      <c r="AW511" s="1">
        <v>30.923120000000004</v>
      </c>
      <c r="AX511" s="1">
        <v>58.669049999999999</v>
      </c>
      <c r="AY511" s="1">
        <v>0.28000000000000003</v>
      </c>
      <c r="BC511" s="1">
        <v>1.2999999999999999E-2</v>
      </c>
      <c r="BE511" s="1">
        <v>1.52</v>
      </c>
      <c r="BF511" s="1">
        <v>2.5</v>
      </c>
      <c r="BJ511" s="1">
        <v>3.75</v>
      </c>
      <c r="BL511" s="1">
        <v>0.8</v>
      </c>
      <c r="BO511" s="1">
        <v>4.7</v>
      </c>
    </row>
    <row r="512" spans="4:67" x14ac:dyDescent="0.3">
      <c r="D512" s="2">
        <f t="shared" si="29"/>
        <v>2005</v>
      </c>
      <c r="E512" s="2">
        <f t="shared" si="30"/>
        <v>9</v>
      </c>
      <c r="F512" s="2"/>
      <c r="G512" s="4">
        <v>38608</v>
      </c>
      <c r="J512" s="1" t="s">
        <v>191</v>
      </c>
      <c r="K512" s="1">
        <v>1</v>
      </c>
      <c r="L512" s="1" t="str">
        <f t="shared" si="31"/>
        <v>Vallentunasjön 1</v>
      </c>
      <c r="M512" s="1" t="s">
        <v>177</v>
      </c>
      <c r="Q512" s="1">
        <v>14</v>
      </c>
      <c r="R512" s="1">
        <v>7.9</v>
      </c>
      <c r="S512" s="1">
        <v>76</v>
      </c>
      <c r="V512" s="1">
        <v>2.28571428571429</v>
      </c>
      <c r="W512" s="1">
        <v>39</v>
      </c>
      <c r="X512" s="1">
        <f t="shared" si="32"/>
        <v>0.61243621350592214</v>
      </c>
      <c r="Y512" s="1">
        <v>4.3999999999999997E-2</v>
      </c>
      <c r="Z512" s="1">
        <v>0.1</v>
      </c>
      <c r="AB512" s="1">
        <v>64.2</v>
      </c>
      <c r="AC512" s="1">
        <v>41.2</v>
      </c>
      <c r="AD512" s="1">
        <v>5</v>
      </c>
      <c r="AE512" s="1">
        <v>7.8</v>
      </c>
      <c r="AI512" s="1">
        <v>14</v>
      </c>
      <c r="AK512" s="1">
        <v>126</v>
      </c>
      <c r="AL512" s="1">
        <v>1348</v>
      </c>
      <c r="AY512" s="1">
        <v>5.76</v>
      </c>
    </row>
    <row r="513" spans="4:67" x14ac:dyDescent="0.3">
      <c r="D513" s="2">
        <f t="shared" si="29"/>
        <v>2005</v>
      </c>
      <c r="E513" s="2">
        <f t="shared" si="30"/>
        <v>9</v>
      </c>
      <c r="F513" s="2"/>
      <c r="G513" s="4">
        <v>38608</v>
      </c>
      <c r="J513" s="1" t="s">
        <v>191</v>
      </c>
      <c r="K513" s="1">
        <v>2</v>
      </c>
      <c r="L513" s="1" t="str">
        <f t="shared" si="31"/>
        <v>Vallentunasjön 2</v>
      </c>
      <c r="M513" s="1" t="s">
        <v>177</v>
      </c>
      <c r="P513" s="1">
        <v>0.6</v>
      </c>
      <c r="Q513" s="1">
        <v>15.6</v>
      </c>
      <c r="R513" s="1">
        <v>9.8000000000000007</v>
      </c>
      <c r="S513" s="1">
        <v>98</v>
      </c>
      <c r="V513" s="1">
        <v>2.1785714285714302</v>
      </c>
      <c r="W513" s="1">
        <v>2</v>
      </c>
      <c r="X513" s="1">
        <f t="shared" si="32"/>
        <v>0.14270231518163135</v>
      </c>
      <c r="Y513" s="1">
        <v>4.5999999999999999E-2</v>
      </c>
      <c r="Z513" s="1">
        <v>0.1</v>
      </c>
      <c r="AB513" s="1">
        <v>34.799999999999997</v>
      </c>
      <c r="AC513" s="1">
        <v>40.5</v>
      </c>
      <c r="AD513" s="1">
        <v>0.1</v>
      </c>
      <c r="AE513" s="1">
        <v>8.43</v>
      </c>
      <c r="AI513" s="1">
        <v>15</v>
      </c>
      <c r="AK513" s="1">
        <v>69</v>
      </c>
      <c r="AL513" s="1">
        <v>1531</v>
      </c>
      <c r="AY513" s="1">
        <v>5.81</v>
      </c>
    </row>
    <row r="514" spans="4:67" x14ac:dyDescent="0.3">
      <c r="D514" s="2">
        <f t="shared" ref="D514:D577" si="33">YEAR(G514)</f>
        <v>2005</v>
      </c>
      <c r="E514" s="2">
        <f t="shared" ref="E514:E577" si="34">MONTH(G514)</f>
        <v>9</v>
      </c>
      <c r="F514" s="2"/>
      <c r="G514" s="4">
        <v>38608</v>
      </c>
      <c r="J514" s="1" t="s">
        <v>191</v>
      </c>
      <c r="K514" s="1">
        <v>2</v>
      </c>
      <c r="L514" s="1" t="str">
        <f t="shared" ref="L514:L577" si="35">CONCATENATE(J514," ",K514)</f>
        <v>Vallentunasjön 2</v>
      </c>
      <c r="M514" s="1" t="s">
        <v>184</v>
      </c>
      <c r="Q514" s="1">
        <v>15.5</v>
      </c>
      <c r="R514" s="1">
        <v>7.9</v>
      </c>
      <c r="S514" s="1">
        <v>79</v>
      </c>
      <c r="V514" s="1">
        <v>2.1071428571428599</v>
      </c>
      <c r="W514" s="1">
        <v>3</v>
      </c>
      <c r="X514" s="1">
        <f t="shared" si="32"/>
        <v>0.15366003662232297</v>
      </c>
      <c r="Y514" s="1">
        <v>4.7E-2</v>
      </c>
      <c r="Z514" s="1">
        <v>0.1</v>
      </c>
      <c r="AC514" s="1">
        <v>40.700000000000003</v>
      </c>
      <c r="AD514" s="1">
        <v>0.1</v>
      </c>
      <c r="AE514" s="1">
        <v>8.2799999999999994</v>
      </c>
      <c r="AI514" s="1">
        <v>14</v>
      </c>
      <c r="AK514" s="1">
        <v>136</v>
      </c>
      <c r="AL514" s="1">
        <v>1635</v>
      </c>
      <c r="AY514" s="1">
        <v>5.84</v>
      </c>
    </row>
    <row r="515" spans="4:67" x14ac:dyDescent="0.3">
      <c r="D515" s="2">
        <f t="shared" si="33"/>
        <v>2005</v>
      </c>
      <c r="E515" s="2">
        <f t="shared" si="34"/>
        <v>9</v>
      </c>
      <c r="F515" s="3"/>
      <c r="G515" s="4">
        <v>38622</v>
      </c>
      <c r="H515" s="1">
        <v>6606238</v>
      </c>
      <c r="I515" s="1">
        <v>661152</v>
      </c>
      <c r="J515" s="5" t="s">
        <v>176</v>
      </c>
      <c r="K515" s="1"/>
      <c r="L515" s="1" t="str">
        <f t="shared" si="35"/>
        <v xml:space="preserve">Oxundaån </v>
      </c>
      <c r="M515" s="1" t="s">
        <v>177</v>
      </c>
      <c r="N515" s="1">
        <v>0.5</v>
      </c>
      <c r="O515" s="1">
        <v>0.5</v>
      </c>
      <c r="Q515" s="1">
        <v>12</v>
      </c>
      <c r="T515" s="1">
        <v>48.8</v>
      </c>
      <c r="V515" s="1">
        <v>2.57</v>
      </c>
      <c r="W515" s="1">
        <v>202</v>
      </c>
      <c r="X515" s="1">
        <f t="shared" si="32"/>
        <v>3.1244344135559663</v>
      </c>
      <c r="Y515" s="1">
        <v>4.2999999999999997E-2</v>
      </c>
      <c r="Z515" s="1">
        <v>31</v>
      </c>
      <c r="AD515" s="1">
        <v>2</v>
      </c>
      <c r="AE515" s="1">
        <v>7.86</v>
      </c>
      <c r="AG515" s="1">
        <v>4.5999999999999996</v>
      </c>
      <c r="AI515" s="1">
        <v>12.3</v>
      </c>
      <c r="AK515" s="1">
        <v>75</v>
      </c>
      <c r="AL515" s="1">
        <v>912</v>
      </c>
      <c r="AR515" s="1">
        <v>56</v>
      </c>
      <c r="AS515" s="1">
        <v>0.08</v>
      </c>
      <c r="AT515" s="1">
        <v>6.2951000000000006</v>
      </c>
      <c r="AU515" s="1">
        <v>10.2729</v>
      </c>
      <c r="AV515" s="1">
        <v>53.635849999999998</v>
      </c>
      <c r="AW515" s="1">
        <v>31.932479999999998</v>
      </c>
      <c r="AX515" s="1">
        <v>58.380749999999999</v>
      </c>
      <c r="AY515" s="1">
        <v>0.51</v>
      </c>
      <c r="BC515" s="1">
        <v>1.2999999999999999E-2</v>
      </c>
      <c r="BE515" s="1">
        <v>1.39</v>
      </c>
      <c r="BF515" s="1">
        <v>2.9</v>
      </c>
      <c r="BJ515" s="1">
        <v>4.0599999999999996</v>
      </c>
      <c r="BL515" s="1">
        <v>0.47</v>
      </c>
      <c r="BO515" s="1">
        <v>6.6</v>
      </c>
    </row>
    <row r="516" spans="4:67" x14ac:dyDescent="0.3">
      <c r="D516" s="2">
        <f t="shared" si="33"/>
        <v>2005</v>
      </c>
      <c r="E516" s="2">
        <f t="shared" si="34"/>
        <v>10</v>
      </c>
      <c r="F516" s="3" t="s">
        <v>180</v>
      </c>
      <c r="G516" s="4">
        <v>38643</v>
      </c>
      <c r="J516" s="1" t="s">
        <v>181</v>
      </c>
      <c r="K516" s="1"/>
      <c r="L516" s="1" t="str">
        <f t="shared" si="35"/>
        <v xml:space="preserve">Fysingen </v>
      </c>
      <c r="M516" s="1" t="s">
        <v>177</v>
      </c>
      <c r="P516" s="1">
        <v>2.2999999999999998</v>
      </c>
      <c r="Q516" s="1">
        <v>8.3000000000000007</v>
      </c>
      <c r="V516" s="1">
        <v>2.2949999999999999</v>
      </c>
      <c r="W516" s="1">
        <v>66</v>
      </c>
      <c r="X516" s="1">
        <f t="shared" si="32"/>
        <v>1.1804273213686063</v>
      </c>
      <c r="Y516" s="1">
        <v>1.9E-2</v>
      </c>
      <c r="Z516" s="1">
        <v>2</v>
      </c>
      <c r="AB516" s="1">
        <v>3.8</v>
      </c>
      <c r="AC516" s="1">
        <v>57.1</v>
      </c>
      <c r="AD516" s="1">
        <v>29</v>
      </c>
      <c r="AE516" s="1">
        <v>8.0500000000000007</v>
      </c>
      <c r="AI516" s="1">
        <v>8.3000000000000007</v>
      </c>
      <c r="AK516" s="1">
        <v>19</v>
      </c>
      <c r="AL516" s="1">
        <v>549</v>
      </c>
      <c r="AV516" s="1">
        <v>46.616750000000003</v>
      </c>
      <c r="AX516" s="1">
        <v>115.75244999999998</v>
      </c>
      <c r="AY516" s="1">
        <v>0.23</v>
      </c>
    </row>
    <row r="517" spans="4:67" x14ac:dyDescent="0.3">
      <c r="D517" s="2">
        <f t="shared" si="33"/>
        <v>2005</v>
      </c>
      <c r="E517" s="2">
        <f t="shared" si="34"/>
        <v>10</v>
      </c>
      <c r="F517" s="3" t="s">
        <v>180</v>
      </c>
      <c r="G517" s="4">
        <v>38650</v>
      </c>
      <c r="H517" s="1">
        <v>6606238</v>
      </c>
      <c r="I517" s="1">
        <v>661152</v>
      </c>
      <c r="J517" s="5" t="s">
        <v>176</v>
      </c>
      <c r="K517" s="1"/>
      <c r="L517" s="1" t="str">
        <f t="shared" si="35"/>
        <v xml:space="preserve">Oxundaån </v>
      </c>
      <c r="M517" s="1" t="s">
        <v>177</v>
      </c>
      <c r="N517" s="1">
        <v>0.5</v>
      </c>
      <c r="O517" s="1">
        <v>0.5</v>
      </c>
      <c r="Q517" s="1">
        <v>7.2</v>
      </c>
      <c r="T517" s="1">
        <v>49.7</v>
      </c>
      <c r="V517" s="1">
        <v>2.5270000000000001</v>
      </c>
      <c r="W517" s="1">
        <v>148</v>
      </c>
      <c r="X517" s="1">
        <f t="shared" si="32"/>
        <v>1.3142064576817194</v>
      </c>
      <c r="Y517" s="1">
        <v>3.5999999999999997E-2</v>
      </c>
      <c r="Z517" s="1">
        <v>59</v>
      </c>
      <c r="AD517" s="1">
        <v>49</v>
      </c>
      <c r="AE517" s="1">
        <v>7.78</v>
      </c>
      <c r="AG517" s="1">
        <v>2.2000000000000002</v>
      </c>
      <c r="AI517" s="1">
        <v>10.3</v>
      </c>
      <c r="AK517" s="1">
        <v>91</v>
      </c>
      <c r="AL517" s="1">
        <v>963</v>
      </c>
      <c r="AR517" s="1">
        <v>58.5</v>
      </c>
      <c r="AS517" s="1">
        <v>4.4999999999999998E-2</v>
      </c>
      <c r="AT517" s="1">
        <v>6.1778000000000004</v>
      </c>
      <c r="AU517" s="1">
        <v>10.732699999999999</v>
      </c>
      <c r="AV517" s="1">
        <v>54.061250000000001</v>
      </c>
      <c r="AW517" s="1">
        <v>31.290160000000004</v>
      </c>
      <c r="AX517" s="1">
        <v>61.648149999999994</v>
      </c>
      <c r="AY517" s="1">
        <v>0.94</v>
      </c>
      <c r="BC517" s="1">
        <v>8.9999999999999993E-3</v>
      </c>
      <c r="BE517" s="1">
        <v>2.0699999999999998</v>
      </c>
      <c r="BF517" s="1">
        <v>2.2000000000000002</v>
      </c>
      <c r="BJ517" s="1">
        <v>4.32</v>
      </c>
      <c r="BL517" s="1">
        <v>0.33</v>
      </c>
      <c r="BO517" s="1">
        <v>6.6</v>
      </c>
    </row>
    <row r="518" spans="4:67" x14ac:dyDescent="0.3">
      <c r="D518" s="2">
        <f t="shared" si="33"/>
        <v>2005</v>
      </c>
      <c r="E518" s="2">
        <f t="shared" si="34"/>
        <v>11</v>
      </c>
      <c r="F518" s="3" t="s">
        <v>180</v>
      </c>
      <c r="G518" s="4">
        <v>38686</v>
      </c>
      <c r="H518" s="1">
        <v>6606238</v>
      </c>
      <c r="I518" s="1">
        <v>661152</v>
      </c>
      <c r="J518" s="5" t="s">
        <v>176</v>
      </c>
      <c r="K518" s="1"/>
      <c r="L518" s="1" t="str">
        <f t="shared" si="35"/>
        <v xml:space="preserve">Oxundaån </v>
      </c>
      <c r="M518" s="1" t="s">
        <v>177</v>
      </c>
      <c r="N518" s="1">
        <v>0.5</v>
      </c>
      <c r="O518" s="1">
        <v>0.5</v>
      </c>
      <c r="Q518" s="1">
        <v>1</v>
      </c>
      <c r="T518" s="1">
        <v>49.9</v>
      </c>
      <c r="V518" s="1">
        <v>2.4990000000000001</v>
      </c>
      <c r="W518" s="1">
        <v>258</v>
      </c>
      <c r="X518" s="1">
        <f t="shared" si="32"/>
        <v>1.4831105179801574</v>
      </c>
      <c r="Y518" s="1">
        <v>3.6999999999999998E-2</v>
      </c>
      <c r="Z518" s="1">
        <v>51</v>
      </c>
      <c r="AD518" s="1">
        <v>141</v>
      </c>
      <c r="AE518" s="1">
        <v>7.81</v>
      </c>
      <c r="AG518" s="1">
        <v>1.6</v>
      </c>
      <c r="AI518" s="1">
        <v>8.5</v>
      </c>
      <c r="AK518" s="1">
        <v>79</v>
      </c>
      <c r="AL518" s="1">
        <v>730</v>
      </c>
      <c r="AR518" s="1">
        <v>56.68</v>
      </c>
      <c r="AS518" s="1">
        <v>0.04</v>
      </c>
      <c r="AT518" s="1">
        <v>5.9432</v>
      </c>
      <c r="AU518" s="1">
        <v>10.3939</v>
      </c>
      <c r="AV518" s="1">
        <v>49.452750000000002</v>
      </c>
      <c r="AW518" s="1">
        <v>31.198400000000003</v>
      </c>
      <c r="AX518" s="1">
        <v>64.867500000000007</v>
      </c>
      <c r="AY518" s="1">
        <v>1.2</v>
      </c>
      <c r="BC518" s="1">
        <v>8.0000000000000002E-3</v>
      </c>
      <c r="BE518" s="1">
        <v>1.93</v>
      </c>
      <c r="BF518" s="1">
        <v>3.8</v>
      </c>
      <c r="BJ518" s="1">
        <v>5.17</v>
      </c>
      <c r="BL518" s="1">
        <v>0.32</v>
      </c>
      <c r="BO518" s="1">
        <v>12</v>
      </c>
    </row>
    <row r="519" spans="4:67" x14ac:dyDescent="0.3">
      <c r="D519" s="2">
        <f t="shared" si="33"/>
        <v>2005</v>
      </c>
      <c r="E519" s="2">
        <f t="shared" si="34"/>
        <v>12</v>
      </c>
      <c r="F519" s="3" t="s">
        <v>175</v>
      </c>
      <c r="G519" s="4">
        <v>38714</v>
      </c>
      <c r="H519" s="1">
        <v>6606238</v>
      </c>
      <c r="I519" s="1">
        <v>661152</v>
      </c>
      <c r="J519" s="5" t="s">
        <v>176</v>
      </c>
      <c r="K519" s="1"/>
      <c r="L519" s="1" t="str">
        <f t="shared" si="35"/>
        <v xml:space="preserve">Oxundaån </v>
      </c>
      <c r="M519" s="1" t="s">
        <v>177</v>
      </c>
      <c r="N519" s="1">
        <v>0.5</v>
      </c>
      <c r="O519" s="1">
        <v>0.5</v>
      </c>
      <c r="Q519" s="1">
        <v>0.3</v>
      </c>
      <c r="T519" s="1">
        <v>51.4</v>
      </c>
      <c r="V519" s="1">
        <v>2.585</v>
      </c>
      <c r="W519" s="1">
        <v>126</v>
      </c>
      <c r="X519" s="1">
        <f t="shared" si="32"/>
        <v>0.60930139248649762</v>
      </c>
      <c r="Y519" s="1">
        <v>3.5000000000000003E-2</v>
      </c>
      <c r="Z519" s="1">
        <v>58</v>
      </c>
      <c r="AD519" s="1">
        <v>166</v>
      </c>
      <c r="AE519" s="1">
        <v>7.76</v>
      </c>
      <c r="AG519" s="1">
        <v>1.5</v>
      </c>
      <c r="AI519" s="1">
        <v>11.1</v>
      </c>
      <c r="AK519" s="1">
        <v>75</v>
      </c>
      <c r="AL519" s="1">
        <v>892</v>
      </c>
      <c r="AR519" s="1">
        <v>61.74</v>
      </c>
      <c r="AS519" s="1">
        <v>6.9000000000000006E-2</v>
      </c>
      <c r="AT519" s="1">
        <v>6.4124000000000008</v>
      </c>
      <c r="AU519" s="1">
        <v>11.204600000000001</v>
      </c>
      <c r="AV519" s="1">
        <v>50.551700000000004</v>
      </c>
      <c r="AW519" s="1">
        <v>32.964780000000005</v>
      </c>
      <c r="AX519" s="1">
        <v>65.059700000000007</v>
      </c>
      <c r="AY519" s="1">
        <v>1.61</v>
      </c>
      <c r="BC519" s="1">
        <v>8.0000000000000002E-3</v>
      </c>
      <c r="BE519" s="1">
        <v>1.28</v>
      </c>
      <c r="BF519" s="1">
        <v>2.5</v>
      </c>
      <c r="BJ519" s="1">
        <v>4.58</v>
      </c>
      <c r="BL519" s="1">
        <v>0.34</v>
      </c>
      <c r="BO519" s="1">
        <v>8.5</v>
      </c>
    </row>
    <row r="520" spans="4:67" x14ac:dyDescent="0.3">
      <c r="D520" s="2">
        <f t="shared" si="33"/>
        <v>2006</v>
      </c>
      <c r="E520" s="2">
        <f t="shared" si="34"/>
        <v>2</v>
      </c>
      <c r="F520" s="3" t="s">
        <v>175</v>
      </c>
      <c r="G520" s="4">
        <v>38749</v>
      </c>
      <c r="H520" s="1">
        <v>6606238</v>
      </c>
      <c r="I520" s="1">
        <v>661152</v>
      </c>
      <c r="J520" s="5" t="s">
        <v>176</v>
      </c>
      <c r="K520" s="1"/>
      <c r="L520" s="1" t="str">
        <f t="shared" si="35"/>
        <v xml:space="preserve">Oxundaån </v>
      </c>
      <c r="M520" s="1" t="s">
        <v>177</v>
      </c>
      <c r="N520" s="1">
        <v>0.5</v>
      </c>
      <c r="O520" s="1">
        <v>0.5</v>
      </c>
      <c r="Q520" s="1">
        <v>1</v>
      </c>
      <c r="T520" s="1">
        <v>52.9</v>
      </c>
      <c r="V520" s="1">
        <v>2.7909999999999999</v>
      </c>
      <c r="W520" s="1">
        <v>20</v>
      </c>
      <c r="X520" s="1">
        <f t="shared" si="32"/>
        <v>6.3344636933781853E-2</v>
      </c>
      <c r="Y520" s="1">
        <v>4.3999999999999997E-2</v>
      </c>
      <c r="Z520" s="1">
        <v>47</v>
      </c>
      <c r="AD520" s="1">
        <v>593</v>
      </c>
      <c r="AE520" s="1">
        <v>7.55</v>
      </c>
      <c r="AG520" s="1">
        <v>1.2</v>
      </c>
      <c r="AI520" s="1">
        <v>12.7</v>
      </c>
      <c r="AK520" s="1">
        <v>82</v>
      </c>
      <c r="AL520" s="1">
        <v>1289</v>
      </c>
      <c r="AR520" s="1">
        <v>59.86</v>
      </c>
      <c r="AS520" s="1">
        <v>8.8999999999999996E-2</v>
      </c>
      <c r="AT520" s="1">
        <v>6.2951000000000006</v>
      </c>
      <c r="AU520" s="1">
        <v>10.285</v>
      </c>
      <c r="AV520" s="1">
        <v>52.288750000000007</v>
      </c>
      <c r="AW520" s="1">
        <v>33.492400000000004</v>
      </c>
      <c r="AX520" s="1">
        <v>57.131450000000001</v>
      </c>
      <c r="AY520" s="1">
        <v>2.4500000000000002</v>
      </c>
      <c r="BC520" s="1">
        <v>1.0999999999999999E-2</v>
      </c>
      <c r="BE520" s="1">
        <v>2</v>
      </c>
      <c r="BF520" s="1">
        <v>5</v>
      </c>
      <c r="BJ520" s="1">
        <v>3.5</v>
      </c>
      <c r="BL520" s="1">
        <v>0.46</v>
      </c>
      <c r="BO520" s="1">
        <v>12</v>
      </c>
    </row>
    <row r="521" spans="4:67" x14ac:dyDescent="0.3">
      <c r="D521" s="2">
        <f t="shared" si="33"/>
        <v>2006</v>
      </c>
      <c r="E521" s="2">
        <f t="shared" si="34"/>
        <v>3</v>
      </c>
      <c r="F521" s="3" t="s">
        <v>175</v>
      </c>
      <c r="G521" s="4">
        <v>38777</v>
      </c>
      <c r="H521" s="1">
        <v>6606238</v>
      </c>
      <c r="I521" s="1">
        <v>661152</v>
      </c>
      <c r="J521" s="5" t="s">
        <v>176</v>
      </c>
      <c r="K521" s="1"/>
      <c r="L521" s="1" t="str">
        <f t="shared" si="35"/>
        <v xml:space="preserve">Oxundaån </v>
      </c>
      <c r="M521" s="1" t="s">
        <v>177</v>
      </c>
      <c r="N521" s="1">
        <v>0.5</v>
      </c>
      <c r="O521" s="1">
        <v>0.5</v>
      </c>
      <c r="Q521" s="1">
        <v>0.5</v>
      </c>
      <c r="T521" s="1">
        <v>54.5</v>
      </c>
      <c r="V521" s="1">
        <v>2.8889999999999998</v>
      </c>
      <c r="W521" s="1">
        <v>39</v>
      </c>
      <c r="X521" s="1">
        <f t="shared" si="32"/>
        <v>8.9934262558762246E-2</v>
      </c>
      <c r="Y521" s="1">
        <v>5.0999999999999997E-2</v>
      </c>
      <c r="Z521" s="1">
        <v>58</v>
      </c>
      <c r="AD521" s="1">
        <v>652</v>
      </c>
      <c r="AE521" s="1">
        <v>7.43</v>
      </c>
      <c r="AG521" s="1">
        <v>1.1000000000000001</v>
      </c>
      <c r="AI521" s="1">
        <v>14</v>
      </c>
      <c r="AK521" s="1">
        <v>82</v>
      </c>
      <c r="AL521" s="1">
        <v>1251</v>
      </c>
      <c r="AR521" s="1">
        <v>60.98</v>
      </c>
      <c r="AS521" s="1">
        <v>6.8000000000000005E-2</v>
      </c>
      <c r="AT521" s="1">
        <v>6.2951000000000006</v>
      </c>
      <c r="AU521" s="1">
        <v>10.2729</v>
      </c>
      <c r="AV521" s="1">
        <v>53.954900000000002</v>
      </c>
      <c r="AW521" s="1">
        <v>33.997080000000004</v>
      </c>
      <c r="AX521" s="1">
        <v>56.458750000000002</v>
      </c>
      <c r="AY521" s="1">
        <v>2.35</v>
      </c>
      <c r="BC521" s="1">
        <v>0.01</v>
      </c>
      <c r="BE521" s="1">
        <v>2.5</v>
      </c>
      <c r="BF521" s="1">
        <v>3.6</v>
      </c>
      <c r="BJ521" s="1">
        <v>3.6</v>
      </c>
      <c r="BL521" s="1">
        <v>0.36</v>
      </c>
      <c r="BO521" s="1">
        <v>9.3000000000000007</v>
      </c>
    </row>
    <row r="522" spans="4:67" x14ac:dyDescent="0.3">
      <c r="D522" s="2">
        <f t="shared" si="33"/>
        <v>2006</v>
      </c>
      <c r="E522" s="2">
        <f t="shared" si="34"/>
        <v>3</v>
      </c>
      <c r="F522" s="3" t="s">
        <v>175</v>
      </c>
      <c r="G522" s="4">
        <v>38782</v>
      </c>
      <c r="J522" s="1" t="s">
        <v>182</v>
      </c>
      <c r="K522" s="1"/>
      <c r="L522" s="1" t="str">
        <f t="shared" si="35"/>
        <v xml:space="preserve">Edssjön </v>
      </c>
      <c r="M522" s="1" t="s">
        <v>177</v>
      </c>
      <c r="Q522" s="1">
        <v>0.2</v>
      </c>
      <c r="R522" s="1">
        <v>13.4</v>
      </c>
      <c r="S522" s="1">
        <v>91</v>
      </c>
      <c r="W522" s="1">
        <v>19</v>
      </c>
      <c r="Z522" s="1">
        <v>76</v>
      </c>
      <c r="AD522" s="1">
        <v>613</v>
      </c>
      <c r="AK522" s="1">
        <v>104</v>
      </c>
      <c r="AL522" s="1">
        <v>1235</v>
      </c>
    </row>
    <row r="523" spans="4:67" x14ac:dyDescent="0.3">
      <c r="D523" s="2">
        <f t="shared" si="33"/>
        <v>2006</v>
      </c>
      <c r="E523" s="2">
        <f t="shared" si="34"/>
        <v>3</v>
      </c>
      <c r="F523" s="3" t="s">
        <v>175</v>
      </c>
      <c r="G523" s="4">
        <v>38782</v>
      </c>
      <c r="J523" s="1" t="s">
        <v>182</v>
      </c>
      <c r="K523" s="1"/>
      <c r="L523" s="1" t="str">
        <f t="shared" si="35"/>
        <v xml:space="preserve">Edssjön </v>
      </c>
      <c r="M523" s="1" t="s">
        <v>184</v>
      </c>
      <c r="Q523" s="1">
        <v>4.5</v>
      </c>
      <c r="R523" s="1">
        <v>0.3</v>
      </c>
      <c r="S523" s="1">
        <v>2.2999999999999998</v>
      </c>
      <c r="W523" s="1">
        <v>184</v>
      </c>
      <c r="Z523" s="1">
        <v>69</v>
      </c>
      <c r="AD523" s="1">
        <v>442</v>
      </c>
      <c r="AF523" s="1">
        <v>2.5000000000000001E-2</v>
      </c>
      <c r="AK523" s="1">
        <v>97</v>
      </c>
      <c r="AL523" s="1">
        <v>1215</v>
      </c>
    </row>
    <row r="524" spans="4:67" x14ac:dyDescent="0.3">
      <c r="D524" s="2">
        <f t="shared" si="33"/>
        <v>2006</v>
      </c>
      <c r="E524" s="2">
        <f t="shared" si="34"/>
        <v>3</v>
      </c>
      <c r="F524" s="3" t="s">
        <v>175</v>
      </c>
      <c r="G524" s="4">
        <v>38782</v>
      </c>
      <c r="J524" s="1" t="s">
        <v>182</v>
      </c>
      <c r="K524" s="1"/>
      <c r="L524" s="1" t="str">
        <f t="shared" si="35"/>
        <v xml:space="preserve">Edssjön </v>
      </c>
      <c r="M524" s="1">
        <v>4</v>
      </c>
      <c r="Q524" s="1">
        <v>3.6</v>
      </c>
      <c r="R524" s="1">
        <v>0.4</v>
      </c>
      <c r="S524" s="1">
        <v>3.1</v>
      </c>
    </row>
    <row r="525" spans="4:67" x14ac:dyDescent="0.3">
      <c r="D525" s="2">
        <f t="shared" si="33"/>
        <v>2006</v>
      </c>
      <c r="E525" s="2">
        <f t="shared" si="34"/>
        <v>3</v>
      </c>
      <c r="F525" s="3" t="s">
        <v>175</v>
      </c>
      <c r="G525" s="4">
        <v>38782</v>
      </c>
      <c r="J525" s="1" t="s">
        <v>182</v>
      </c>
      <c r="K525" s="1"/>
      <c r="L525" s="1" t="str">
        <f t="shared" si="35"/>
        <v xml:space="preserve">Edssjön </v>
      </c>
      <c r="M525" s="1">
        <v>3</v>
      </c>
      <c r="Q525" s="1">
        <v>3.2</v>
      </c>
      <c r="R525" s="1">
        <v>0.8</v>
      </c>
      <c r="S525" s="1">
        <v>5.6</v>
      </c>
    </row>
    <row r="526" spans="4:67" x14ac:dyDescent="0.3">
      <c r="D526" s="2">
        <f t="shared" si="33"/>
        <v>2006</v>
      </c>
      <c r="E526" s="2">
        <f t="shared" si="34"/>
        <v>3</v>
      </c>
      <c r="F526" s="3" t="s">
        <v>175</v>
      </c>
      <c r="G526" s="4">
        <v>38782</v>
      </c>
      <c r="J526" s="1" t="s">
        <v>182</v>
      </c>
      <c r="K526" s="1"/>
      <c r="L526" s="1" t="str">
        <f t="shared" si="35"/>
        <v xml:space="preserve">Edssjön </v>
      </c>
      <c r="M526" s="1">
        <v>2</v>
      </c>
      <c r="Q526" s="1">
        <v>2.4</v>
      </c>
      <c r="R526" s="1">
        <v>2.9</v>
      </c>
      <c r="S526" s="1">
        <v>22</v>
      </c>
    </row>
    <row r="527" spans="4:67" x14ac:dyDescent="0.3">
      <c r="D527" s="2">
        <f t="shared" si="33"/>
        <v>2006</v>
      </c>
      <c r="E527" s="2">
        <f t="shared" si="34"/>
        <v>3</v>
      </c>
      <c r="F527" s="3" t="s">
        <v>175</v>
      </c>
      <c r="G527" s="4">
        <v>38782</v>
      </c>
      <c r="J527" s="1" t="s">
        <v>182</v>
      </c>
      <c r="K527" s="1"/>
      <c r="L527" s="1" t="str">
        <f t="shared" si="35"/>
        <v xml:space="preserve">Edssjön </v>
      </c>
      <c r="M527" s="1">
        <v>1</v>
      </c>
      <c r="Q527" s="1">
        <v>1</v>
      </c>
      <c r="R527" s="1">
        <v>11.2</v>
      </c>
      <c r="S527" s="1">
        <v>79</v>
      </c>
    </row>
    <row r="528" spans="4:67" x14ac:dyDescent="0.3">
      <c r="D528" s="2">
        <f t="shared" si="33"/>
        <v>2006</v>
      </c>
      <c r="E528" s="2">
        <f t="shared" si="34"/>
        <v>3</v>
      </c>
      <c r="F528" s="3" t="s">
        <v>175</v>
      </c>
      <c r="G528" s="4">
        <v>38782</v>
      </c>
      <c r="J528" s="1" t="s">
        <v>185</v>
      </c>
      <c r="K528" s="1"/>
      <c r="L528" s="1" t="str">
        <f t="shared" si="35"/>
        <v xml:space="preserve">Gullsjön </v>
      </c>
      <c r="M528" s="1" t="s">
        <v>177</v>
      </c>
      <c r="Q528" s="1">
        <v>0.7</v>
      </c>
      <c r="R528" s="1">
        <v>0.5</v>
      </c>
      <c r="S528" s="1">
        <v>3.3</v>
      </c>
      <c r="W528" s="1">
        <v>164</v>
      </c>
      <c r="Z528" s="1">
        <v>3</v>
      </c>
      <c r="AD528" s="1">
        <v>1</v>
      </c>
      <c r="AK528" s="1">
        <v>27</v>
      </c>
      <c r="AL528" s="1">
        <v>927</v>
      </c>
    </row>
    <row r="529" spans="4:38" x14ac:dyDescent="0.3">
      <c r="D529" s="2">
        <f t="shared" si="33"/>
        <v>2006</v>
      </c>
      <c r="E529" s="2">
        <f t="shared" si="34"/>
        <v>3</v>
      </c>
      <c r="F529" s="3" t="s">
        <v>175</v>
      </c>
      <c r="G529" s="4">
        <v>38782</v>
      </c>
      <c r="J529" s="1" t="s">
        <v>185</v>
      </c>
      <c r="K529" s="1"/>
      <c r="L529" s="1" t="str">
        <f t="shared" si="35"/>
        <v xml:space="preserve">Gullsjön </v>
      </c>
      <c r="M529" s="1" t="s">
        <v>184</v>
      </c>
      <c r="Q529" s="1">
        <v>3.6</v>
      </c>
      <c r="R529" s="1">
        <v>0.3</v>
      </c>
      <c r="S529" s="1">
        <v>2.2000000000000002</v>
      </c>
      <c r="W529" s="1">
        <v>200</v>
      </c>
      <c r="Z529" s="1">
        <v>1</v>
      </c>
      <c r="AD529" s="1">
        <v>0.1</v>
      </c>
      <c r="AF529" s="1">
        <v>9.8000000000000004E-2</v>
      </c>
      <c r="AK529" s="1">
        <v>27</v>
      </c>
      <c r="AL529" s="1">
        <v>947</v>
      </c>
    </row>
    <row r="530" spans="4:38" x14ac:dyDescent="0.3">
      <c r="D530" s="2">
        <f t="shared" si="33"/>
        <v>2006</v>
      </c>
      <c r="E530" s="2">
        <f t="shared" si="34"/>
        <v>3</v>
      </c>
      <c r="F530" s="3" t="s">
        <v>175</v>
      </c>
      <c r="G530" s="4">
        <v>38782</v>
      </c>
      <c r="J530" s="1" t="s">
        <v>185</v>
      </c>
      <c r="K530" s="1"/>
      <c r="L530" s="1" t="str">
        <f t="shared" si="35"/>
        <v xml:space="preserve">Gullsjön </v>
      </c>
      <c r="M530" s="1" t="s">
        <v>194</v>
      </c>
      <c r="Q530" s="1">
        <v>2.8</v>
      </c>
      <c r="R530" s="1">
        <v>0.35</v>
      </c>
      <c r="S530" s="1">
        <v>2.5</v>
      </c>
    </row>
    <row r="531" spans="4:38" x14ac:dyDescent="0.3">
      <c r="D531" s="2">
        <f t="shared" si="33"/>
        <v>2006</v>
      </c>
      <c r="E531" s="2">
        <f t="shared" si="34"/>
        <v>3</v>
      </c>
      <c r="F531" s="3" t="s">
        <v>175</v>
      </c>
      <c r="G531" s="4">
        <v>38782</v>
      </c>
      <c r="J531" s="1" t="s">
        <v>187</v>
      </c>
      <c r="K531" s="1"/>
      <c r="L531" s="1" t="str">
        <f t="shared" si="35"/>
        <v xml:space="preserve">Oxundasjön </v>
      </c>
      <c r="M531" s="1" t="s">
        <v>177</v>
      </c>
      <c r="Q531" s="1">
        <v>0.5</v>
      </c>
      <c r="R531" s="1">
        <v>12.5</v>
      </c>
      <c r="S531" s="1">
        <v>86</v>
      </c>
      <c r="W531" s="1">
        <v>8</v>
      </c>
      <c r="Z531" s="1">
        <v>72</v>
      </c>
      <c r="AD531" s="1">
        <v>732</v>
      </c>
      <c r="AK531" s="1">
        <v>101</v>
      </c>
      <c r="AL531" s="1">
        <v>1380</v>
      </c>
    </row>
    <row r="532" spans="4:38" x14ac:dyDescent="0.3">
      <c r="D532" s="2">
        <f t="shared" si="33"/>
        <v>2006</v>
      </c>
      <c r="E532" s="2">
        <f t="shared" si="34"/>
        <v>3</v>
      </c>
      <c r="F532" s="3" t="s">
        <v>175</v>
      </c>
      <c r="G532" s="4">
        <v>38782</v>
      </c>
      <c r="J532" s="1" t="s">
        <v>187</v>
      </c>
      <c r="K532" s="1"/>
      <c r="L532" s="1" t="str">
        <f t="shared" si="35"/>
        <v xml:space="preserve">Oxundasjön </v>
      </c>
      <c r="M532" s="1" t="s">
        <v>184</v>
      </c>
      <c r="Q532" s="1">
        <v>3.8</v>
      </c>
      <c r="R532" s="1">
        <v>2.1</v>
      </c>
      <c r="S532" s="1">
        <v>16</v>
      </c>
      <c r="W532" s="1">
        <v>19</v>
      </c>
      <c r="Z532" s="1">
        <v>30</v>
      </c>
      <c r="AD532" s="1">
        <v>607</v>
      </c>
      <c r="AK532" s="1">
        <v>46</v>
      </c>
      <c r="AL532" s="1">
        <v>1147</v>
      </c>
    </row>
    <row r="533" spans="4:38" x14ac:dyDescent="0.3">
      <c r="D533" s="2">
        <f t="shared" si="33"/>
        <v>2006</v>
      </c>
      <c r="E533" s="2">
        <f t="shared" si="34"/>
        <v>3</v>
      </c>
      <c r="F533" s="3" t="s">
        <v>175</v>
      </c>
      <c r="G533" s="4">
        <v>38782</v>
      </c>
      <c r="J533" s="1" t="s">
        <v>187</v>
      </c>
      <c r="K533" s="1"/>
      <c r="L533" s="1" t="str">
        <f t="shared" si="35"/>
        <v xml:space="preserve">Oxundasjön </v>
      </c>
      <c r="M533" s="1">
        <v>5</v>
      </c>
      <c r="Q533" s="1">
        <v>3.2</v>
      </c>
      <c r="R533" s="1">
        <v>4.5999999999999996</v>
      </c>
      <c r="S533" s="1">
        <v>34</v>
      </c>
    </row>
    <row r="534" spans="4:38" x14ac:dyDescent="0.3">
      <c r="D534" s="2">
        <f t="shared" si="33"/>
        <v>2006</v>
      </c>
      <c r="E534" s="2">
        <f t="shared" si="34"/>
        <v>3</v>
      </c>
      <c r="F534" s="3" t="s">
        <v>175</v>
      </c>
      <c r="G534" s="4">
        <v>38782</v>
      </c>
      <c r="J534" s="1" t="s">
        <v>187</v>
      </c>
      <c r="K534" s="1"/>
      <c r="L534" s="1" t="str">
        <f t="shared" si="35"/>
        <v xml:space="preserve">Oxundasjön </v>
      </c>
      <c r="M534" s="1">
        <v>4</v>
      </c>
      <c r="Q534" s="1">
        <v>3.1</v>
      </c>
      <c r="R534" s="1">
        <v>3.6</v>
      </c>
      <c r="S534" s="1">
        <v>27</v>
      </c>
    </row>
    <row r="535" spans="4:38" x14ac:dyDescent="0.3">
      <c r="D535" s="2">
        <f t="shared" si="33"/>
        <v>2006</v>
      </c>
      <c r="E535" s="2">
        <f t="shared" si="34"/>
        <v>3</v>
      </c>
      <c r="F535" s="3" t="s">
        <v>175</v>
      </c>
      <c r="G535" s="4">
        <v>38782</v>
      </c>
      <c r="J535" s="1" t="s">
        <v>187</v>
      </c>
      <c r="K535" s="1"/>
      <c r="L535" s="1" t="str">
        <f t="shared" si="35"/>
        <v xml:space="preserve">Oxundasjön </v>
      </c>
      <c r="M535" s="1">
        <v>3</v>
      </c>
      <c r="Q535" s="1">
        <v>2.4</v>
      </c>
      <c r="R535" s="1">
        <v>4.3</v>
      </c>
      <c r="S535" s="1">
        <v>32</v>
      </c>
    </row>
    <row r="536" spans="4:38" x14ac:dyDescent="0.3">
      <c r="D536" s="2">
        <f t="shared" si="33"/>
        <v>2006</v>
      </c>
      <c r="E536" s="2">
        <f t="shared" si="34"/>
        <v>3</v>
      </c>
      <c r="F536" s="3" t="s">
        <v>175</v>
      </c>
      <c r="G536" s="4">
        <v>38782</v>
      </c>
      <c r="J536" s="1" t="s">
        <v>187</v>
      </c>
      <c r="K536" s="1"/>
      <c r="L536" s="1" t="str">
        <f t="shared" si="35"/>
        <v xml:space="preserve">Oxundasjön </v>
      </c>
      <c r="M536" s="1">
        <v>2</v>
      </c>
      <c r="Q536" s="1">
        <v>2</v>
      </c>
      <c r="R536" s="1">
        <v>8.1</v>
      </c>
      <c r="S536" s="1">
        <v>58</v>
      </c>
    </row>
    <row r="537" spans="4:38" x14ac:dyDescent="0.3">
      <c r="D537" s="2">
        <f t="shared" si="33"/>
        <v>2006</v>
      </c>
      <c r="E537" s="2">
        <f t="shared" si="34"/>
        <v>3</v>
      </c>
      <c r="F537" s="3" t="s">
        <v>175</v>
      </c>
      <c r="G537" s="4">
        <v>38782</v>
      </c>
      <c r="J537" s="1" t="s">
        <v>187</v>
      </c>
      <c r="K537" s="1"/>
      <c r="L537" s="1" t="str">
        <f t="shared" si="35"/>
        <v xml:space="preserve">Oxundasjön </v>
      </c>
      <c r="M537" s="1">
        <v>1</v>
      </c>
      <c r="Q537" s="1">
        <v>1.1000000000000001</v>
      </c>
      <c r="R537" s="1">
        <v>10.6</v>
      </c>
      <c r="S537" s="1">
        <v>74</v>
      </c>
    </row>
    <row r="538" spans="4:38" x14ac:dyDescent="0.3">
      <c r="D538" s="2">
        <f t="shared" si="33"/>
        <v>2006</v>
      </c>
      <c r="E538" s="2">
        <f t="shared" si="34"/>
        <v>3</v>
      </c>
      <c r="F538" s="3" t="s">
        <v>175</v>
      </c>
      <c r="G538" s="4">
        <v>38782</v>
      </c>
      <c r="J538" s="1" t="s">
        <v>188</v>
      </c>
      <c r="K538" s="1"/>
      <c r="L538" s="1" t="str">
        <f t="shared" si="35"/>
        <v xml:space="preserve">Ravalen </v>
      </c>
      <c r="M538" s="1" t="s">
        <v>177</v>
      </c>
      <c r="Q538" s="1">
        <v>0.9</v>
      </c>
      <c r="R538" s="1">
        <v>0.5</v>
      </c>
      <c r="S538" s="1">
        <v>3.5</v>
      </c>
      <c r="W538" s="1">
        <v>303</v>
      </c>
      <c r="Z538" s="1">
        <v>2</v>
      </c>
      <c r="AD538" s="1">
        <v>0.1</v>
      </c>
      <c r="AK538" s="1">
        <v>49</v>
      </c>
      <c r="AL538" s="1">
        <v>1282</v>
      </c>
    </row>
    <row r="539" spans="4:38" x14ac:dyDescent="0.3">
      <c r="D539" s="2">
        <f t="shared" si="33"/>
        <v>2006</v>
      </c>
      <c r="E539" s="2">
        <f t="shared" si="34"/>
        <v>3</v>
      </c>
      <c r="F539" s="3" t="s">
        <v>175</v>
      </c>
      <c r="G539" s="4">
        <v>38782</v>
      </c>
      <c r="J539" s="1" t="s">
        <v>188</v>
      </c>
      <c r="K539" s="1"/>
      <c r="L539" s="1" t="str">
        <f t="shared" si="35"/>
        <v xml:space="preserve">Ravalen </v>
      </c>
      <c r="M539" s="1" t="s">
        <v>184</v>
      </c>
      <c r="Q539" s="1">
        <v>4.3</v>
      </c>
      <c r="R539" s="1">
        <v>0.1</v>
      </c>
      <c r="S539" s="1">
        <v>0.2</v>
      </c>
      <c r="W539" s="1">
        <v>437</v>
      </c>
      <c r="Z539" s="1">
        <v>3</v>
      </c>
      <c r="AD539" s="1">
        <v>1</v>
      </c>
      <c r="AF539" s="1">
        <v>0.56000000000000005</v>
      </c>
      <c r="AK539" s="1">
        <v>53</v>
      </c>
      <c r="AL539" s="1">
        <v>1312</v>
      </c>
    </row>
    <row r="540" spans="4:38" x14ac:dyDescent="0.3">
      <c r="D540" s="2">
        <f t="shared" si="33"/>
        <v>2006</v>
      </c>
      <c r="E540" s="2">
        <f t="shared" si="34"/>
        <v>3</v>
      </c>
      <c r="F540" s="3" t="s">
        <v>175</v>
      </c>
      <c r="G540" s="4">
        <v>38782</v>
      </c>
      <c r="J540" s="1" t="s">
        <v>188</v>
      </c>
      <c r="K540" s="1"/>
      <c r="L540" s="1" t="str">
        <f t="shared" si="35"/>
        <v xml:space="preserve">Ravalen </v>
      </c>
      <c r="M540" s="1" t="s">
        <v>194</v>
      </c>
      <c r="Q540" s="1">
        <v>2.4</v>
      </c>
      <c r="R540" s="1">
        <v>0.2</v>
      </c>
      <c r="S540" s="1">
        <v>1.8</v>
      </c>
    </row>
    <row r="541" spans="4:38" x14ac:dyDescent="0.3">
      <c r="D541" s="2">
        <f t="shared" si="33"/>
        <v>2006</v>
      </c>
      <c r="E541" s="2">
        <f t="shared" si="34"/>
        <v>3</v>
      </c>
      <c r="F541" s="3" t="s">
        <v>175</v>
      </c>
      <c r="G541" s="4">
        <v>38782</v>
      </c>
      <c r="J541" s="1" t="s">
        <v>191</v>
      </c>
      <c r="K541" s="1">
        <v>2</v>
      </c>
      <c r="L541" s="1" t="str">
        <f t="shared" si="35"/>
        <v>Vallentunasjön 2</v>
      </c>
      <c r="M541" s="1" t="s">
        <v>177</v>
      </c>
      <c r="Q541" s="1">
        <v>0.5</v>
      </c>
      <c r="R541" s="1">
        <v>9.8000000000000007</v>
      </c>
      <c r="S541" s="1">
        <v>69</v>
      </c>
      <c r="W541" s="1">
        <v>607</v>
      </c>
      <c r="Z541" s="1">
        <v>3</v>
      </c>
      <c r="AD541" s="1">
        <v>130</v>
      </c>
      <c r="AK541" s="1">
        <v>37</v>
      </c>
      <c r="AL541" s="1">
        <v>1502</v>
      </c>
    </row>
    <row r="542" spans="4:38" x14ac:dyDescent="0.3">
      <c r="D542" s="2">
        <f t="shared" si="33"/>
        <v>2006</v>
      </c>
      <c r="E542" s="2">
        <f t="shared" si="34"/>
        <v>3</v>
      </c>
      <c r="F542" s="3" t="s">
        <v>175</v>
      </c>
      <c r="G542" s="4">
        <v>38782</v>
      </c>
      <c r="J542" s="1" t="s">
        <v>191</v>
      </c>
      <c r="K542" s="1">
        <v>2</v>
      </c>
      <c r="L542" s="1" t="str">
        <f t="shared" si="35"/>
        <v>Vallentunasjön 2</v>
      </c>
      <c r="M542" s="1" t="s">
        <v>184</v>
      </c>
      <c r="Q542" s="1">
        <v>4.0999999999999996</v>
      </c>
      <c r="R542" s="1">
        <v>0.3</v>
      </c>
      <c r="S542" s="1">
        <v>9</v>
      </c>
      <c r="W542" s="1">
        <v>1051</v>
      </c>
      <c r="Z542" s="1">
        <v>10</v>
      </c>
      <c r="AD542" s="1">
        <v>58</v>
      </c>
      <c r="AF542" s="1">
        <v>2.5000000000000001E-2</v>
      </c>
      <c r="AK542" s="1">
        <v>46</v>
      </c>
      <c r="AL542" s="1">
        <v>1836</v>
      </c>
    </row>
    <row r="543" spans="4:38" x14ac:dyDescent="0.3">
      <c r="D543" s="2">
        <f t="shared" si="33"/>
        <v>2006</v>
      </c>
      <c r="E543" s="2">
        <f t="shared" si="34"/>
        <v>3</v>
      </c>
      <c r="F543" s="3" t="s">
        <v>175</v>
      </c>
      <c r="G543" s="4">
        <v>38782</v>
      </c>
      <c r="J543" s="1" t="s">
        <v>191</v>
      </c>
      <c r="K543" s="1">
        <v>2</v>
      </c>
      <c r="L543" s="1" t="str">
        <f t="shared" si="35"/>
        <v>Vallentunasjön 2</v>
      </c>
      <c r="M543" s="1">
        <v>4</v>
      </c>
      <c r="Q543" s="1">
        <v>3.8</v>
      </c>
      <c r="R543" s="1">
        <v>1.5</v>
      </c>
      <c r="S543" s="1">
        <v>11</v>
      </c>
    </row>
    <row r="544" spans="4:38" x14ac:dyDescent="0.3">
      <c r="D544" s="2">
        <f t="shared" si="33"/>
        <v>2006</v>
      </c>
      <c r="E544" s="2">
        <f t="shared" si="34"/>
        <v>3</v>
      </c>
      <c r="F544" s="3" t="s">
        <v>175</v>
      </c>
      <c r="G544" s="4">
        <v>38782</v>
      </c>
      <c r="J544" s="1" t="s">
        <v>191</v>
      </c>
      <c r="K544" s="1">
        <v>2</v>
      </c>
      <c r="L544" s="1" t="str">
        <f t="shared" si="35"/>
        <v>Vallentunasjön 2</v>
      </c>
      <c r="M544" s="1">
        <v>3</v>
      </c>
      <c r="Q544" s="1">
        <v>3.6</v>
      </c>
      <c r="R544" s="1">
        <v>1.9</v>
      </c>
      <c r="S544" s="1">
        <v>11</v>
      </c>
    </row>
    <row r="545" spans="4:38" x14ac:dyDescent="0.3">
      <c r="D545" s="2">
        <f t="shared" si="33"/>
        <v>2006</v>
      </c>
      <c r="E545" s="2">
        <f t="shared" si="34"/>
        <v>3</v>
      </c>
      <c r="F545" s="3" t="s">
        <v>175</v>
      </c>
      <c r="G545" s="4">
        <v>38782</v>
      </c>
      <c r="J545" s="1" t="s">
        <v>191</v>
      </c>
      <c r="K545" s="1">
        <v>2</v>
      </c>
      <c r="L545" s="1" t="str">
        <f t="shared" si="35"/>
        <v>Vallentunasjön 2</v>
      </c>
      <c r="M545" s="1">
        <v>2</v>
      </c>
      <c r="Q545" s="1">
        <v>3</v>
      </c>
      <c r="R545" s="1">
        <v>2.8</v>
      </c>
      <c r="S545" s="1">
        <v>21</v>
      </c>
    </row>
    <row r="546" spans="4:38" x14ac:dyDescent="0.3">
      <c r="D546" s="2">
        <f t="shared" si="33"/>
        <v>2006</v>
      </c>
      <c r="E546" s="2">
        <f t="shared" si="34"/>
        <v>3</v>
      </c>
      <c r="F546" s="3" t="s">
        <v>175</v>
      </c>
      <c r="G546" s="4">
        <v>38782</v>
      </c>
      <c r="J546" s="1" t="s">
        <v>191</v>
      </c>
      <c r="K546" s="1">
        <v>2</v>
      </c>
      <c r="L546" s="1" t="str">
        <f t="shared" si="35"/>
        <v>Vallentunasjön 2</v>
      </c>
      <c r="M546" s="1">
        <v>1</v>
      </c>
      <c r="Q546" s="1">
        <v>1.4</v>
      </c>
      <c r="R546" s="1">
        <v>9</v>
      </c>
      <c r="S546" s="1">
        <v>64</v>
      </c>
    </row>
    <row r="547" spans="4:38" x14ac:dyDescent="0.3">
      <c r="D547" s="2">
        <f t="shared" si="33"/>
        <v>2006</v>
      </c>
      <c r="E547" s="2">
        <f t="shared" si="34"/>
        <v>3</v>
      </c>
      <c r="F547" s="3" t="s">
        <v>175</v>
      </c>
      <c r="G547" s="4">
        <v>38782</v>
      </c>
      <c r="J547" s="1" t="s">
        <v>193</v>
      </c>
      <c r="K547" s="1"/>
      <c r="L547" s="1" t="str">
        <f t="shared" si="35"/>
        <v xml:space="preserve">Översjön </v>
      </c>
      <c r="M547" s="1" t="s">
        <v>177</v>
      </c>
      <c r="Q547" s="1">
        <v>0.4</v>
      </c>
      <c r="R547" s="1">
        <v>11.3</v>
      </c>
      <c r="S547" s="1">
        <v>79</v>
      </c>
      <c r="W547" s="1">
        <v>117</v>
      </c>
      <c r="Z547" s="1">
        <v>4</v>
      </c>
      <c r="AD547" s="1">
        <v>155</v>
      </c>
      <c r="AK547" s="1">
        <v>160</v>
      </c>
      <c r="AL547" s="1">
        <v>887</v>
      </c>
    </row>
    <row r="548" spans="4:38" x14ac:dyDescent="0.3">
      <c r="D548" s="2">
        <f t="shared" si="33"/>
        <v>2006</v>
      </c>
      <c r="E548" s="2">
        <f t="shared" si="34"/>
        <v>3</v>
      </c>
      <c r="F548" s="3" t="s">
        <v>175</v>
      </c>
      <c r="G548" s="4">
        <v>38782</v>
      </c>
      <c r="J548" s="1" t="s">
        <v>193</v>
      </c>
      <c r="K548" s="1"/>
      <c r="L548" s="1" t="str">
        <f t="shared" si="35"/>
        <v xml:space="preserve">Översjön </v>
      </c>
      <c r="M548" s="1" t="s">
        <v>184</v>
      </c>
      <c r="Q548" s="1">
        <v>4.3</v>
      </c>
      <c r="R548" s="1">
        <v>0.9</v>
      </c>
      <c r="S548" s="1">
        <v>7.1</v>
      </c>
      <c r="W548" s="1">
        <v>166</v>
      </c>
      <c r="Z548" s="1">
        <v>4</v>
      </c>
      <c r="AD548" s="1">
        <v>209</v>
      </c>
      <c r="AK548" s="1">
        <v>21</v>
      </c>
      <c r="AL548" s="1">
        <v>967</v>
      </c>
    </row>
    <row r="549" spans="4:38" x14ac:dyDescent="0.3">
      <c r="D549" s="2">
        <f t="shared" si="33"/>
        <v>2006</v>
      </c>
      <c r="E549" s="2">
        <f t="shared" si="34"/>
        <v>3</v>
      </c>
      <c r="F549" s="3" t="s">
        <v>175</v>
      </c>
      <c r="G549" s="4">
        <v>38782</v>
      </c>
      <c r="J549" s="1" t="s">
        <v>193</v>
      </c>
      <c r="K549" s="1"/>
      <c r="L549" s="1" t="str">
        <f t="shared" si="35"/>
        <v xml:space="preserve">Översjön </v>
      </c>
      <c r="M549" s="1">
        <v>2</v>
      </c>
      <c r="Q549" s="1">
        <v>3.4</v>
      </c>
      <c r="R549" s="1">
        <v>2.4</v>
      </c>
      <c r="S549" s="1">
        <v>19</v>
      </c>
    </row>
    <row r="550" spans="4:38" x14ac:dyDescent="0.3">
      <c r="D550" s="2">
        <f t="shared" si="33"/>
        <v>2006</v>
      </c>
      <c r="E550" s="2">
        <f t="shared" si="34"/>
        <v>3</v>
      </c>
      <c r="F550" s="3" t="s">
        <v>175</v>
      </c>
      <c r="G550" s="4">
        <v>38782</v>
      </c>
      <c r="J550" s="1" t="s">
        <v>193</v>
      </c>
      <c r="K550" s="1"/>
      <c r="L550" s="1" t="str">
        <f t="shared" si="35"/>
        <v xml:space="preserve">Översjön </v>
      </c>
      <c r="M550" s="1">
        <v>1</v>
      </c>
      <c r="Q550" s="1">
        <v>1.3</v>
      </c>
      <c r="R550" s="1">
        <v>10.1</v>
      </c>
      <c r="S550" s="1">
        <v>72</v>
      </c>
    </row>
    <row r="551" spans="4:38" x14ac:dyDescent="0.3">
      <c r="D551" s="2">
        <f t="shared" si="33"/>
        <v>2006</v>
      </c>
      <c r="E551" s="2">
        <f t="shared" si="34"/>
        <v>3</v>
      </c>
      <c r="F551" s="3" t="s">
        <v>175</v>
      </c>
      <c r="G551" s="4">
        <v>38784</v>
      </c>
      <c r="J551" s="1" t="s">
        <v>183</v>
      </c>
      <c r="K551" s="1"/>
      <c r="L551" s="1" t="str">
        <f t="shared" si="35"/>
        <v xml:space="preserve">Fjäturen </v>
      </c>
      <c r="M551" s="1" t="s">
        <v>177</v>
      </c>
      <c r="Q551" s="1">
        <v>0.3</v>
      </c>
      <c r="R551" s="1">
        <v>8.9</v>
      </c>
      <c r="S551" s="1">
        <v>62</v>
      </c>
      <c r="W551" s="1">
        <v>3</v>
      </c>
      <c r="Z551" s="1">
        <v>5</v>
      </c>
      <c r="AD551" s="1">
        <v>346</v>
      </c>
      <c r="AK551" s="1">
        <v>25</v>
      </c>
      <c r="AL551" s="1">
        <v>1285</v>
      </c>
    </row>
    <row r="552" spans="4:38" x14ac:dyDescent="0.3">
      <c r="D552" s="2">
        <f t="shared" si="33"/>
        <v>2006</v>
      </c>
      <c r="E552" s="2">
        <f t="shared" si="34"/>
        <v>3</v>
      </c>
      <c r="F552" s="3" t="s">
        <v>175</v>
      </c>
      <c r="G552" s="4">
        <v>38784</v>
      </c>
      <c r="J552" s="1" t="s">
        <v>183</v>
      </c>
      <c r="K552" s="1"/>
      <c r="L552" s="1" t="str">
        <f t="shared" si="35"/>
        <v xml:space="preserve">Fjäturen </v>
      </c>
      <c r="M552" s="1" t="s">
        <v>184</v>
      </c>
      <c r="Q552" s="1">
        <v>4</v>
      </c>
      <c r="R552" s="1">
        <v>1.1000000000000001</v>
      </c>
      <c r="S552" s="1">
        <v>8.5</v>
      </c>
      <c r="W552" s="1">
        <v>88</v>
      </c>
      <c r="Z552" s="1">
        <v>14</v>
      </c>
      <c r="AD552" s="1">
        <v>350</v>
      </c>
      <c r="AF552" s="1">
        <v>2.5000000000000001E-2</v>
      </c>
      <c r="AK552" s="1">
        <v>40</v>
      </c>
      <c r="AL552" s="1">
        <v>1518</v>
      </c>
    </row>
    <row r="553" spans="4:38" x14ac:dyDescent="0.3">
      <c r="D553" s="2">
        <f t="shared" si="33"/>
        <v>2006</v>
      </c>
      <c r="E553" s="2">
        <f t="shared" si="34"/>
        <v>3</v>
      </c>
      <c r="F553" s="3" t="s">
        <v>175</v>
      </c>
      <c r="G553" s="4">
        <v>38784</v>
      </c>
      <c r="J553" s="1" t="s">
        <v>183</v>
      </c>
      <c r="K553" s="1"/>
      <c r="L553" s="1" t="str">
        <f t="shared" si="35"/>
        <v xml:space="preserve">Fjäturen </v>
      </c>
      <c r="M553" s="1">
        <v>7</v>
      </c>
      <c r="Q553" s="1">
        <v>3.8</v>
      </c>
      <c r="R553" s="1">
        <v>1.9</v>
      </c>
      <c r="S553" s="1">
        <v>14</v>
      </c>
    </row>
    <row r="554" spans="4:38" x14ac:dyDescent="0.3">
      <c r="D554" s="2">
        <f t="shared" si="33"/>
        <v>2006</v>
      </c>
      <c r="E554" s="2">
        <f t="shared" si="34"/>
        <v>3</v>
      </c>
      <c r="F554" s="3" t="s">
        <v>175</v>
      </c>
      <c r="G554" s="4">
        <v>38784</v>
      </c>
      <c r="J554" s="1" t="s">
        <v>183</v>
      </c>
      <c r="K554" s="1"/>
      <c r="L554" s="1" t="str">
        <f t="shared" si="35"/>
        <v xml:space="preserve">Fjäturen </v>
      </c>
      <c r="M554" s="1">
        <v>6</v>
      </c>
      <c r="Q554" s="1">
        <v>3.7</v>
      </c>
      <c r="R554" s="1">
        <v>1.5</v>
      </c>
      <c r="S554" s="1">
        <v>12</v>
      </c>
    </row>
    <row r="555" spans="4:38" x14ac:dyDescent="0.3">
      <c r="D555" s="2">
        <f t="shared" si="33"/>
        <v>2006</v>
      </c>
      <c r="E555" s="2">
        <f t="shared" si="34"/>
        <v>3</v>
      </c>
      <c r="F555" s="3" t="s">
        <v>175</v>
      </c>
      <c r="G555" s="4">
        <v>38784</v>
      </c>
      <c r="J555" s="1" t="s">
        <v>183</v>
      </c>
      <c r="K555" s="1"/>
      <c r="L555" s="1" t="str">
        <f t="shared" si="35"/>
        <v xml:space="preserve">Fjäturen </v>
      </c>
      <c r="M555" s="1">
        <v>5</v>
      </c>
      <c r="Q555" s="1">
        <v>3.6</v>
      </c>
      <c r="R555" s="1">
        <v>3.1</v>
      </c>
      <c r="S555" s="1">
        <v>23</v>
      </c>
    </row>
    <row r="556" spans="4:38" x14ac:dyDescent="0.3">
      <c r="D556" s="2">
        <f t="shared" si="33"/>
        <v>2006</v>
      </c>
      <c r="E556" s="2">
        <f t="shared" si="34"/>
        <v>3</v>
      </c>
      <c r="F556" s="3" t="s">
        <v>175</v>
      </c>
      <c r="G556" s="4">
        <v>38784</v>
      </c>
      <c r="J556" s="1" t="s">
        <v>183</v>
      </c>
      <c r="K556" s="1"/>
      <c r="L556" s="1" t="str">
        <f t="shared" si="35"/>
        <v xml:space="preserve">Fjäturen </v>
      </c>
      <c r="M556" s="1">
        <v>4</v>
      </c>
      <c r="Q556" s="1">
        <v>3.3</v>
      </c>
      <c r="R556" s="1">
        <v>3.7</v>
      </c>
      <c r="S556" s="1">
        <v>27</v>
      </c>
    </row>
    <row r="557" spans="4:38" x14ac:dyDescent="0.3">
      <c r="D557" s="2">
        <f t="shared" si="33"/>
        <v>2006</v>
      </c>
      <c r="E557" s="2">
        <f t="shared" si="34"/>
        <v>3</v>
      </c>
      <c r="F557" s="3" t="s">
        <v>175</v>
      </c>
      <c r="G557" s="4">
        <v>38784</v>
      </c>
      <c r="J557" s="1" t="s">
        <v>183</v>
      </c>
      <c r="K557" s="1"/>
      <c r="L557" s="1" t="str">
        <f t="shared" si="35"/>
        <v xml:space="preserve">Fjäturen </v>
      </c>
      <c r="M557" s="1">
        <v>3</v>
      </c>
      <c r="Q557" s="1">
        <v>3</v>
      </c>
      <c r="R557" s="1">
        <v>6.1</v>
      </c>
      <c r="S557" s="1">
        <v>45</v>
      </c>
    </row>
    <row r="558" spans="4:38" x14ac:dyDescent="0.3">
      <c r="D558" s="2">
        <f t="shared" si="33"/>
        <v>2006</v>
      </c>
      <c r="E558" s="2">
        <f t="shared" si="34"/>
        <v>3</v>
      </c>
      <c r="F558" s="3" t="s">
        <v>175</v>
      </c>
      <c r="G558" s="4">
        <v>38784</v>
      </c>
      <c r="J558" s="1" t="s">
        <v>183</v>
      </c>
      <c r="K558" s="1"/>
      <c r="L558" s="1" t="str">
        <f t="shared" si="35"/>
        <v xml:space="preserve">Fjäturen </v>
      </c>
      <c r="M558" s="1">
        <v>2</v>
      </c>
      <c r="Q558" s="1">
        <v>2.4</v>
      </c>
      <c r="R558" s="1">
        <v>7.9</v>
      </c>
      <c r="S558" s="1">
        <v>57</v>
      </c>
    </row>
    <row r="559" spans="4:38" x14ac:dyDescent="0.3">
      <c r="D559" s="2">
        <f t="shared" si="33"/>
        <v>2006</v>
      </c>
      <c r="E559" s="2">
        <f t="shared" si="34"/>
        <v>3</v>
      </c>
      <c r="F559" s="3" t="s">
        <v>175</v>
      </c>
      <c r="G559" s="4">
        <v>38784</v>
      </c>
      <c r="J559" s="1" t="s">
        <v>183</v>
      </c>
      <c r="K559" s="1"/>
      <c r="L559" s="1" t="str">
        <f t="shared" si="35"/>
        <v xml:space="preserve">Fjäturen </v>
      </c>
      <c r="M559" s="1">
        <v>1</v>
      </c>
      <c r="Q559" s="1">
        <v>1.2</v>
      </c>
      <c r="R559" s="1">
        <v>8.6</v>
      </c>
      <c r="S559" s="1">
        <v>61</v>
      </c>
    </row>
    <row r="560" spans="4:38" x14ac:dyDescent="0.3">
      <c r="D560" s="2">
        <f t="shared" si="33"/>
        <v>2006</v>
      </c>
      <c r="E560" s="2">
        <f t="shared" si="34"/>
        <v>3</v>
      </c>
      <c r="F560" s="3" t="s">
        <v>175</v>
      </c>
      <c r="G560" s="4">
        <v>38784</v>
      </c>
      <c r="J560" s="1" t="s">
        <v>186</v>
      </c>
      <c r="K560" s="1">
        <v>2</v>
      </c>
      <c r="L560" s="1" t="str">
        <f t="shared" si="35"/>
        <v>Norrviken 2</v>
      </c>
      <c r="M560" s="1" t="s">
        <v>177</v>
      </c>
      <c r="Q560" s="1">
        <v>0.4</v>
      </c>
      <c r="R560" s="1">
        <v>9.6999999999999993</v>
      </c>
      <c r="S560" s="1">
        <v>68</v>
      </c>
      <c r="W560" s="1">
        <v>7</v>
      </c>
      <c r="Z560" s="1">
        <v>95</v>
      </c>
      <c r="AD560" s="1">
        <v>635</v>
      </c>
      <c r="AK560" s="1">
        <v>123</v>
      </c>
      <c r="AL560" s="1">
        <v>904</v>
      </c>
    </row>
    <row r="561" spans="4:38" x14ac:dyDescent="0.3">
      <c r="D561" s="2">
        <f t="shared" si="33"/>
        <v>2006</v>
      </c>
      <c r="E561" s="2">
        <f t="shared" si="34"/>
        <v>3</v>
      </c>
      <c r="F561" s="3" t="s">
        <v>175</v>
      </c>
      <c r="G561" s="4">
        <v>38784</v>
      </c>
      <c r="J561" s="1" t="s">
        <v>186</v>
      </c>
      <c r="K561" s="1">
        <v>3</v>
      </c>
      <c r="L561" s="1" t="str">
        <f t="shared" si="35"/>
        <v>Norrviken 3</v>
      </c>
      <c r="M561" s="1" t="s">
        <v>177</v>
      </c>
      <c r="Q561" s="1">
        <v>0.4</v>
      </c>
      <c r="R561" s="1">
        <v>9.1999999999999993</v>
      </c>
      <c r="S561" s="1">
        <v>64</v>
      </c>
      <c r="W561" s="1">
        <v>6</v>
      </c>
      <c r="Z561" s="1">
        <v>91</v>
      </c>
      <c r="AD561" s="1">
        <v>620</v>
      </c>
      <c r="AK561" s="1">
        <v>130</v>
      </c>
      <c r="AL561" s="1">
        <v>1277</v>
      </c>
    </row>
    <row r="562" spans="4:38" x14ac:dyDescent="0.3">
      <c r="D562" s="2">
        <f t="shared" si="33"/>
        <v>2006</v>
      </c>
      <c r="E562" s="2">
        <f t="shared" si="34"/>
        <v>3</v>
      </c>
      <c r="F562" s="3" t="s">
        <v>175</v>
      </c>
      <c r="G562" s="4">
        <v>38784</v>
      </c>
      <c r="J562" s="1" t="s">
        <v>186</v>
      </c>
      <c r="K562" s="1">
        <v>1</v>
      </c>
      <c r="L562" s="1" t="str">
        <f t="shared" si="35"/>
        <v>Norrviken 1</v>
      </c>
      <c r="M562" s="1" t="s">
        <v>177</v>
      </c>
      <c r="Q562" s="1">
        <v>0.3</v>
      </c>
      <c r="R562" s="1">
        <v>9.6999999999999993</v>
      </c>
      <c r="S562" s="1">
        <v>70</v>
      </c>
      <c r="W562" s="1">
        <v>1591</v>
      </c>
      <c r="Z562" s="1">
        <v>11</v>
      </c>
      <c r="AD562" s="1">
        <v>604</v>
      </c>
      <c r="AK562" s="1">
        <v>41</v>
      </c>
      <c r="AL562" s="1">
        <v>2840</v>
      </c>
    </row>
    <row r="563" spans="4:38" x14ac:dyDescent="0.3">
      <c r="D563" s="2">
        <f t="shared" si="33"/>
        <v>2006</v>
      </c>
      <c r="E563" s="2">
        <f t="shared" si="34"/>
        <v>3</v>
      </c>
      <c r="F563" s="3" t="s">
        <v>175</v>
      </c>
      <c r="G563" s="4">
        <v>38784</v>
      </c>
      <c r="J563" s="1" t="s">
        <v>186</v>
      </c>
      <c r="K563" s="1">
        <v>4</v>
      </c>
      <c r="L563" s="1" t="str">
        <f t="shared" si="35"/>
        <v>Norrviken 4</v>
      </c>
      <c r="M563" s="1" t="s">
        <v>177</v>
      </c>
      <c r="Q563" s="1">
        <v>0.6</v>
      </c>
      <c r="R563" s="1">
        <v>9.8000000000000007</v>
      </c>
      <c r="S563" s="1">
        <v>69</v>
      </c>
      <c r="W563" s="1">
        <v>10</v>
      </c>
      <c r="Z563" s="1">
        <v>86</v>
      </c>
      <c r="AD563" s="1">
        <v>681</v>
      </c>
      <c r="AK563" s="1">
        <v>109</v>
      </c>
      <c r="AL563" s="1">
        <v>1319</v>
      </c>
    </row>
    <row r="564" spans="4:38" x14ac:dyDescent="0.3">
      <c r="D564" s="2">
        <f t="shared" si="33"/>
        <v>2006</v>
      </c>
      <c r="E564" s="2">
        <f t="shared" si="34"/>
        <v>3</v>
      </c>
      <c r="F564" s="3" t="s">
        <v>175</v>
      </c>
      <c r="G564" s="4">
        <v>38784</v>
      </c>
      <c r="J564" s="1" t="s">
        <v>186</v>
      </c>
      <c r="K564" s="1">
        <v>2</v>
      </c>
      <c r="L564" s="1" t="str">
        <f t="shared" si="35"/>
        <v>Norrviken 2</v>
      </c>
      <c r="M564" s="1" t="s">
        <v>184</v>
      </c>
      <c r="Q564" s="1">
        <v>3.3</v>
      </c>
      <c r="R564" s="1">
        <v>2.4</v>
      </c>
      <c r="S564" s="1">
        <v>18</v>
      </c>
      <c r="W564" s="1">
        <v>106</v>
      </c>
      <c r="Z564" s="1">
        <v>62</v>
      </c>
      <c r="AD564" s="1">
        <v>751</v>
      </c>
      <c r="AK564" s="1">
        <v>83</v>
      </c>
      <c r="AL564" s="1">
        <v>978</v>
      </c>
    </row>
    <row r="565" spans="4:38" x14ac:dyDescent="0.3">
      <c r="D565" s="2">
        <f t="shared" si="33"/>
        <v>2006</v>
      </c>
      <c r="E565" s="2">
        <f t="shared" si="34"/>
        <v>3</v>
      </c>
      <c r="F565" s="3" t="s">
        <v>175</v>
      </c>
      <c r="G565" s="4">
        <v>38784</v>
      </c>
      <c r="J565" s="1" t="s">
        <v>186</v>
      </c>
      <c r="K565" s="1">
        <v>3</v>
      </c>
      <c r="L565" s="1" t="str">
        <f t="shared" si="35"/>
        <v>Norrviken 3</v>
      </c>
      <c r="M565" s="1" t="s">
        <v>184</v>
      </c>
      <c r="Q565" s="1">
        <v>4.4000000000000004</v>
      </c>
      <c r="R565" s="1">
        <v>0</v>
      </c>
      <c r="S565" s="1">
        <v>0</v>
      </c>
      <c r="W565" s="1">
        <v>568</v>
      </c>
      <c r="Z565" s="1">
        <v>203</v>
      </c>
      <c r="AD565" s="1">
        <v>487</v>
      </c>
      <c r="AF565" s="1">
        <v>2.5000000000000001E-2</v>
      </c>
      <c r="AK565" s="1">
        <v>250</v>
      </c>
      <c r="AL565" s="1">
        <v>1794</v>
      </c>
    </row>
    <row r="566" spans="4:38" x14ac:dyDescent="0.3">
      <c r="D566" s="2">
        <f t="shared" si="33"/>
        <v>2006</v>
      </c>
      <c r="E566" s="2">
        <f t="shared" si="34"/>
        <v>3</v>
      </c>
      <c r="F566" s="3" t="s">
        <v>175</v>
      </c>
      <c r="G566" s="4">
        <v>38784</v>
      </c>
      <c r="J566" s="1" t="s">
        <v>186</v>
      </c>
      <c r="K566" s="1">
        <v>1</v>
      </c>
      <c r="L566" s="1" t="str">
        <f t="shared" si="35"/>
        <v>Norrviken 1</v>
      </c>
      <c r="M566" s="1" t="s">
        <v>184</v>
      </c>
      <c r="Q566" s="1">
        <v>2.4</v>
      </c>
      <c r="R566" s="1">
        <v>2.7</v>
      </c>
      <c r="S566" s="1">
        <v>20</v>
      </c>
      <c r="W566" s="1">
        <v>1042</v>
      </c>
      <c r="Z566" s="1">
        <v>25</v>
      </c>
      <c r="AD566" s="1">
        <v>759</v>
      </c>
      <c r="AK566" s="1">
        <v>61</v>
      </c>
      <c r="AL566" s="1">
        <v>2391</v>
      </c>
    </row>
    <row r="567" spans="4:38" x14ac:dyDescent="0.3">
      <c r="D567" s="2">
        <f t="shared" si="33"/>
        <v>2006</v>
      </c>
      <c r="E567" s="2">
        <f t="shared" si="34"/>
        <v>3</v>
      </c>
      <c r="F567" s="3" t="s">
        <v>175</v>
      </c>
      <c r="G567" s="4">
        <v>38784</v>
      </c>
      <c r="J567" s="1" t="s">
        <v>186</v>
      </c>
      <c r="K567" s="1">
        <v>4</v>
      </c>
      <c r="L567" s="1" t="str">
        <f t="shared" si="35"/>
        <v>Norrviken 4</v>
      </c>
      <c r="M567" s="1" t="s">
        <v>184</v>
      </c>
      <c r="Q567" s="1">
        <v>2.4</v>
      </c>
      <c r="R567" s="1">
        <v>9.3000000000000007</v>
      </c>
      <c r="S567" s="1">
        <v>68</v>
      </c>
      <c r="W567" s="1">
        <v>10</v>
      </c>
      <c r="Z567" s="1">
        <v>90</v>
      </c>
      <c r="AD567" s="1">
        <v>700</v>
      </c>
      <c r="AK567" s="1">
        <v>106</v>
      </c>
      <c r="AL567" s="1">
        <v>1267</v>
      </c>
    </row>
    <row r="568" spans="4:38" x14ac:dyDescent="0.3">
      <c r="D568" s="2">
        <f t="shared" si="33"/>
        <v>2006</v>
      </c>
      <c r="E568" s="2">
        <f t="shared" si="34"/>
        <v>3</v>
      </c>
      <c r="F568" s="3" t="s">
        <v>175</v>
      </c>
      <c r="G568" s="4">
        <v>38784</v>
      </c>
      <c r="J568" s="1" t="s">
        <v>186</v>
      </c>
      <c r="K568" s="1">
        <v>3</v>
      </c>
      <c r="L568" s="1" t="str">
        <f t="shared" si="35"/>
        <v>Norrviken 3</v>
      </c>
      <c r="M568" s="1">
        <v>10</v>
      </c>
      <c r="Q568" s="1">
        <v>3.7</v>
      </c>
      <c r="R568" s="1">
        <v>0.2</v>
      </c>
      <c r="S568" s="1">
        <v>1.3</v>
      </c>
    </row>
    <row r="569" spans="4:38" x14ac:dyDescent="0.3">
      <c r="D569" s="2">
        <f t="shared" si="33"/>
        <v>2006</v>
      </c>
      <c r="E569" s="2">
        <f t="shared" si="34"/>
        <v>3</v>
      </c>
      <c r="F569" s="3" t="s">
        <v>175</v>
      </c>
      <c r="G569" s="4">
        <v>38784</v>
      </c>
      <c r="J569" s="1" t="s">
        <v>186</v>
      </c>
      <c r="K569" s="1">
        <v>3</v>
      </c>
      <c r="L569" s="1" t="str">
        <f t="shared" si="35"/>
        <v>Norrviken 3</v>
      </c>
      <c r="M569" s="1">
        <v>9</v>
      </c>
      <c r="Q569" s="1">
        <v>3.5</v>
      </c>
      <c r="R569" s="1">
        <v>1.3</v>
      </c>
      <c r="S569" s="1">
        <v>9.6999999999999993</v>
      </c>
    </row>
    <row r="570" spans="4:38" x14ac:dyDescent="0.3">
      <c r="D570" s="2">
        <f t="shared" si="33"/>
        <v>2006</v>
      </c>
      <c r="E570" s="2">
        <f t="shared" si="34"/>
        <v>3</v>
      </c>
      <c r="F570" s="3" t="s">
        <v>175</v>
      </c>
      <c r="G570" s="4">
        <v>38784</v>
      </c>
      <c r="J570" s="1" t="s">
        <v>186</v>
      </c>
      <c r="K570" s="1">
        <v>3</v>
      </c>
      <c r="L570" s="1" t="str">
        <f t="shared" si="35"/>
        <v>Norrviken 3</v>
      </c>
      <c r="M570" s="1">
        <v>8</v>
      </c>
      <c r="Q570" s="1">
        <v>3.5</v>
      </c>
      <c r="R570" s="1">
        <v>0.8</v>
      </c>
      <c r="S570" s="1">
        <v>5.8</v>
      </c>
    </row>
    <row r="571" spans="4:38" x14ac:dyDescent="0.3">
      <c r="D571" s="2">
        <f t="shared" si="33"/>
        <v>2006</v>
      </c>
      <c r="E571" s="2">
        <f t="shared" si="34"/>
        <v>3</v>
      </c>
      <c r="F571" s="3" t="s">
        <v>175</v>
      </c>
      <c r="G571" s="4">
        <v>38784</v>
      </c>
      <c r="J571" s="1" t="s">
        <v>186</v>
      </c>
      <c r="K571" s="1">
        <v>2</v>
      </c>
      <c r="L571" s="1" t="str">
        <f t="shared" si="35"/>
        <v>Norrviken 2</v>
      </c>
      <c r="M571" s="1">
        <v>7</v>
      </c>
      <c r="Q571" s="1">
        <v>3.2</v>
      </c>
      <c r="R571" s="1">
        <v>4.2</v>
      </c>
      <c r="S571" s="1">
        <v>32</v>
      </c>
    </row>
    <row r="572" spans="4:38" x14ac:dyDescent="0.3">
      <c r="D572" s="2">
        <f t="shared" si="33"/>
        <v>2006</v>
      </c>
      <c r="E572" s="2">
        <f t="shared" si="34"/>
        <v>3</v>
      </c>
      <c r="F572" s="3" t="s">
        <v>175</v>
      </c>
      <c r="G572" s="4">
        <v>38784</v>
      </c>
      <c r="J572" s="1" t="s">
        <v>186</v>
      </c>
      <c r="K572" s="1">
        <v>3</v>
      </c>
      <c r="L572" s="1" t="str">
        <f t="shared" si="35"/>
        <v>Norrviken 3</v>
      </c>
      <c r="M572" s="1">
        <v>7</v>
      </c>
      <c r="Q572" s="1">
        <v>3.3</v>
      </c>
      <c r="R572" s="1">
        <v>3.5</v>
      </c>
      <c r="S572" s="1">
        <v>26</v>
      </c>
    </row>
    <row r="573" spans="4:38" x14ac:dyDescent="0.3">
      <c r="D573" s="2">
        <f t="shared" si="33"/>
        <v>2006</v>
      </c>
      <c r="E573" s="2">
        <f t="shared" si="34"/>
        <v>3</v>
      </c>
      <c r="F573" s="3" t="s">
        <v>175</v>
      </c>
      <c r="G573" s="4">
        <v>38784</v>
      </c>
      <c r="J573" s="1" t="s">
        <v>186</v>
      </c>
      <c r="K573" s="1">
        <v>2</v>
      </c>
      <c r="L573" s="1" t="str">
        <f t="shared" si="35"/>
        <v>Norrviken 2</v>
      </c>
      <c r="M573" s="1">
        <v>6</v>
      </c>
      <c r="Q573" s="1">
        <v>3.1</v>
      </c>
      <c r="R573" s="1">
        <v>8.3000000000000007</v>
      </c>
      <c r="S573" s="1">
        <v>62</v>
      </c>
    </row>
    <row r="574" spans="4:38" x14ac:dyDescent="0.3">
      <c r="D574" s="2">
        <f t="shared" si="33"/>
        <v>2006</v>
      </c>
      <c r="E574" s="2">
        <f t="shared" si="34"/>
        <v>3</v>
      </c>
      <c r="F574" s="3" t="s">
        <v>175</v>
      </c>
      <c r="G574" s="4">
        <v>38784</v>
      </c>
      <c r="J574" s="1" t="s">
        <v>186</v>
      </c>
      <c r="K574" s="1">
        <v>3</v>
      </c>
      <c r="L574" s="1" t="str">
        <f t="shared" si="35"/>
        <v>Norrviken 3</v>
      </c>
      <c r="M574" s="1">
        <v>6</v>
      </c>
      <c r="Q574" s="1">
        <v>3.2</v>
      </c>
      <c r="R574" s="1">
        <v>5</v>
      </c>
      <c r="S574" s="1">
        <v>37</v>
      </c>
    </row>
    <row r="575" spans="4:38" x14ac:dyDescent="0.3">
      <c r="D575" s="2">
        <f t="shared" si="33"/>
        <v>2006</v>
      </c>
      <c r="E575" s="2">
        <f t="shared" si="34"/>
        <v>3</v>
      </c>
      <c r="F575" s="3" t="s">
        <v>175</v>
      </c>
      <c r="G575" s="4">
        <v>38784</v>
      </c>
      <c r="J575" s="1" t="s">
        <v>186</v>
      </c>
      <c r="K575" s="1">
        <v>2</v>
      </c>
      <c r="L575" s="1" t="str">
        <f t="shared" si="35"/>
        <v>Norrviken 2</v>
      </c>
      <c r="M575" s="1">
        <v>5</v>
      </c>
      <c r="Q575" s="1">
        <v>2.8</v>
      </c>
      <c r="R575" s="1">
        <v>8.8000000000000007</v>
      </c>
      <c r="S575" s="1">
        <v>65</v>
      </c>
    </row>
    <row r="576" spans="4:38" x14ac:dyDescent="0.3">
      <c r="D576" s="2">
        <f t="shared" si="33"/>
        <v>2006</v>
      </c>
      <c r="E576" s="2">
        <f t="shared" si="34"/>
        <v>3</v>
      </c>
      <c r="F576" s="3" t="s">
        <v>175</v>
      </c>
      <c r="G576" s="4">
        <v>38784</v>
      </c>
      <c r="J576" s="1" t="s">
        <v>186</v>
      </c>
      <c r="K576" s="1">
        <v>3</v>
      </c>
      <c r="L576" s="1" t="str">
        <f t="shared" si="35"/>
        <v>Norrviken 3</v>
      </c>
      <c r="M576" s="1">
        <v>5</v>
      </c>
      <c r="Q576" s="1">
        <v>3.1</v>
      </c>
      <c r="R576" s="1">
        <v>6.9</v>
      </c>
      <c r="S576" s="1">
        <v>51</v>
      </c>
    </row>
    <row r="577" spans="4:38" x14ac:dyDescent="0.3">
      <c r="D577" s="2">
        <f t="shared" si="33"/>
        <v>2006</v>
      </c>
      <c r="E577" s="2">
        <f t="shared" si="34"/>
        <v>3</v>
      </c>
      <c r="F577" s="3" t="s">
        <v>175</v>
      </c>
      <c r="G577" s="4">
        <v>38784</v>
      </c>
      <c r="J577" s="1" t="s">
        <v>186</v>
      </c>
      <c r="K577" s="1">
        <v>2</v>
      </c>
      <c r="L577" s="1" t="str">
        <f t="shared" si="35"/>
        <v>Norrviken 2</v>
      </c>
      <c r="M577" s="1">
        <v>4</v>
      </c>
      <c r="Q577" s="1">
        <v>2.8</v>
      </c>
      <c r="R577" s="1">
        <v>8.8000000000000007</v>
      </c>
      <c r="S577" s="1">
        <v>65</v>
      </c>
    </row>
    <row r="578" spans="4:38" x14ac:dyDescent="0.3">
      <c r="D578" s="2">
        <f t="shared" ref="D578:D641" si="36">YEAR(G578)</f>
        <v>2006</v>
      </c>
      <c r="E578" s="2">
        <f t="shared" ref="E578:E641" si="37">MONTH(G578)</f>
        <v>3</v>
      </c>
      <c r="F578" s="3" t="s">
        <v>175</v>
      </c>
      <c r="G578" s="4">
        <v>38784</v>
      </c>
      <c r="J578" s="1" t="s">
        <v>186</v>
      </c>
      <c r="K578" s="1">
        <v>3</v>
      </c>
      <c r="L578" s="1" t="str">
        <f t="shared" ref="L578:L641" si="38">CONCATENATE(J578," ",K578)</f>
        <v>Norrviken 3</v>
      </c>
      <c r="M578" s="1">
        <v>4</v>
      </c>
      <c r="Q578" s="1">
        <v>3</v>
      </c>
      <c r="R578" s="1">
        <v>8.1</v>
      </c>
      <c r="S578" s="1">
        <v>60</v>
      </c>
    </row>
    <row r="579" spans="4:38" x14ac:dyDescent="0.3">
      <c r="D579" s="2">
        <f t="shared" si="36"/>
        <v>2006</v>
      </c>
      <c r="E579" s="2">
        <f t="shared" si="37"/>
        <v>3</v>
      </c>
      <c r="F579" s="3" t="s">
        <v>175</v>
      </c>
      <c r="G579" s="4">
        <v>38784</v>
      </c>
      <c r="J579" s="1" t="s">
        <v>186</v>
      </c>
      <c r="K579" s="1">
        <v>2</v>
      </c>
      <c r="L579" s="1" t="str">
        <f t="shared" si="38"/>
        <v>Norrviken 2</v>
      </c>
      <c r="M579" s="1">
        <v>3</v>
      </c>
      <c r="Q579" s="1">
        <v>2.7</v>
      </c>
      <c r="R579" s="1">
        <v>9</v>
      </c>
      <c r="S579" s="1">
        <v>67</v>
      </c>
    </row>
    <row r="580" spans="4:38" x14ac:dyDescent="0.3">
      <c r="D580" s="2">
        <f t="shared" si="36"/>
        <v>2006</v>
      </c>
      <c r="E580" s="2">
        <f t="shared" si="37"/>
        <v>3</v>
      </c>
      <c r="F580" s="3" t="s">
        <v>175</v>
      </c>
      <c r="G580" s="4">
        <v>38784</v>
      </c>
      <c r="J580" s="1" t="s">
        <v>186</v>
      </c>
      <c r="K580" s="1">
        <v>3</v>
      </c>
      <c r="L580" s="1" t="str">
        <f t="shared" si="38"/>
        <v>Norrviken 3</v>
      </c>
      <c r="M580" s="1">
        <v>3</v>
      </c>
      <c r="Q580" s="1">
        <v>3</v>
      </c>
      <c r="R580" s="1">
        <v>8.1999999999999993</v>
      </c>
      <c r="S580" s="1">
        <v>61</v>
      </c>
    </row>
    <row r="581" spans="4:38" x14ac:dyDescent="0.3">
      <c r="D581" s="2">
        <f t="shared" si="36"/>
        <v>2006</v>
      </c>
      <c r="E581" s="2">
        <f t="shared" si="37"/>
        <v>3</v>
      </c>
      <c r="F581" s="3" t="s">
        <v>175</v>
      </c>
      <c r="G581" s="4">
        <v>38784</v>
      </c>
      <c r="J581" s="1" t="s">
        <v>186</v>
      </c>
      <c r="K581" s="1">
        <v>2</v>
      </c>
      <c r="L581" s="1" t="str">
        <f t="shared" si="38"/>
        <v>Norrviken 2</v>
      </c>
      <c r="M581" s="1">
        <v>2</v>
      </c>
      <c r="Q581" s="1">
        <v>2.7</v>
      </c>
      <c r="R581" s="1">
        <v>9</v>
      </c>
      <c r="S581" s="1">
        <v>67</v>
      </c>
    </row>
    <row r="582" spans="4:38" x14ac:dyDescent="0.3">
      <c r="D582" s="2">
        <f t="shared" si="36"/>
        <v>2006</v>
      </c>
      <c r="E582" s="2">
        <f t="shared" si="37"/>
        <v>3</v>
      </c>
      <c r="F582" s="3" t="s">
        <v>175</v>
      </c>
      <c r="G582" s="4">
        <v>38784</v>
      </c>
      <c r="J582" s="1" t="s">
        <v>186</v>
      </c>
      <c r="K582" s="1">
        <v>3</v>
      </c>
      <c r="L582" s="1" t="str">
        <f t="shared" si="38"/>
        <v>Norrviken 3</v>
      </c>
      <c r="M582" s="1">
        <v>2</v>
      </c>
      <c r="Q582" s="1">
        <v>2.9</v>
      </c>
      <c r="R582" s="1">
        <v>7.9</v>
      </c>
      <c r="S582" s="1">
        <v>59</v>
      </c>
    </row>
    <row r="583" spans="4:38" x14ac:dyDescent="0.3">
      <c r="D583" s="2">
        <f t="shared" si="36"/>
        <v>2006</v>
      </c>
      <c r="E583" s="2">
        <f t="shared" si="37"/>
        <v>3</v>
      </c>
      <c r="F583" s="3" t="s">
        <v>175</v>
      </c>
      <c r="G583" s="4">
        <v>38784</v>
      </c>
      <c r="J583" s="1" t="s">
        <v>186</v>
      </c>
      <c r="K583" s="1">
        <v>1</v>
      </c>
      <c r="L583" s="1" t="str">
        <f t="shared" si="38"/>
        <v>Norrviken 1</v>
      </c>
      <c r="M583" s="1">
        <v>2</v>
      </c>
      <c r="Q583" s="1">
        <v>2.1</v>
      </c>
      <c r="R583" s="1">
        <v>4</v>
      </c>
      <c r="S583" s="1">
        <v>31</v>
      </c>
    </row>
    <row r="584" spans="4:38" x14ac:dyDescent="0.3">
      <c r="D584" s="2">
        <f t="shared" si="36"/>
        <v>2006</v>
      </c>
      <c r="E584" s="2">
        <f t="shared" si="37"/>
        <v>3</v>
      </c>
      <c r="F584" s="3" t="s">
        <v>175</v>
      </c>
      <c r="G584" s="4">
        <v>38784</v>
      </c>
      <c r="J584" s="1" t="s">
        <v>186</v>
      </c>
      <c r="K584" s="1">
        <v>2</v>
      </c>
      <c r="L584" s="1" t="str">
        <f t="shared" si="38"/>
        <v>Norrviken 2</v>
      </c>
      <c r="M584" s="1">
        <v>1</v>
      </c>
      <c r="Q584" s="1">
        <v>2.2000000000000002</v>
      </c>
      <c r="R584" s="1">
        <v>9.1999999999999993</v>
      </c>
      <c r="S584" s="1">
        <v>67</v>
      </c>
    </row>
    <row r="585" spans="4:38" x14ac:dyDescent="0.3">
      <c r="D585" s="2">
        <f t="shared" si="36"/>
        <v>2006</v>
      </c>
      <c r="E585" s="2">
        <f t="shared" si="37"/>
        <v>3</v>
      </c>
      <c r="F585" s="3" t="s">
        <v>175</v>
      </c>
      <c r="G585" s="4">
        <v>38784</v>
      </c>
      <c r="J585" s="1" t="s">
        <v>186</v>
      </c>
      <c r="K585" s="1">
        <v>3</v>
      </c>
      <c r="L585" s="1" t="str">
        <f t="shared" si="38"/>
        <v>Norrviken 3</v>
      </c>
      <c r="M585" s="1">
        <v>1</v>
      </c>
      <c r="Q585" s="1">
        <v>2.5</v>
      </c>
      <c r="R585" s="1">
        <v>8.6</v>
      </c>
      <c r="S585" s="1">
        <v>63</v>
      </c>
    </row>
    <row r="586" spans="4:38" x14ac:dyDescent="0.3">
      <c r="D586" s="2">
        <f t="shared" si="36"/>
        <v>2006</v>
      </c>
      <c r="E586" s="2">
        <f t="shared" si="37"/>
        <v>3</v>
      </c>
      <c r="F586" s="3" t="s">
        <v>175</v>
      </c>
      <c r="G586" s="4">
        <v>38784</v>
      </c>
      <c r="J586" s="1" t="s">
        <v>186</v>
      </c>
      <c r="K586" s="1">
        <v>1</v>
      </c>
      <c r="L586" s="1" t="str">
        <f t="shared" si="38"/>
        <v>Norrviken 1</v>
      </c>
      <c r="M586" s="1">
        <v>1</v>
      </c>
      <c r="Q586" s="1">
        <v>0.8</v>
      </c>
      <c r="R586" s="1">
        <v>9.1</v>
      </c>
      <c r="S586" s="1">
        <v>65</v>
      </c>
    </row>
    <row r="587" spans="4:38" x14ac:dyDescent="0.3">
      <c r="D587" s="2">
        <f t="shared" si="36"/>
        <v>2006</v>
      </c>
      <c r="E587" s="2">
        <f t="shared" si="37"/>
        <v>3</v>
      </c>
      <c r="F587" s="3" t="s">
        <v>175</v>
      </c>
      <c r="G587" s="4">
        <v>38784</v>
      </c>
      <c r="J587" s="1" t="s">
        <v>186</v>
      </c>
      <c r="K587" s="1">
        <v>4</v>
      </c>
      <c r="L587" s="1" t="str">
        <f t="shared" si="38"/>
        <v>Norrviken 4</v>
      </c>
      <c r="M587" s="1">
        <v>1</v>
      </c>
      <c r="Q587" s="1">
        <v>2</v>
      </c>
      <c r="R587" s="1">
        <v>9.5</v>
      </c>
      <c r="S587" s="1">
        <v>68</v>
      </c>
    </row>
    <row r="588" spans="4:38" x14ac:dyDescent="0.3">
      <c r="D588" s="2">
        <f t="shared" si="36"/>
        <v>2006</v>
      </c>
      <c r="E588" s="2">
        <f t="shared" si="37"/>
        <v>3</v>
      </c>
      <c r="F588" s="3" t="s">
        <v>175</v>
      </c>
      <c r="G588" s="4">
        <v>38784</v>
      </c>
      <c r="J588" s="1" t="s">
        <v>189</v>
      </c>
      <c r="K588" s="1"/>
      <c r="L588" s="1" t="str">
        <f t="shared" si="38"/>
        <v xml:space="preserve">Rösjön </v>
      </c>
      <c r="M588" s="1" t="s">
        <v>177</v>
      </c>
      <c r="Q588" s="1">
        <v>0.4</v>
      </c>
      <c r="R588" s="1">
        <v>9.1999999999999993</v>
      </c>
      <c r="S588" s="1">
        <v>64</v>
      </c>
      <c r="W588" s="1">
        <v>4</v>
      </c>
      <c r="Z588" s="1">
        <v>3</v>
      </c>
      <c r="AD588" s="1">
        <v>243</v>
      </c>
      <c r="AK588" s="1">
        <v>27</v>
      </c>
      <c r="AL588" s="1">
        <v>770</v>
      </c>
    </row>
    <row r="589" spans="4:38" x14ac:dyDescent="0.3">
      <c r="D589" s="2">
        <f t="shared" si="36"/>
        <v>2006</v>
      </c>
      <c r="E589" s="2">
        <f t="shared" si="37"/>
        <v>3</v>
      </c>
      <c r="F589" s="3" t="s">
        <v>175</v>
      </c>
      <c r="G589" s="4">
        <v>38784</v>
      </c>
      <c r="J589" s="1" t="s">
        <v>189</v>
      </c>
      <c r="K589" s="1"/>
      <c r="L589" s="1" t="str">
        <f t="shared" si="38"/>
        <v xml:space="preserve">Rösjön </v>
      </c>
      <c r="M589" s="1" t="s">
        <v>184</v>
      </c>
      <c r="Q589" s="1">
        <v>4.8</v>
      </c>
      <c r="R589" s="1">
        <v>0.2</v>
      </c>
      <c r="S589" s="1">
        <v>1.4</v>
      </c>
      <c r="W589" s="1">
        <v>13</v>
      </c>
      <c r="Z589" s="1">
        <v>7</v>
      </c>
      <c r="AD589" s="1">
        <v>403</v>
      </c>
      <c r="AK589" s="1">
        <v>32</v>
      </c>
      <c r="AL589" s="1">
        <v>878</v>
      </c>
    </row>
    <row r="590" spans="4:38" x14ac:dyDescent="0.3">
      <c r="D590" s="2">
        <f t="shared" si="36"/>
        <v>2006</v>
      </c>
      <c r="E590" s="2">
        <f t="shared" si="37"/>
        <v>3</v>
      </c>
      <c r="F590" s="3" t="s">
        <v>175</v>
      </c>
      <c r="G590" s="4">
        <v>38784</v>
      </c>
      <c r="J590" s="1" t="s">
        <v>189</v>
      </c>
      <c r="K590" s="1"/>
      <c r="L590" s="1" t="str">
        <f t="shared" si="38"/>
        <v xml:space="preserve">Rösjön </v>
      </c>
      <c r="M590" s="1">
        <v>5</v>
      </c>
      <c r="Q590" s="1">
        <v>4.7</v>
      </c>
      <c r="R590" s="1">
        <v>0.5</v>
      </c>
      <c r="S590" s="1">
        <v>3.9</v>
      </c>
    </row>
    <row r="591" spans="4:38" x14ac:dyDescent="0.3">
      <c r="D591" s="2">
        <f t="shared" si="36"/>
        <v>2006</v>
      </c>
      <c r="E591" s="2">
        <f t="shared" si="37"/>
        <v>3</v>
      </c>
      <c r="F591" s="3" t="s">
        <v>175</v>
      </c>
      <c r="G591" s="4">
        <v>38784</v>
      </c>
      <c r="J591" s="1" t="s">
        <v>189</v>
      </c>
      <c r="K591" s="1"/>
      <c r="L591" s="1" t="str">
        <f t="shared" si="38"/>
        <v xml:space="preserve">Rösjön </v>
      </c>
      <c r="M591" s="1">
        <v>4</v>
      </c>
      <c r="Q591" s="1">
        <v>4.0999999999999996</v>
      </c>
      <c r="R591" s="1">
        <v>1.2</v>
      </c>
      <c r="S591" s="1">
        <v>9</v>
      </c>
    </row>
    <row r="592" spans="4:38" x14ac:dyDescent="0.3">
      <c r="D592" s="2">
        <f t="shared" si="36"/>
        <v>2006</v>
      </c>
      <c r="E592" s="2">
        <f t="shared" si="37"/>
        <v>3</v>
      </c>
      <c r="F592" s="3" t="s">
        <v>175</v>
      </c>
      <c r="G592" s="4">
        <v>38784</v>
      </c>
      <c r="J592" s="1" t="s">
        <v>189</v>
      </c>
      <c r="K592" s="1"/>
      <c r="L592" s="1" t="str">
        <f t="shared" si="38"/>
        <v xml:space="preserve">Rösjön </v>
      </c>
      <c r="M592" s="1">
        <v>3</v>
      </c>
      <c r="Q592" s="1">
        <v>3</v>
      </c>
      <c r="R592" s="1">
        <v>6.5</v>
      </c>
      <c r="S592" s="1">
        <v>48</v>
      </c>
    </row>
    <row r="593" spans="4:67" x14ac:dyDescent="0.3">
      <c r="D593" s="2">
        <f t="shared" si="36"/>
        <v>2006</v>
      </c>
      <c r="E593" s="2">
        <f t="shared" si="37"/>
        <v>3</v>
      </c>
      <c r="F593" s="3" t="s">
        <v>175</v>
      </c>
      <c r="G593" s="4">
        <v>38784</v>
      </c>
      <c r="J593" s="1" t="s">
        <v>189</v>
      </c>
      <c r="K593" s="1"/>
      <c r="L593" s="1" t="str">
        <f t="shared" si="38"/>
        <v xml:space="preserve">Rösjön </v>
      </c>
      <c r="M593" s="1">
        <v>2</v>
      </c>
      <c r="Q593" s="1">
        <v>2.4</v>
      </c>
      <c r="R593" s="1">
        <v>7.9</v>
      </c>
      <c r="S593" s="1">
        <v>58</v>
      </c>
    </row>
    <row r="594" spans="4:67" x14ac:dyDescent="0.3">
      <c r="D594" s="2">
        <f t="shared" si="36"/>
        <v>2006</v>
      </c>
      <c r="E594" s="2">
        <f t="shared" si="37"/>
        <v>3</v>
      </c>
      <c r="F594" s="3" t="s">
        <v>175</v>
      </c>
      <c r="G594" s="4">
        <v>38784</v>
      </c>
      <c r="J594" s="1" t="s">
        <v>189</v>
      </c>
      <c r="K594" s="1"/>
      <c r="L594" s="1" t="str">
        <f t="shared" si="38"/>
        <v xml:space="preserve">Rösjön </v>
      </c>
      <c r="M594" s="1">
        <v>1</v>
      </c>
      <c r="Q594" s="1">
        <v>1.2</v>
      </c>
      <c r="R594" s="1">
        <v>9.1</v>
      </c>
      <c r="S594" s="1">
        <v>64</v>
      </c>
    </row>
    <row r="595" spans="4:67" x14ac:dyDescent="0.3">
      <c r="D595" s="2">
        <f t="shared" si="36"/>
        <v>2006</v>
      </c>
      <c r="E595" s="2">
        <f t="shared" si="37"/>
        <v>3</v>
      </c>
      <c r="F595" s="3" t="s">
        <v>175</v>
      </c>
      <c r="G595" s="4">
        <v>38784</v>
      </c>
      <c r="J595" s="1" t="s">
        <v>190</v>
      </c>
      <c r="K595" s="1"/>
      <c r="L595" s="1" t="str">
        <f t="shared" si="38"/>
        <v xml:space="preserve">Snuggan </v>
      </c>
      <c r="M595" s="1" t="s">
        <v>177</v>
      </c>
      <c r="Q595" s="1">
        <v>0.6</v>
      </c>
      <c r="R595" s="1">
        <v>8.6</v>
      </c>
      <c r="S595" s="1">
        <v>60</v>
      </c>
      <c r="W595" s="1">
        <v>457</v>
      </c>
      <c r="Z595" s="1">
        <v>2</v>
      </c>
      <c r="AD595" s="1">
        <v>31</v>
      </c>
      <c r="AK595" s="1">
        <v>43</v>
      </c>
      <c r="AL595" s="1">
        <v>1462</v>
      </c>
    </row>
    <row r="596" spans="4:67" x14ac:dyDescent="0.3">
      <c r="D596" s="2">
        <f t="shared" si="36"/>
        <v>2006</v>
      </c>
      <c r="E596" s="2">
        <f t="shared" si="37"/>
        <v>3</v>
      </c>
      <c r="F596" s="3" t="s">
        <v>175</v>
      </c>
      <c r="G596" s="4">
        <v>38784</v>
      </c>
      <c r="J596" s="1" t="s">
        <v>190</v>
      </c>
      <c r="K596" s="1"/>
      <c r="L596" s="1" t="str">
        <f t="shared" si="38"/>
        <v xml:space="preserve">Snuggan </v>
      </c>
      <c r="M596" s="1" t="s">
        <v>184</v>
      </c>
      <c r="Q596" s="1">
        <v>4.5999999999999996</v>
      </c>
      <c r="R596" s="1">
        <v>0.1</v>
      </c>
      <c r="S596" s="1">
        <v>0.9</v>
      </c>
      <c r="W596" s="1">
        <v>483</v>
      </c>
      <c r="Z596" s="1">
        <v>2</v>
      </c>
      <c r="AD596" s="1">
        <v>3</v>
      </c>
      <c r="AF596" s="1">
        <v>2.5000000000000001E-2</v>
      </c>
      <c r="AK596" s="1">
        <v>36</v>
      </c>
      <c r="AL596" s="1">
        <v>1555</v>
      </c>
    </row>
    <row r="597" spans="4:67" x14ac:dyDescent="0.3">
      <c r="D597" s="2">
        <f t="shared" si="36"/>
        <v>2006</v>
      </c>
      <c r="E597" s="2">
        <f t="shared" si="37"/>
        <v>3</v>
      </c>
      <c r="F597" s="3" t="s">
        <v>175</v>
      </c>
      <c r="G597" s="4">
        <v>38784</v>
      </c>
      <c r="J597" s="1" t="s">
        <v>190</v>
      </c>
      <c r="K597" s="1"/>
      <c r="L597" s="1" t="str">
        <f t="shared" si="38"/>
        <v xml:space="preserve">Snuggan </v>
      </c>
      <c r="M597" s="1">
        <v>2</v>
      </c>
      <c r="Q597" s="1">
        <v>3.9</v>
      </c>
      <c r="R597" s="1">
        <v>1.2</v>
      </c>
      <c r="S597" s="1">
        <v>9.5</v>
      </c>
    </row>
    <row r="598" spans="4:67" x14ac:dyDescent="0.3">
      <c r="D598" s="2">
        <f t="shared" si="36"/>
        <v>2006</v>
      </c>
      <c r="E598" s="2">
        <f t="shared" si="37"/>
        <v>3</v>
      </c>
      <c r="F598" s="3" t="s">
        <v>175</v>
      </c>
      <c r="G598" s="4">
        <v>38784</v>
      </c>
      <c r="J598" s="1" t="s">
        <v>190</v>
      </c>
      <c r="K598" s="1"/>
      <c r="L598" s="1" t="str">
        <f t="shared" si="38"/>
        <v xml:space="preserve">Snuggan </v>
      </c>
      <c r="M598" s="1">
        <v>1</v>
      </c>
      <c r="Q598" s="1">
        <v>2.4</v>
      </c>
      <c r="R598" s="1">
        <v>6.2</v>
      </c>
      <c r="S598" s="1">
        <v>45</v>
      </c>
    </row>
    <row r="599" spans="4:67" x14ac:dyDescent="0.3">
      <c r="D599" s="2">
        <f t="shared" si="36"/>
        <v>2006</v>
      </c>
      <c r="E599" s="2">
        <f t="shared" si="37"/>
        <v>3</v>
      </c>
      <c r="F599" s="3" t="s">
        <v>175</v>
      </c>
      <c r="G599" s="4">
        <v>38784</v>
      </c>
      <c r="J599" s="1" t="s">
        <v>192</v>
      </c>
      <c r="K599" s="1"/>
      <c r="L599" s="1" t="str">
        <f t="shared" si="38"/>
        <v xml:space="preserve">Väsjön </v>
      </c>
      <c r="M599" s="1" t="s">
        <v>177</v>
      </c>
      <c r="Q599" s="1">
        <v>1</v>
      </c>
      <c r="R599" s="1">
        <v>0.1</v>
      </c>
      <c r="S599" s="1">
        <v>0.8</v>
      </c>
      <c r="W599" s="1">
        <v>71</v>
      </c>
      <c r="Z599" s="1">
        <v>4</v>
      </c>
      <c r="AD599" s="1">
        <v>24</v>
      </c>
      <c r="AK599" s="1">
        <v>37</v>
      </c>
      <c r="AL599" s="1">
        <v>776</v>
      </c>
    </row>
    <row r="600" spans="4:67" x14ac:dyDescent="0.3">
      <c r="D600" s="2">
        <f t="shared" si="36"/>
        <v>2006</v>
      </c>
      <c r="E600" s="2">
        <f t="shared" si="37"/>
        <v>3</v>
      </c>
      <c r="F600" s="3" t="s">
        <v>175</v>
      </c>
      <c r="G600" s="4">
        <v>38784</v>
      </c>
      <c r="J600" s="1" t="s">
        <v>192</v>
      </c>
      <c r="K600" s="1"/>
      <c r="L600" s="1" t="str">
        <f t="shared" si="38"/>
        <v xml:space="preserve">Väsjön </v>
      </c>
      <c r="M600" s="1" t="s">
        <v>184</v>
      </c>
      <c r="Q600" s="1">
        <v>5.3</v>
      </c>
      <c r="R600" s="1">
        <v>0.05</v>
      </c>
      <c r="S600" s="1">
        <v>0.2</v>
      </c>
      <c r="W600" s="1">
        <v>159</v>
      </c>
      <c r="Z600" s="1">
        <v>8</v>
      </c>
      <c r="AD600" s="1">
        <v>6</v>
      </c>
      <c r="AF600" s="1">
        <v>0.19</v>
      </c>
      <c r="AK600" s="1">
        <v>44</v>
      </c>
      <c r="AL600" s="1">
        <v>909</v>
      </c>
    </row>
    <row r="601" spans="4:67" x14ac:dyDescent="0.3">
      <c r="D601" s="2">
        <f t="shared" si="36"/>
        <v>2006</v>
      </c>
      <c r="E601" s="2">
        <f t="shared" si="37"/>
        <v>3</v>
      </c>
      <c r="F601" s="3" t="s">
        <v>175</v>
      </c>
      <c r="G601" s="4">
        <v>38784</v>
      </c>
      <c r="J601" s="1" t="s">
        <v>192</v>
      </c>
      <c r="K601" s="1"/>
      <c r="L601" s="1" t="str">
        <f t="shared" si="38"/>
        <v xml:space="preserve">Väsjön </v>
      </c>
      <c r="M601" s="1">
        <v>1</v>
      </c>
      <c r="Q601" s="1">
        <v>2.2999999999999998</v>
      </c>
      <c r="R601" s="1">
        <v>0.1</v>
      </c>
      <c r="S601" s="1">
        <v>0.4</v>
      </c>
    </row>
    <row r="602" spans="4:67" x14ac:dyDescent="0.3">
      <c r="D602" s="2">
        <f t="shared" si="36"/>
        <v>2006</v>
      </c>
      <c r="E602" s="2">
        <f t="shared" si="37"/>
        <v>3</v>
      </c>
      <c r="F602" s="3" t="s">
        <v>175</v>
      </c>
      <c r="G602" s="4">
        <v>38790</v>
      </c>
      <c r="J602" s="1" t="s">
        <v>181</v>
      </c>
      <c r="K602" s="1"/>
      <c r="L602" s="1" t="str">
        <f t="shared" si="38"/>
        <v xml:space="preserve">Fysingen </v>
      </c>
      <c r="M602" s="1" t="s">
        <v>177</v>
      </c>
      <c r="P602" s="1">
        <v>1.1000000000000001</v>
      </c>
      <c r="Q602" s="1">
        <v>0.5</v>
      </c>
      <c r="V602" s="1">
        <v>2.7330000000000001</v>
      </c>
      <c r="W602" s="1">
        <v>132</v>
      </c>
      <c r="X602" s="1">
        <f t="shared" ref="X602:X610" si="39">W602 * (1/((10^((0.0901821 + (2729.92 /(273.15 + Q602)))-AE602)+1)))</f>
        <v>0.29747967563508987</v>
      </c>
      <c r="Y602" s="1">
        <v>2.9000000000000001E-2</v>
      </c>
      <c r="Z602" s="1">
        <v>2</v>
      </c>
      <c r="AB602" s="1">
        <v>3.7</v>
      </c>
      <c r="AC602" s="1">
        <v>66.599999999999994</v>
      </c>
      <c r="AD602" s="1">
        <v>573</v>
      </c>
      <c r="AE602" s="1">
        <v>7.42</v>
      </c>
      <c r="AI602" s="1">
        <v>8.4</v>
      </c>
      <c r="AK602" s="1">
        <v>12</v>
      </c>
      <c r="AL602" s="1">
        <v>1242</v>
      </c>
      <c r="AV602" s="1">
        <v>52.146950000000004</v>
      </c>
      <c r="AX602" s="1">
        <v>131.99334999999999</v>
      </c>
      <c r="AY602" s="1">
        <v>1.24</v>
      </c>
    </row>
    <row r="603" spans="4:67" x14ac:dyDescent="0.3">
      <c r="D603" s="2">
        <f t="shared" si="36"/>
        <v>2006</v>
      </c>
      <c r="E603" s="2">
        <f t="shared" si="37"/>
        <v>3</v>
      </c>
      <c r="F603" s="3" t="s">
        <v>175</v>
      </c>
      <c r="G603" s="4">
        <v>38804</v>
      </c>
      <c r="H603" s="1">
        <v>6606238</v>
      </c>
      <c r="I603" s="1">
        <v>661152</v>
      </c>
      <c r="J603" s="5" t="s">
        <v>176</v>
      </c>
      <c r="K603" s="1"/>
      <c r="L603" s="1" t="str">
        <f t="shared" si="38"/>
        <v xml:space="preserve">Oxundaån </v>
      </c>
      <c r="M603" s="1" t="s">
        <v>177</v>
      </c>
      <c r="N603" s="1">
        <v>0.5</v>
      </c>
      <c r="O603" s="1">
        <v>0.5</v>
      </c>
      <c r="Q603" s="1">
        <v>0.6</v>
      </c>
      <c r="T603" s="1">
        <v>55.3</v>
      </c>
      <c r="V603" s="1">
        <v>2.96</v>
      </c>
      <c r="W603" s="1">
        <v>17</v>
      </c>
      <c r="X603" s="1">
        <f t="shared" si="39"/>
        <v>4.4342689249118959E-2</v>
      </c>
      <c r="Y603" s="1">
        <v>4.2000000000000003E-2</v>
      </c>
      <c r="Z603" s="1">
        <v>61</v>
      </c>
      <c r="AD603" s="1">
        <v>700</v>
      </c>
      <c r="AE603" s="1">
        <v>7.48</v>
      </c>
      <c r="AG603" s="1">
        <v>1.2</v>
      </c>
      <c r="AI603" s="1">
        <v>9.5</v>
      </c>
      <c r="AK603" s="1">
        <v>80</v>
      </c>
      <c r="AL603" s="1">
        <v>1057</v>
      </c>
      <c r="AR603" s="1">
        <v>61.62</v>
      </c>
      <c r="AS603" s="1">
        <v>6.7000000000000004E-2</v>
      </c>
      <c r="AT603" s="1">
        <v>6.6470000000000011</v>
      </c>
      <c r="AU603" s="1">
        <v>10.139799999999999</v>
      </c>
      <c r="AV603" s="1">
        <v>50.551700000000004</v>
      </c>
      <c r="AW603" s="1">
        <v>35.924040000000005</v>
      </c>
      <c r="AX603" s="1">
        <v>52.518649999999994</v>
      </c>
      <c r="AY603" s="1">
        <v>1.58</v>
      </c>
      <c r="BC603" s="1">
        <v>1.2E-2</v>
      </c>
      <c r="BE603" s="1">
        <v>2.6</v>
      </c>
      <c r="BF603" s="1">
        <v>2.4</v>
      </c>
      <c r="BJ603" s="1">
        <v>3.4</v>
      </c>
      <c r="BL603" s="1">
        <v>0.24</v>
      </c>
      <c r="BO603" s="1">
        <v>5.9</v>
      </c>
    </row>
    <row r="604" spans="4:67" x14ac:dyDescent="0.3">
      <c r="D604" s="2">
        <f t="shared" si="36"/>
        <v>2006</v>
      </c>
      <c r="E604" s="2">
        <f t="shared" si="37"/>
        <v>4</v>
      </c>
      <c r="F604" s="3" t="s">
        <v>178</v>
      </c>
      <c r="G604" s="4">
        <v>38832</v>
      </c>
      <c r="H604" s="1">
        <v>6606238</v>
      </c>
      <c r="I604" s="1">
        <v>661152</v>
      </c>
      <c r="J604" s="5" t="s">
        <v>176</v>
      </c>
      <c r="K604" s="1"/>
      <c r="L604" s="1" t="str">
        <f t="shared" si="38"/>
        <v xml:space="preserve">Oxundaån </v>
      </c>
      <c r="M604" s="1" t="s">
        <v>177</v>
      </c>
      <c r="N604" s="1">
        <v>0.5</v>
      </c>
      <c r="O604" s="1">
        <v>0.5</v>
      </c>
      <c r="Q604" s="1">
        <v>7.8</v>
      </c>
      <c r="T604" s="1">
        <v>46.6</v>
      </c>
      <c r="V604" s="1">
        <v>2.2450000000000001</v>
      </c>
      <c r="W604" s="1">
        <v>28</v>
      </c>
      <c r="X604" s="1">
        <f t="shared" si="39"/>
        <v>0.19821831346152677</v>
      </c>
      <c r="Y604" s="1">
        <v>6.5000000000000002E-2</v>
      </c>
      <c r="Z604" s="1">
        <v>11</v>
      </c>
      <c r="AD604" s="1">
        <v>782</v>
      </c>
      <c r="AE604" s="1">
        <v>7.66</v>
      </c>
      <c r="AG604" s="1">
        <v>9.1</v>
      </c>
      <c r="AI604" s="1">
        <v>8.4</v>
      </c>
      <c r="AK604" s="1">
        <v>56</v>
      </c>
      <c r="AL604" s="1">
        <v>1441</v>
      </c>
      <c r="AR604" s="1">
        <v>52.18</v>
      </c>
      <c r="AS604" s="1">
        <v>0.26</v>
      </c>
      <c r="AT604" s="1">
        <v>5.6695000000000002</v>
      </c>
      <c r="AU604" s="1">
        <v>9.7042000000000002</v>
      </c>
      <c r="AV604" s="1">
        <v>45.305100000000003</v>
      </c>
      <c r="AW604" s="1">
        <v>28.606180000000005</v>
      </c>
      <c r="AX604" s="1">
        <v>60.398849999999989</v>
      </c>
      <c r="AY604" s="1">
        <v>3.52</v>
      </c>
      <c r="BC604" s="1">
        <v>0.02</v>
      </c>
      <c r="BE604" s="1">
        <v>2.8</v>
      </c>
      <c r="BF604" s="1">
        <v>3.3</v>
      </c>
      <c r="BJ604" s="1">
        <v>5.5</v>
      </c>
      <c r="BL604" s="1">
        <v>1.4</v>
      </c>
      <c r="BO604" s="1">
        <v>7.4</v>
      </c>
    </row>
    <row r="605" spans="4:67" x14ac:dyDescent="0.3">
      <c r="D605" s="2">
        <f t="shared" si="36"/>
        <v>2006</v>
      </c>
      <c r="E605" s="2">
        <f t="shared" si="37"/>
        <v>5</v>
      </c>
      <c r="F605" s="3" t="s">
        <v>178</v>
      </c>
      <c r="G605" s="4">
        <v>38853</v>
      </c>
      <c r="J605" s="1" t="s">
        <v>181</v>
      </c>
      <c r="K605" s="1"/>
      <c r="L605" s="1" t="str">
        <f t="shared" si="38"/>
        <v xml:space="preserve">Fysingen </v>
      </c>
      <c r="M605" s="1" t="s">
        <v>177</v>
      </c>
      <c r="P605" s="1">
        <v>1.1000000000000001</v>
      </c>
      <c r="Q605" s="1">
        <v>15.7</v>
      </c>
      <c r="V605" s="1">
        <v>1.925</v>
      </c>
      <c r="W605" s="1">
        <v>25</v>
      </c>
      <c r="X605" s="1">
        <f t="shared" si="39"/>
        <v>0.79919433708745113</v>
      </c>
      <c r="Y605" s="1">
        <v>3.7999999999999999E-2</v>
      </c>
      <c r="Z605" s="1">
        <v>6</v>
      </c>
      <c r="AB605" s="1">
        <v>8.6</v>
      </c>
      <c r="AC605" s="1">
        <v>52.9</v>
      </c>
      <c r="AD605" s="1">
        <v>882</v>
      </c>
      <c r="AE605" s="1">
        <v>8.06</v>
      </c>
      <c r="AI605" s="1">
        <v>8.1999999999999993</v>
      </c>
      <c r="AK605" s="1">
        <v>34</v>
      </c>
      <c r="AL605" s="1">
        <v>1343</v>
      </c>
      <c r="AV605" s="1">
        <v>39.774900000000009</v>
      </c>
      <c r="AX605" s="1">
        <v>111.52405</v>
      </c>
      <c r="AY605" s="1">
        <v>3.41</v>
      </c>
    </row>
    <row r="606" spans="4:67" x14ac:dyDescent="0.3">
      <c r="D606" s="2">
        <f t="shared" si="36"/>
        <v>2006</v>
      </c>
      <c r="E606" s="2">
        <f t="shared" si="37"/>
        <v>5</v>
      </c>
      <c r="F606" s="3" t="s">
        <v>178</v>
      </c>
      <c r="G606" s="4">
        <v>38859</v>
      </c>
      <c r="H606" s="1">
        <v>6606238</v>
      </c>
      <c r="I606" s="1">
        <v>661152</v>
      </c>
      <c r="J606" s="5" t="s">
        <v>176</v>
      </c>
      <c r="K606" s="1"/>
      <c r="L606" s="1" t="str">
        <f t="shared" si="38"/>
        <v xml:space="preserve">Oxundaån </v>
      </c>
      <c r="M606" s="1" t="s">
        <v>177</v>
      </c>
      <c r="N606" s="1">
        <v>0.5</v>
      </c>
      <c r="O606" s="1">
        <v>0.5</v>
      </c>
      <c r="Q606" s="1">
        <v>14.5</v>
      </c>
      <c r="T606" s="1">
        <v>47.8</v>
      </c>
      <c r="V606" s="1">
        <v>2.298</v>
      </c>
      <c r="W606" s="1">
        <v>88</v>
      </c>
      <c r="X606" s="1">
        <f t="shared" si="39"/>
        <v>1.1965544763578499</v>
      </c>
      <c r="Y606" s="1">
        <v>5.3999999999999999E-2</v>
      </c>
      <c r="Z606" s="1">
        <v>4</v>
      </c>
      <c r="AD606" s="1">
        <v>65</v>
      </c>
      <c r="AE606" s="1">
        <v>7.72</v>
      </c>
      <c r="AG606" s="1">
        <v>6</v>
      </c>
      <c r="AI606" s="1">
        <v>10.7</v>
      </c>
      <c r="AK606" s="1">
        <v>46</v>
      </c>
      <c r="AL606" s="1">
        <v>1164</v>
      </c>
      <c r="AR606" s="1">
        <v>52.12</v>
      </c>
      <c r="AS606" s="1">
        <v>9.5000000000000001E-2</v>
      </c>
      <c r="AT606" s="1">
        <v>5.7867999999999995</v>
      </c>
      <c r="AU606" s="1">
        <v>9.8614999999999995</v>
      </c>
      <c r="AV606" s="1">
        <v>41.015650000000001</v>
      </c>
      <c r="AW606" s="1">
        <v>28.422660000000004</v>
      </c>
      <c r="AX606" s="1">
        <v>69.720550000000003</v>
      </c>
      <c r="AY606" s="1">
        <v>1.31</v>
      </c>
      <c r="BC606" s="1">
        <v>1.7999999999999999E-2</v>
      </c>
      <c r="BE606" s="1">
        <v>2.2999999999999998</v>
      </c>
      <c r="BF606" s="1">
        <v>4.2</v>
      </c>
      <c r="BJ606" s="1">
        <v>5.3</v>
      </c>
      <c r="BL606" s="1">
        <v>0.5</v>
      </c>
      <c r="BO606" s="1">
        <v>5.3</v>
      </c>
    </row>
    <row r="607" spans="4:67" x14ac:dyDescent="0.3">
      <c r="D607" s="2">
        <f t="shared" si="36"/>
        <v>2006</v>
      </c>
      <c r="E607" s="2">
        <f t="shared" si="37"/>
        <v>6</v>
      </c>
      <c r="F607" s="3"/>
      <c r="G607" s="4">
        <v>38888</v>
      </c>
      <c r="H607" s="1">
        <v>6606238</v>
      </c>
      <c r="I607" s="1">
        <v>661152</v>
      </c>
      <c r="J607" s="5" t="s">
        <v>176</v>
      </c>
      <c r="K607" s="1"/>
      <c r="L607" s="1" t="str">
        <f t="shared" si="38"/>
        <v xml:space="preserve">Oxundaån </v>
      </c>
      <c r="M607" s="1" t="s">
        <v>177</v>
      </c>
      <c r="N607" s="1">
        <v>0.5</v>
      </c>
      <c r="O607" s="1">
        <v>0.5</v>
      </c>
      <c r="Q607" s="1">
        <v>22.1</v>
      </c>
      <c r="T607" s="1">
        <v>49.3</v>
      </c>
      <c r="V607" s="1">
        <v>2.39</v>
      </c>
      <c r="W607" s="1">
        <v>83</v>
      </c>
      <c r="X607" s="1">
        <f t="shared" si="39"/>
        <v>2.9977120215836557</v>
      </c>
      <c r="Y607" s="1">
        <v>4.9000000000000002E-2</v>
      </c>
      <c r="Z607" s="1">
        <v>13</v>
      </c>
      <c r="AD607" s="1">
        <v>14</v>
      </c>
      <c r="AE607" s="1">
        <v>7.91</v>
      </c>
      <c r="AG607" s="1">
        <v>6.5</v>
      </c>
      <c r="AI607" s="1">
        <v>15.5</v>
      </c>
      <c r="AK607" s="1">
        <v>48</v>
      </c>
      <c r="AL607" s="1">
        <v>854</v>
      </c>
      <c r="AR607" s="1">
        <v>52.26</v>
      </c>
      <c r="AS607" s="1">
        <v>0.14499999999999999</v>
      </c>
      <c r="AT607" s="1">
        <v>5.9040999999999997</v>
      </c>
      <c r="AU607" s="1">
        <v>9.5469000000000008</v>
      </c>
      <c r="AV607" s="1">
        <v>42.114600000000003</v>
      </c>
      <c r="AW607" s="1">
        <v>29.409080000000003</v>
      </c>
      <c r="AX607" s="1">
        <v>65.444100000000006</v>
      </c>
      <c r="AY607" s="1">
        <v>0.95</v>
      </c>
      <c r="BC607" s="1">
        <v>1.7999999999999999E-2</v>
      </c>
      <c r="BE607" s="1">
        <v>2</v>
      </c>
      <c r="BF607" s="1">
        <v>3.3</v>
      </c>
      <c r="BJ607" s="1">
        <v>5.3</v>
      </c>
      <c r="BL607" s="1">
        <v>0.63</v>
      </c>
      <c r="BO607" s="1">
        <v>5.0999999999999996</v>
      </c>
    </row>
    <row r="608" spans="4:67" x14ac:dyDescent="0.3">
      <c r="D608" s="2">
        <f t="shared" si="36"/>
        <v>2006</v>
      </c>
      <c r="E608" s="2">
        <f t="shared" si="37"/>
        <v>7</v>
      </c>
      <c r="F608" s="3" t="s">
        <v>179</v>
      </c>
      <c r="G608" s="4">
        <v>38923</v>
      </c>
      <c r="H608" s="1">
        <v>6606238</v>
      </c>
      <c r="I608" s="1">
        <v>661152</v>
      </c>
      <c r="J608" s="5" t="s">
        <v>176</v>
      </c>
      <c r="K608" s="1"/>
      <c r="L608" s="1" t="str">
        <f t="shared" si="38"/>
        <v xml:space="preserve">Oxundaån </v>
      </c>
      <c r="M608" s="1" t="s">
        <v>177</v>
      </c>
      <c r="N608" s="1">
        <v>0.5</v>
      </c>
      <c r="O608" s="1">
        <v>0.5</v>
      </c>
      <c r="Q608" s="1">
        <v>21</v>
      </c>
      <c r="T608" s="1">
        <v>51</v>
      </c>
      <c r="V608" s="1">
        <v>2.4830000000000001</v>
      </c>
      <c r="W608" s="1">
        <v>113</v>
      </c>
      <c r="X608" s="1">
        <f t="shared" si="39"/>
        <v>2.4694103532723242</v>
      </c>
      <c r="Y608" s="1">
        <v>4.7E-2</v>
      </c>
      <c r="Z608" s="1">
        <v>93</v>
      </c>
      <c r="AD608" s="1">
        <v>8</v>
      </c>
      <c r="AE608" s="1">
        <v>7.72</v>
      </c>
      <c r="AG608" s="1">
        <v>2.6</v>
      </c>
      <c r="AI608" s="1">
        <v>9.6</v>
      </c>
      <c r="AK608" s="1">
        <v>137</v>
      </c>
      <c r="AL608" s="1">
        <v>825</v>
      </c>
      <c r="AR608" s="1">
        <v>59.54</v>
      </c>
      <c r="AS608" s="1">
        <v>7.8E-2</v>
      </c>
      <c r="AT608" s="1">
        <v>6.6470000000000011</v>
      </c>
      <c r="AU608" s="1">
        <v>11.083600000000001</v>
      </c>
      <c r="AV608" s="1">
        <v>47.113050000000001</v>
      </c>
      <c r="AW608" s="1">
        <v>32.070120000000003</v>
      </c>
      <c r="AX608" s="1">
        <v>62.753299999999996</v>
      </c>
      <c r="AY608" s="1">
        <v>1.26</v>
      </c>
      <c r="BC608" s="1">
        <v>7.0000000000000001E-3</v>
      </c>
      <c r="BE608" s="1">
        <v>2.1</v>
      </c>
      <c r="BF608" s="1">
        <v>3.2</v>
      </c>
      <c r="BJ608" s="1">
        <v>4.7</v>
      </c>
      <c r="BL608" s="1">
        <v>0.44</v>
      </c>
      <c r="BO608" s="1">
        <v>5.2</v>
      </c>
    </row>
    <row r="609" spans="4:38" x14ac:dyDescent="0.3">
      <c r="D609" s="2">
        <f t="shared" si="36"/>
        <v>2006</v>
      </c>
      <c r="E609" s="2">
        <f t="shared" si="37"/>
        <v>8</v>
      </c>
      <c r="F609" s="3" t="s">
        <v>179</v>
      </c>
      <c r="G609" s="4">
        <v>38938</v>
      </c>
      <c r="J609" s="1" t="s">
        <v>182</v>
      </c>
      <c r="K609" s="1"/>
      <c r="L609" s="1" t="str">
        <f t="shared" si="38"/>
        <v xml:space="preserve">Edssjön </v>
      </c>
      <c r="M609" s="1" t="s">
        <v>177</v>
      </c>
      <c r="P609" s="1">
        <v>0.6</v>
      </c>
      <c r="Q609" s="1">
        <v>23</v>
      </c>
      <c r="R609" s="1">
        <v>14.5</v>
      </c>
      <c r="S609" s="1">
        <v>170</v>
      </c>
      <c r="W609" s="1">
        <v>1</v>
      </c>
      <c r="X609" s="1">
        <f t="shared" si="39"/>
        <v>0.27170326623516472</v>
      </c>
      <c r="Y609" s="1">
        <v>5.8999999999999997E-2</v>
      </c>
      <c r="Z609" s="1">
        <v>15</v>
      </c>
      <c r="AB609" s="1">
        <v>101.59984799999999</v>
      </c>
      <c r="AC609" s="1">
        <v>42.1</v>
      </c>
      <c r="AD609" s="1">
        <v>0.1</v>
      </c>
      <c r="AE609" s="1">
        <v>8.8800000000000008</v>
      </c>
      <c r="AI609" s="1">
        <v>15</v>
      </c>
      <c r="AK609" s="1">
        <v>128</v>
      </c>
      <c r="AL609" s="1">
        <v>2012</v>
      </c>
    </row>
    <row r="610" spans="4:38" x14ac:dyDescent="0.3">
      <c r="D610" s="2">
        <f t="shared" si="36"/>
        <v>2006</v>
      </c>
      <c r="E610" s="2">
        <f t="shared" si="37"/>
        <v>8</v>
      </c>
      <c r="F610" s="3" t="s">
        <v>179</v>
      </c>
      <c r="G610" s="4">
        <v>38938</v>
      </c>
      <c r="J610" s="1" t="s">
        <v>182</v>
      </c>
      <c r="K610" s="1"/>
      <c r="L610" s="1" t="str">
        <f t="shared" si="38"/>
        <v xml:space="preserve">Edssjön </v>
      </c>
      <c r="M610" s="1" t="s">
        <v>184</v>
      </c>
      <c r="Q610" s="1">
        <v>21</v>
      </c>
      <c r="R610" s="1">
        <v>0</v>
      </c>
      <c r="S610" s="1">
        <v>0</v>
      </c>
      <c r="W610" s="1">
        <v>374</v>
      </c>
      <c r="X610" s="1">
        <f t="shared" si="39"/>
        <v>5.8232724685298587</v>
      </c>
      <c r="Y610" s="1">
        <v>6.0999999999999999E-2</v>
      </c>
      <c r="Z610" s="1">
        <v>37</v>
      </c>
      <c r="AC610" s="1">
        <v>46.4</v>
      </c>
      <c r="AD610" s="1">
        <v>1</v>
      </c>
      <c r="AE610" s="1">
        <v>7.57</v>
      </c>
      <c r="AF610" s="1">
        <v>2.5000000000000001E-2</v>
      </c>
      <c r="AI610" s="1">
        <v>14</v>
      </c>
      <c r="AK610" s="1">
        <v>127</v>
      </c>
      <c r="AL610" s="1">
        <v>1607</v>
      </c>
    </row>
    <row r="611" spans="4:38" x14ac:dyDescent="0.3">
      <c r="D611" s="2">
        <f t="shared" si="36"/>
        <v>2006</v>
      </c>
      <c r="E611" s="2">
        <f t="shared" si="37"/>
        <v>8</v>
      </c>
      <c r="F611" s="3" t="s">
        <v>179</v>
      </c>
      <c r="G611" s="4">
        <v>38938</v>
      </c>
      <c r="J611" s="1" t="s">
        <v>182</v>
      </c>
      <c r="K611" s="1"/>
      <c r="L611" s="1" t="str">
        <f t="shared" si="38"/>
        <v xml:space="preserve">Edssjön </v>
      </c>
      <c r="M611" s="1" t="s">
        <v>195</v>
      </c>
      <c r="Q611" s="1">
        <v>21.3</v>
      </c>
      <c r="R611" s="1">
        <v>2.14</v>
      </c>
      <c r="S611" s="1">
        <v>24</v>
      </c>
    </row>
    <row r="612" spans="4:38" x14ac:dyDescent="0.3">
      <c r="D612" s="2">
        <f t="shared" si="36"/>
        <v>2006</v>
      </c>
      <c r="E612" s="2">
        <f t="shared" si="37"/>
        <v>8</v>
      </c>
      <c r="F612" s="3" t="s">
        <v>179</v>
      </c>
      <c r="G612" s="4">
        <v>38938</v>
      </c>
      <c r="J612" s="1" t="s">
        <v>182</v>
      </c>
      <c r="K612" s="1"/>
      <c r="L612" s="1" t="str">
        <f t="shared" si="38"/>
        <v xml:space="preserve">Edssjön </v>
      </c>
      <c r="M612" s="1" t="s">
        <v>196</v>
      </c>
      <c r="Q612" s="1">
        <v>21.7</v>
      </c>
      <c r="R612" s="1">
        <v>8.1999999999999993</v>
      </c>
      <c r="S612" s="1">
        <v>93</v>
      </c>
    </row>
    <row r="613" spans="4:38" x14ac:dyDescent="0.3">
      <c r="D613" s="2">
        <f t="shared" si="36"/>
        <v>2006</v>
      </c>
      <c r="E613" s="2">
        <f t="shared" si="37"/>
        <v>8</v>
      </c>
      <c r="F613" s="3" t="s">
        <v>179</v>
      </c>
      <c r="G613" s="4">
        <v>38938</v>
      </c>
      <c r="J613" s="1" t="s">
        <v>182</v>
      </c>
      <c r="K613" s="1"/>
      <c r="L613" s="1" t="str">
        <f t="shared" si="38"/>
        <v xml:space="preserve">Edssjön </v>
      </c>
      <c r="M613" s="1" t="s">
        <v>197</v>
      </c>
      <c r="Q613" s="1">
        <v>21.9</v>
      </c>
      <c r="R613" s="1">
        <v>10.199999999999999</v>
      </c>
      <c r="S613" s="1">
        <v>116</v>
      </c>
    </row>
    <row r="614" spans="4:38" x14ac:dyDescent="0.3">
      <c r="D614" s="2">
        <f t="shared" si="36"/>
        <v>2006</v>
      </c>
      <c r="E614" s="2">
        <f t="shared" si="37"/>
        <v>8</v>
      </c>
      <c r="F614" s="3" t="s">
        <v>179</v>
      </c>
      <c r="G614" s="4">
        <v>38938</v>
      </c>
      <c r="J614" s="1" t="s">
        <v>182</v>
      </c>
      <c r="K614" s="1"/>
      <c r="L614" s="1" t="str">
        <f t="shared" si="38"/>
        <v xml:space="preserve">Edssjön </v>
      </c>
      <c r="M614" s="1" t="s">
        <v>194</v>
      </c>
      <c r="Q614" s="1">
        <v>22.2</v>
      </c>
      <c r="R614" s="1">
        <v>12.4</v>
      </c>
      <c r="S614" s="1">
        <v>142</v>
      </c>
    </row>
    <row r="615" spans="4:38" x14ac:dyDescent="0.3">
      <c r="D615" s="2">
        <f t="shared" si="36"/>
        <v>2006</v>
      </c>
      <c r="E615" s="2">
        <f t="shared" si="37"/>
        <v>8</v>
      </c>
      <c r="F615" s="3" t="s">
        <v>179</v>
      </c>
      <c r="G615" s="4">
        <v>38938</v>
      </c>
      <c r="J615" s="1" t="s">
        <v>183</v>
      </c>
      <c r="K615" s="1"/>
      <c r="L615" s="1" t="str">
        <f t="shared" si="38"/>
        <v xml:space="preserve">Fjäturen </v>
      </c>
      <c r="M615" s="1" t="s">
        <v>177</v>
      </c>
      <c r="P615" s="1">
        <v>3.6</v>
      </c>
      <c r="Q615" s="1">
        <v>23.1</v>
      </c>
      <c r="R615" s="1">
        <v>10.1</v>
      </c>
      <c r="S615" s="1">
        <v>118</v>
      </c>
      <c r="W615" s="1">
        <v>2</v>
      </c>
      <c r="X615" s="1">
        <f>W615 * (1/((10^((0.0901821 + (2729.92 /(273.15 + Q615)))-AE615)+1)))</f>
        <v>7.5712573943193903E-2</v>
      </c>
      <c r="Y615" s="1">
        <v>4.9000000000000002E-2</v>
      </c>
      <c r="Z615" s="1">
        <v>1</v>
      </c>
      <c r="AB615" s="1">
        <v>2.5861200000000002</v>
      </c>
      <c r="AC615" s="1">
        <v>33.5</v>
      </c>
      <c r="AD615" s="1">
        <v>2</v>
      </c>
      <c r="AE615" s="1">
        <v>7.9</v>
      </c>
      <c r="AI615" s="1">
        <v>12</v>
      </c>
      <c r="AK615" s="1">
        <v>18</v>
      </c>
      <c r="AL615" s="1">
        <v>609</v>
      </c>
    </row>
    <row r="616" spans="4:38" x14ac:dyDescent="0.3">
      <c r="D616" s="2">
        <f t="shared" si="36"/>
        <v>2006</v>
      </c>
      <c r="E616" s="2">
        <f t="shared" si="37"/>
        <v>8</v>
      </c>
      <c r="F616" s="3" t="s">
        <v>179</v>
      </c>
      <c r="G616" s="4">
        <v>38938</v>
      </c>
      <c r="J616" s="1" t="s">
        <v>183</v>
      </c>
      <c r="K616" s="1"/>
      <c r="L616" s="1" t="str">
        <f t="shared" si="38"/>
        <v xml:space="preserve">Fjäturen </v>
      </c>
      <c r="M616" s="1" t="s">
        <v>184</v>
      </c>
      <c r="Q616" s="1">
        <v>10.5</v>
      </c>
      <c r="R616" s="1">
        <v>0.2</v>
      </c>
      <c r="S616" s="1">
        <v>2</v>
      </c>
      <c r="W616" s="1">
        <v>1080</v>
      </c>
      <c r="X616" s="1">
        <f>W616 * (1/((10^((0.0901821 + (2729.92 /(273.15 + Q616)))-AE616)+1)))</f>
        <v>4.6463718186207199</v>
      </c>
      <c r="Y616" s="1">
        <v>9.2999999999999999E-2</v>
      </c>
      <c r="Z616" s="1">
        <v>397</v>
      </c>
      <c r="AC616" s="1">
        <v>48.1</v>
      </c>
      <c r="AD616" s="1">
        <v>0.1</v>
      </c>
      <c r="AE616" s="1">
        <v>7.35</v>
      </c>
      <c r="AF616" s="1">
        <v>2.5000000000000001E-2</v>
      </c>
      <c r="AI616" s="1">
        <v>13</v>
      </c>
      <c r="AK616" s="1">
        <v>506</v>
      </c>
      <c r="AL616" s="1">
        <v>2167</v>
      </c>
    </row>
    <row r="617" spans="4:38" x14ac:dyDescent="0.3">
      <c r="D617" s="2">
        <f t="shared" si="36"/>
        <v>2006</v>
      </c>
      <c r="E617" s="2">
        <f t="shared" si="37"/>
        <v>8</v>
      </c>
      <c r="F617" s="3" t="s">
        <v>179</v>
      </c>
      <c r="G617" s="4">
        <v>38938</v>
      </c>
      <c r="J617" s="1" t="s">
        <v>183</v>
      </c>
      <c r="K617" s="1"/>
      <c r="L617" s="1" t="str">
        <f t="shared" si="38"/>
        <v xml:space="preserve">Fjäturen </v>
      </c>
      <c r="M617" s="1" t="s">
        <v>198</v>
      </c>
      <c r="Q617" s="1">
        <v>11.9</v>
      </c>
      <c r="R617" s="1">
        <v>0.4</v>
      </c>
      <c r="S617" s="1">
        <v>4</v>
      </c>
    </row>
    <row r="618" spans="4:38" x14ac:dyDescent="0.3">
      <c r="D618" s="2">
        <f t="shared" si="36"/>
        <v>2006</v>
      </c>
      <c r="E618" s="2">
        <f t="shared" si="37"/>
        <v>8</v>
      </c>
      <c r="F618" s="3" t="s">
        <v>179</v>
      </c>
      <c r="G618" s="4">
        <v>38938</v>
      </c>
      <c r="J618" s="1" t="s">
        <v>183</v>
      </c>
      <c r="K618" s="1"/>
      <c r="L618" s="1" t="str">
        <f t="shared" si="38"/>
        <v xml:space="preserve">Fjäturen </v>
      </c>
      <c r="M618" s="1" t="s">
        <v>199</v>
      </c>
      <c r="Q618" s="1">
        <v>12.5</v>
      </c>
      <c r="R618" s="1">
        <v>0.5</v>
      </c>
      <c r="S618" s="1">
        <v>5</v>
      </c>
    </row>
    <row r="619" spans="4:38" x14ac:dyDescent="0.3">
      <c r="D619" s="2">
        <f t="shared" si="36"/>
        <v>2006</v>
      </c>
      <c r="E619" s="2">
        <f t="shared" si="37"/>
        <v>8</v>
      </c>
      <c r="F619" s="3" t="s">
        <v>179</v>
      </c>
      <c r="G619" s="4">
        <v>38938</v>
      </c>
      <c r="J619" s="1" t="s">
        <v>183</v>
      </c>
      <c r="K619" s="1"/>
      <c r="L619" s="1" t="str">
        <f t="shared" si="38"/>
        <v xml:space="preserve">Fjäturen </v>
      </c>
      <c r="M619" s="1" t="s">
        <v>200</v>
      </c>
      <c r="Q619" s="1">
        <v>19.899999999999999</v>
      </c>
      <c r="R619" s="1">
        <v>0.9</v>
      </c>
      <c r="S619" s="1">
        <v>10</v>
      </c>
    </row>
    <row r="620" spans="4:38" x14ac:dyDescent="0.3">
      <c r="D620" s="2">
        <f t="shared" si="36"/>
        <v>2006</v>
      </c>
      <c r="E620" s="2">
        <f t="shared" si="37"/>
        <v>8</v>
      </c>
      <c r="F620" s="3" t="s">
        <v>179</v>
      </c>
      <c r="G620" s="4">
        <v>38938</v>
      </c>
      <c r="J620" s="1" t="s">
        <v>183</v>
      </c>
      <c r="K620" s="1"/>
      <c r="L620" s="1" t="str">
        <f t="shared" si="38"/>
        <v xml:space="preserve">Fjäturen </v>
      </c>
      <c r="M620" s="1" t="s">
        <v>195</v>
      </c>
      <c r="Q620" s="1">
        <v>21.8</v>
      </c>
      <c r="R620" s="1">
        <v>6.8</v>
      </c>
      <c r="S620" s="1">
        <v>77</v>
      </c>
    </row>
    <row r="621" spans="4:38" x14ac:dyDescent="0.3">
      <c r="D621" s="2">
        <f t="shared" si="36"/>
        <v>2006</v>
      </c>
      <c r="E621" s="2">
        <f t="shared" si="37"/>
        <v>8</v>
      </c>
      <c r="F621" s="3" t="s">
        <v>179</v>
      </c>
      <c r="G621" s="4">
        <v>38938</v>
      </c>
      <c r="J621" s="1" t="s">
        <v>183</v>
      </c>
      <c r="K621" s="1"/>
      <c r="L621" s="1" t="str">
        <f t="shared" si="38"/>
        <v xml:space="preserve">Fjäturen </v>
      </c>
      <c r="M621" s="1" t="s">
        <v>196</v>
      </c>
      <c r="Q621" s="1">
        <v>22.5</v>
      </c>
      <c r="R621" s="1">
        <v>8.6</v>
      </c>
      <c r="S621" s="1">
        <v>99</v>
      </c>
    </row>
    <row r="622" spans="4:38" x14ac:dyDescent="0.3">
      <c r="D622" s="2">
        <f t="shared" si="36"/>
        <v>2006</v>
      </c>
      <c r="E622" s="2">
        <f t="shared" si="37"/>
        <v>8</v>
      </c>
      <c r="F622" s="3" t="s">
        <v>179</v>
      </c>
      <c r="G622" s="4">
        <v>38938</v>
      </c>
      <c r="J622" s="1" t="s">
        <v>183</v>
      </c>
      <c r="K622" s="1"/>
      <c r="L622" s="1" t="str">
        <f t="shared" si="38"/>
        <v xml:space="preserve">Fjäturen </v>
      </c>
      <c r="M622" s="1" t="s">
        <v>197</v>
      </c>
      <c r="Q622" s="1">
        <v>23</v>
      </c>
      <c r="R622" s="1">
        <v>9.3000000000000007</v>
      </c>
      <c r="S622" s="1">
        <v>108</v>
      </c>
    </row>
    <row r="623" spans="4:38" x14ac:dyDescent="0.3">
      <c r="D623" s="2">
        <f t="shared" si="36"/>
        <v>2006</v>
      </c>
      <c r="E623" s="2">
        <f t="shared" si="37"/>
        <v>8</v>
      </c>
      <c r="F623" s="3" t="s">
        <v>179</v>
      </c>
      <c r="G623" s="4">
        <v>38938</v>
      </c>
      <c r="J623" s="1" t="s">
        <v>183</v>
      </c>
      <c r="K623" s="1"/>
      <c r="L623" s="1" t="str">
        <f t="shared" si="38"/>
        <v xml:space="preserve">Fjäturen </v>
      </c>
      <c r="M623" s="1" t="s">
        <v>194</v>
      </c>
      <c r="Q623" s="1">
        <v>23</v>
      </c>
      <c r="R623" s="1">
        <v>10.1</v>
      </c>
      <c r="S623" s="1">
        <v>118</v>
      </c>
    </row>
    <row r="624" spans="4:38" x14ac:dyDescent="0.3">
      <c r="D624" s="2">
        <f t="shared" si="36"/>
        <v>2006</v>
      </c>
      <c r="E624" s="2">
        <f t="shared" si="37"/>
        <v>8</v>
      </c>
      <c r="F624" s="3" t="s">
        <v>179</v>
      </c>
      <c r="G624" s="4">
        <v>38938</v>
      </c>
      <c r="J624" s="1" t="s">
        <v>185</v>
      </c>
      <c r="K624" s="1"/>
      <c r="L624" s="1" t="str">
        <f t="shared" si="38"/>
        <v xml:space="preserve">Gullsjön </v>
      </c>
      <c r="M624" s="1" t="s">
        <v>177</v>
      </c>
      <c r="P624" s="1">
        <v>1.7</v>
      </c>
      <c r="Q624" s="1">
        <v>20.100000000000001</v>
      </c>
      <c r="R624" s="1">
        <v>3.4</v>
      </c>
      <c r="S624" s="1">
        <v>37</v>
      </c>
      <c r="W624" s="1">
        <v>0.1</v>
      </c>
      <c r="X624" s="1">
        <f>W624 * (1/((10^((0.0901821 + (2729.92 /(273.15 + Q624)))-AE624)+1)))</f>
        <v>5.6000112554033677E-4</v>
      </c>
      <c r="Y624" s="1">
        <v>0.121</v>
      </c>
      <c r="Z624" s="1">
        <v>5</v>
      </c>
      <c r="AB624" s="1">
        <v>5.6892440000000004</v>
      </c>
      <c r="AC624" s="1">
        <v>48.6</v>
      </c>
      <c r="AD624" s="1">
        <v>1</v>
      </c>
      <c r="AE624" s="1">
        <v>7.15</v>
      </c>
      <c r="AI624" s="1">
        <v>16</v>
      </c>
      <c r="AK624" s="1">
        <v>15</v>
      </c>
      <c r="AL624" s="1">
        <v>798</v>
      </c>
    </row>
    <row r="625" spans="4:38" x14ac:dyDescent="0.3">
      <c r="D625" s="2">
        <f t="shared" si="36"/>
        <v>2006</v>
      </c>
      <c r="E625" s="2">
        <f t="shared" si="37"/>
        <v>8</v>
      </c>
      <c r="F625" s="3" t="s">
        <v>179</v>
      </c>
      <c r="G625" s="4">
        <v>38938</v>
      </c>
      <c r="J625" s="1" t="s">
        <v>185</v>
      </c>
      <c r="K625" s="1"/>
      <c r="L625" s="1" t="str">
        <f t="shared" si="38"/>
        <v xml:space="preserve">Gullsjön </v>
      </c>
      <c r="M625" s="1" t="s">
        <v>184</v>
      </c>
      <c r="Q625" s="1">
        <v>20</v>
      </c>
      <c r="R625" s="1">
        <v>2.1</v>
      </c>
      <c r="S625" s="1">
        <v>23</v>
      </c>
      <c r="W625" s="1">
        <v>2</v>
      </c>
      <c r="X625" s="1">
        <f>W625 * (1/((10^((0.0901821 + (2729.92 /(273.15 + Q625)))-AE625)+1)))</f>
        <v>7.1931220674138147E-3</v>
      </c>
      <c r="Y625" s="1">
        <v>0.121</v>
      </c>
      <c r="Z625" s="1">
        <v>3</v>
      </c>
      <c r="AB625" s="1">
        <v>1.8637673684210501</v>
      </c>
      <c r="AC625" s="1">
        <v>48.6</v>
      </c>
      <c r="AD625" s="1">
        <v>0.1</v>
      </c>
      <c r="AE625" s="1">
        <v>6.96</v>
      </c>
      <c r="AI625" s="1">
        <v>15</v>
      </c>
      <c r="AK625" s="1">
        <v>12</v>
      </c>
      <c r="AL625" s="1">
        <v>878</v>
      </c>
    </row>
    <row r="626" spans="4:38" x14ac:dyDescent="0.3">
      <c r="D626" s="2">
        <f t="shared" si="36"/>
        <v>2006</v>
      </c>
      <c r="E626" s="2">
        <f t="shared" si="37"/>
        <v>8</v>
      </c>
      <c r="F626" s="3" t="s">
        <v>179</v>
      </c>
      <c r="G626" s="4">
        <v>38938</v>
      </c>
      <c r="J626" s="1" t="s">
        <v>185</v>
      </c>
      <c r="K626" s="1"/>
      <c r="L626" s="1" t="str">
        <f t="shared" si="38"/>
        <v xml:space="preserve">Gullsjön </v>
      </c>
      <c r="M626" s="1" t="s">
        <v>194</v>
      </c>
      <c r="Q626" s="1">
        <v>20</v>
      </c>
      <c r="R626" s="1">
        <v>3.4</v>
      </c>
      <c r="S626" s="1">
        <v>37</v>
      </c>
    </row>
    <row r="627" spans="4:38" x14ac:dyDescent="0.3">
      <c r="D627" s="2">
        <f t="shared" si="36"/>
        <v>2006</v>
      </c>
      <c r="E627" s="2">
        <f t="shared" si="37"/>
        <v>8</v>
      </c>
      <c r="F627" s="3" t="s">
        <v>179</v>
      </c>
      <c r="G627" s="4">
        <v>38938</v>
      </c>
      <c r="J627" s="1" t="s">
        <v>201</v>
      </c>
      <c r="K627" s="1"/>
      <c r="L627" s="1" t="str">
        <f t="shared" si="38"/>
        <v xml:space="preserve">Mörtsjön </v>
      </c>
      <c r="M627" s="1" t="s">
        <v>177</v>
      </c>
      <c r="P627" s="1">
        <v>2</v>
      </c>
      <c r="Q627" s="1">
        <v>22.3</v>
      </c>
      <c r="R627" s="1">
        <v>9.6</v>
      </c>
      <c r="S627" s="1">
        <v>110</v>
      </c>
      <c r="W627" s="1">
        <v>1</v>
      </c>
      <c r="X627" s="1">
        <f>W627 * (1/((10^((0.0901821 + (2729.92 /(273.15 + Q627)))-AE627)+1)))</f>
        <v>3.8281969739117093E-2</v>
      </c>
      <c r="Y627" s="1">
        <v>0.104</v>
      </c>
      <c r="Z627" s="1">
        <v>4</v>
      </c>
      <c r="AB627" s="1">
        <v>6.2904</v>
      </c>
      <c r="AC627" s="1">
        <v>37.9</v>
      </c>
      <c r="AD627" s="1">
        <v>1</v>
      </c>
      <c r="AE627" s="1">
        <v>7.93</v>
      </c>
      <c r="AI627" s="1">
        <v>16</v>
      </c>
      <c r="AK627" s="1">
        <v>25</v>
      </c>
      <c r="AL627" s="1">
        <v>691</v>
      </c>
    </row>
    <row r="628" spans="4:38" x14ac:dyDescent="0.3">
      <c r="D628" s="2">
        <f t="shared" si="36"/>
        <v>2006</v>
      </c>
      <c r="E628" s="2">
        <f t="shared" si="37"/>
        <v>8</v>
      </c>
      <c r="F628" s="3" t="s">
        <v>179</v>
      </c>
      <c r="G628" s="4">
        <v>38938</v>
      </c>
      <c r="J628" s="1" t="s">
        <v>201</v>
      </c>
      <c r="K628" s="1"/>
      <c r="L628" s="1" t="str">
        <f t="shared" si="38"/>
        <v xml:space="preserve">Mörtsjön </v>
      </c>
      <c r="M628" s="1" t="s">
        <v>184</v>
      </c>
      <c r="Q628" s="1">
        <v>16.100000000000001</v>
      </c>
      <c r="R628" s="1">
        <v>0.4</v>
      </c>
      <c r="S628" s="1">
        <v>4</v>
      </c>
      <c r="W628" s="1">
        <v>9</v>
      </c>
      <c r="X628" s="1">
        <f>W628 * (1/((10^((0.0901821 + (2729.92 /(273.15 + Q628)))-AE628)+1)))</f>
        <v>3.8395295420582738E-2</v>
      </c>
      <c r="Y628" s="1">
        <v>0.13500000000000001</v>
      </c>
      <c r="Z628" s="1">
        <v>16</v>
      </c>
      <c r="AC628" s="1">
        <v>39.4</v>
      </c>
      <c r="AD628" s="1">
        <v>1</v>
      </c>
      <c r="AE628" s="1">
        <v>7.16</v>
      </c>
      <c r="AF628" s="1">
        <v>2.5000000000000001E-2</v>
      </c>
      <c r="AI628" s="1">
        <v>17</v>
      </c>
      <c r="AK628" s="1">
        <v>67</v>
      </c>
      <c r="AL628" s="1">
        <v>1231</v>
      </c>
    </row>
    <row r="629" spans="4:38" x14ac:dyDescent="0.3">
      <c r="D629" s="2">
        <f t="shared" si="36"/>
        <v>2006</v>
      </c>
      <c r="E629" s="2">
        <f t="shared" si="37"/>
        <v>8</v>
      </c>
      <c r="F629" s="3" t="s">
        <v>179</v>
      </c>
      <c r="G629" s="4">
        <v>38938</v>
      </c>
      <c r="J629" s="1" t="s">
        <v>201</v>
      </c>
      <c r="K629" s="1"/>
      <c r="L629" s="1" t="str">
        <f t="shared" si="38"/>
        <v xml:space="preserve">Mörtsjön </v>
      </c>
      <c r="M629" s="1" t="s">
        <v>196</v>
      </c>
      <c r="Q629" s="1">
        <v>20.6</v>
      </c>
      <c r="R629" s="1">
        <v>0.4</v>
      </c>
      <c r="S629" s="1">
        <v>5</v>
      </c>
    </row>
    <row r="630" spans="4:38" x14ac:dyDescent="0.3">
      <c r="D630" s="2">
        <f t="shared" si="36"/>
        <v>2006</v>
      </c>
      <c r="E630" s="2">
        <f t="shared" si="37"/>
        <v>8</v>
      </c>
      <c r="F630" s="3" t="s">
        <v>179</v>
      </c>
      <c r="G630" s="4">
        <v>38938</v>
      </c>
      <c r="J630" s="1" t="s">
        <v>201</v>
      </c>
      <c r="K630" s="1"/>
      <c r="L630" s="1" t="str">
        <f t="shared" si="38"/>
        <v xml:space="preserve">Mörtsjön </v>
      </c>
      <c r="M630" s="1" t="s">
        <v>197</v>
      </c>
      <c r="Q630" s="1">
        <v>21</v>
      </c>
      <c r="R630" s="1">
        <v>7.7</v>
      </c>
      <c r="S630" s="1">
        <v>88</v>
      </c>
    </row>
    <row r="631" spans="4:38" x14ac:dyDescent="0.3">
      <c r="D631" s="2">
        <f t="shared" si="36"/>
        <v>2006</v>
      </c>
      <c r="E631" s="2">
        <f t="shared" si="37"/>
        <v>8</v>
      </c>
      <c r="F631" s="3" t="s">
        <v>179</v>
      </c>
      <c r="G631" s="4">
        <v>38938</v>
      </c>
      <c r="J631" s="1" t="s">
        <v>201</v>
      </c>
      <c r="K631" s="1"/>
      <c r="L631" s="1" t="str">
        <f t="shared" si="38"/>
        <v xml:space="preserve">Mörtsjön </v>
      </c>
      <c r="M631" s="1" t="s">
        <v>194</v>
      </c>
      <c r="Q631" s="1">
        <v>21.9</v>
      </c>
      <c r="R631" s="1">
        <v>10.8</v>
      </c>
      <c r="S631" s="1">
        <v>123</v>
      </c>
    </row>
    <row r="632" spans="4:38" x14ac:dyDescent="0.3">
      <c r="D632" s="2">
        <f t="shared" si="36"/>
        <v>2006</v>
      </c>
      <c r="E632" s="2">
        <f t="shared" si="37"/>
        <v>8</v>
      </c>
      <c r="F632" s="3" t="s">
        <v>179</v>
      </c>
      <c r="G632" s="4">
        <v>38938</v>
      </c>
      <c r="J632" s="1" t="s">
        <v>186</v>
      </c>
      <c r="K632" s="1">
        <v>1</v>
      </c>
      <c r="L632" s="1" t="str">
        <f t="shared" si="38"/>
        <v>Norrviken 1</v>
      </c>
      <c r="M632" s="1" t="s">
        <v>177</v>
      </c>
      <c r="P632" s="1">
        <v>0.5</v>
      </c>
      <c r="Q632" s="1">
        <v>22.4</v>
      </c>
      <c r="R632" s="1">
        <v>18.100000000000001</v>
      </c>
      <c r="S632" s="1">
        <v>209</v>
      </c>
      <c r="W632" s="1">
        <v>2</v>
      </c>
      <c r="X632" s="1">
        <f t="shared" ref="X632:X637" si="40">W632 * (1/((10^((0.0901821 + (2729.92 /(273.15 + Q632)))-AE632)+1)))</f>
        <v>0.74452675655169109</v>
      </c>
      <c r="Y632" s="1">
        <v>6.2E-2</v>
      </c>
      <c r="Z632" s="1">
        <v>13</v>
      </c>
      <c r="AB632" s="1">
        <v>103.354454</v>
      </c>
      <c r="AC632" s="1">
        <v>40.700000000000003</v>
      </c>
      <c r="AD632" s="1">
        <v>0.1</v>
      </c>
      <c r="AE632" s="1">
        <v>9.1</v>
      </c>
      <c r="AI632" s="1">
        <v>14</v>
      </c>
      <c r="AK632" s="1">
        <v>87</v>
      </c>
      <c r="AL632" s="1">
        <v>1748</v>
      </c>
    </row>
    <row r="633" spans="4:38" x14ac:dyDescent="0.3">
      <c r="D633" s="2">
        <f t="shared" si="36"/>
        <v>2006</v>
      </c>
      <c r="E633" s="2">
        <f t="shared" si="37"/>
        <v>8</v>
      </c>
      <c r="F633" s="3" t="s">
        <v>179</v>
      </c>
      <c r="G633" s="4">
        <v>38938</v>
      </c>
      <c r="J633" s="1" t="s">
        <v>186</v>
      </c>
      <c r="K633" s="1">
        <v>2</v>
      </c>
      <c r="L633" s="1" t="str">
        <f t="shared" si="38"/>
        <v>Norrviken 2</v>
      </c>
      <c r="M633" s="1" t="s">
        <v>177</v>
      </c>
      <c r="P633" s="1">
        <v>0.7</v>
      </c>
      <c r="Q633" s="1">
        <v>22.5</v>
      </c>
      <c r="R633" s="1">
        <v>16.8</v>
      </c>
      <c r="S633" s="1">
        <v>194</v>
      </c>
      <c r="W633" s="1">
        <v>2</v>
      </c>
      <c r="X633" s="1">
        <f t="shared" si="40"/>
        <v>0.6137961551365464</v>
      </c>
      <c r="Y633" s="1">
        <v>5.1999999999999998E-2</v>
      </c>
      <c r="Z633" s="1">
        <v>8</v>
      </c>
      <c r="AB633" s="1">
        <v>128.66173749999999</v>
      </c>
      <c r="AC633" s="1">
        <v>42</v>
      </c>
      <c r="AD633" s="1">
        <v>0.1</v>
      </c>
      <c r="AE633" s="1">
        <v>8.9700000000000006</v>
      </c>
      <c r="AI633" s="1">
        <v>12</v>
      </c>
      <c r="AK633" s="1">
        <v>91</v>
      </c>
      <c r="AL633" s="1">
        <v>1609</v>
      </c>
    </row>
    <row r="634" spans="4:38" x14ac:dyDescent="0.3">
      <c r="D634" s="2">
        <f t="shared" si="36"/>
        <v>2006</v>
      </c>
      <c r="E634" s="2">
        <f t="shared" si="37"/>
        <v>8</v>
      </c>
      <c r="F634" s="3" t="s">
        <v>179</v>
      </c>
      <c r="G634" s="4">
        <v>38938</v>
      </c>
      <c r="J634" s="1" t="s">
        <v>186</v>
      </c>
      <c r="K634" s="1">
        <v>3</v>
      </c>
      <c r="L634" s="1" t="str">
        <f t="shared" si="38"/>
        <v>Norrviken 3</v>
      </c>
      <c r="M634" s="1" t="s">
        <v>177</v>
      </c>
      <c r="P634" s="1">
        <v>0.8</v>
      </c>
      <c r="Q634" s="1">
        <v>22.9</v>
      </c>
      <c r="R634" s="1">
        <v>15.7</v>
      </c>
      <c r="S634" s="1">
        <v>183</v>
      </c>
      <c r="W634" s="1">
        <v>19</v>
      </c>
      <c r="X634" s="1">
        <f t="shared" si="40"/>
        <v>5.94780175453635</v>
      </c>
      <c r="Y634" s="1">
        <v>4.9000000000000002E-2</v>
      </c>
      <c r="Z634" s="1">
        <v>0.1</v>
      </c>
      <c r="AB634" s="1">
        <v>70.059219999999996</v>
      </c>
      <c r="AC634" s="1">
        <v>43.2</v>
      </c>
      <c r="AD634" s="1">
        <v>0.1</v>
      </c>
      <c r="AE634" s="1">
        <v>8.9700000000000006</v>
      </c>
      <c r="AI634" s="1">
        <v>15</v>
      </c>
      <c r="AK634" s="1">
        <v>50</v>
      </c>
      <c r="AL634" s="1">
        <v>1263</v>
      </c>
    </row>
    <row r="635" spans="4:38" x14ac:dyDescent="0.3">
      <c r="D635" s="2">
        <f t="shared" si="36"/>
        <v>2006</v>
      </c>
      <c r="E635" s="2">
        <f t="shared" si="37"/>
        <v>8</v>
      </c>
      <c r="F635" s="3" t="s">
        <v>179</v>
      </c>
      <c r="G635" s="4">
        <v>38938</v>
      </c>
      <c r="J635" s="1" t="s">
        <v>186</v>
      </c>
      <c r="K635" s="1">
        <v>4</v>
      </c>
      <c r="L635" s="1" t="str">
        <f t="shared" si="38"/>
        <v>Norrviken 4</v>
      </c>
      <c r="M635" s="1" t="s">
        <v>177</v>
      </c>
      <c r="P635" s="1">
        <v>0.6</v>
      </c>
      <c r="Q635" s="1">
        <v>23.1</v>
      </c>
      <c r="R635" s="1">
        <v>18</v>
      </c>
      <c r="S635" s="1">
        <v>209</v>
      </c>
      <c r="W635" s="1">
        <v>30</v>
      </c>
      <c r="X635" s="1">
        <f t="shared" si="40"/>
        <v>11.197380338438474</v>
      </c>
      <c r="Y635" s="1">
        <v>0.06</v>
      </c>
      <c r="Z635" s="1">
        <v>0.1</v>
      </c>
      <c r="AB635" s="1">
        <v>111.48896499999999</v>
      </c>
      <c r="AC635" s="1">
        <v>41.5</v>
      </c>
      <c r="AD635" s="1">
        <v>0.1</v>
      </c>
      <c r="AE635" s="1">
        <v>9.08</v>
      </c>
      <c r="AI635" s="1">
        <v>13</v>
      </c>
      <c r="AK635" s="1">
        <v>87</v>
      </c>
      <c r="AL635" s="1">
        <v>1688</v>
      </c>
    </row>
    <row r="636" spans="4:38" x14ac:dyDescent="0.3">
      <c r="D636" s="2">
        <f t="shared" si="36"/>
        <v>2006</v>
      </c>
      <c r="E636" s="2">
        <f t="shared" si="37"/>
        <v>8</v>
      </c>
      <c r="F636" s="3" t="s">
        <v>179</v>
      </c>
      <c r="G636" s="4">
        <v>38938</v>
      </c>
      <c r="J636" s="1" t="s">
        <v>186</v>
      </c>
      <c r="K636" s="1">
        <v>2</v>
      </c>
      <c r="L636" s="1" t="str">
        <f t="shared" si="38"/>
        <v>Norrviken 2</v>
      </c>
      <c r="M636" s="1" t="s">
        <v>184</v>
      </c>
      <c r="Q636" s="1">
        <v>14.7</v>
      </c>
      <c r="R636" s="1">
        <v>0</v>
      </c>
      <c r="S636" s="1">
        <v>0</v>
      </c>
      <c r="W636" s="1">
        <v>19</v>
      </c>
      <c r="X636" s="1">
        <f t="shared" si="40"/>
        <v>0.17015171779654584</v>
      </c>
      <c r="Y636" s="1">
        <v>6.5000000000000002E-2</v>
      </c>
      <c r="Z636" s="1">
        <v>233</v>
      </c>
      <c r="AC636" s="1">
        <v>48.2</v>
      </c>
      <c r="AD636" s="1">
        <v>0.1</v>
      </c>
      <c r="AE636" s="1">
        <v>7.53</v>
      </c>
      <c r="AF636" s="1">
        <v>0.23</v>
      </c>
      <c r="AI636" s="1">
        <v>11</v>
      </c>
      <c r="AK636" s="1">
        <v>306</v>
      </c>
      <c r="AL636" s="1">
        <v>1237</v>
      </c>
    </row>
    <row r="637" spans="4:38" x14ac:dyDescent="0.3">
      <c r="D637" s="2">
        <f t="shared" si="36"/>
        <v>2006</v>
      </c>
      <c r="E637" s="2">
        <f t="shared" si="37"/>
        <v>8</v>
      </c>
      <c r="F637" s="3" t="s">
        <v>179</v>
      </c>
      <c r="G637" s="4">
        <v>38938</v>
      </c>
      <c r="J637" s="1" t="s">
        <v>186</v>
      </c>
      <c r="K637" s="1">
        <v>3</v>
      </c>
      <c r="L637" s="1" t="str">
        <f t="shared" si="38"/>
        <v>Norrviken 3</v>
      </c>
      <c r="M637" s="1" t="s">
        <v>184</v>
      </c>
      <c r="Q637" s="1">
        <v>11.4</v>
      </c>
      <c r="R637" s="1">
        <v>0</v>
      </c>
      <c r="S637" s="1">
        <v>0</v>
      </c>
      <c r="W637" s="1">
        <v>1743</v>
      </c>
      <c r="X637" s="1">
        <f t="shared" si="40"/>
        <v>7.3361587510790338</v>
      </c>
      <c r="Y637" s="1">
        <v>0.214</v>
      </c>
      <c r="Z637" s="1">
        <v>579</v>
      </c>
      <c r="AC637" s="1">
        <v>50.7</v>
      </c>
      <c r="AD637" s="1">
        <v>0.1</v>
      </c>
      <c r="AE637" s="1">
        <v>7.31</v>
      </c>
      <c r="AF637" s="1">
        <v>4.3</v>
      </c>
      <c r="AI637" s="1">
        <v>11</v>
      </c>
      <c r="AK637" s="1">
        <v>656</v>
      </c>
      <c r="AL637" s="1">
        <v>2865</v>
      </c>
    </row>
    <row r="638" spans="4:38" x14ac:dyDescent="0.3">
      <c r="D638" s="2">
        <f t="shared" si="36"/>
        <v>2006</v>
      </c>
      <c r="E638" s="2">
        <f t="shared" si="37"/>
        <v>8</v>
      </c>
      <c r="F638" s="3" t="s">
        <v>179</v>
      </c>
      <c r="G638" s="4">
        <v>38938</v>
      </c>
      <c r="J638" s="1" t="s">
        <v>186</v>
      </c>
      <c r="K638" s="1">
        <v>3</v>
      </c>
      <c r="L638" s="1" t="str">
        <f t="shared" si="38"/>
        <v>Norrviken 3</v>
      </c>
      <c r="M638" s="1" t="s">
        <v>202</v>
      </c>
      <c r="Q638" s="1">
        <v>13.2</v>
      </c>
      <c r="R638" s="1">
        <v>0</v>
      </c>
      <c r="S638" s="1">
        <v>0</v>
      </c>
    </row>
    <row r="639" spans="4:38" x14ac:dyDescent="0.3">
      <c r="D639" s="2">
        <f t="shared" si="36"/>
        <v>2006</v>
      </c>
      <c r="E639" s="2">
        <f t="shared" si="37"/>
        <v>8</v>
      </c>
      <c r="F639" s="3" t="s">
        <v>179</v>
      </c>
      <c r="G639" s="4">
        <v>38938</v>
      </c>
      <c r="J639" s="1" t="s">
        <v>186</v>
      </c>
      <c r="K639" s="1">
        <v>3</v>
      </c>
      <c r="L639" s="1" t="str">
        <f t="shared" si="38"/>
        <v>Norrviken 3</v>
      </c>
      <c r="M639" s="1" t="s">
        <v>203</v>
      </c>
      <c r="Q639" s="1">
        <v>14.7</v>
      </c>
      <c r="R639" s="1">
        <v>0</v>
      </c>
      <c r="S639" s="1">
        <v>0</v>
      </c>
    </row>
    <row r="640" spans="4:38" x14ac:dyDescent="0.3">
      <c r="D640" s="2">
        <f t="shared" si="36"/>
        <v>2006</v>
      </c>
      <c r="E640" s="2">
        <f t="shared" si="37"/>
        <v>8</v>
      </c>
      <c r="F640" s="3" t="s">
        <v>179</v>
      </c>
      <c r="G640" s="4">
        <v>38938</v>
      </c>
      <c r="J640" s="1" t="s">
        <v>186</v>
      </c>
      <c r="K640" s="1">
        <v>2</v>
      </c>
      <c r="L640" s="1" t="str">
        <f t="shared" si="38"/>
        <v>Norrviken 2</v>
      </c>
      <c r="M640" s="1" t="s">
        <v>198</v>
      </c>
      <c r="Q640" s="1">
        <v>18.3</v>
      </c>
      <c r="R640" s="1">
        <v>0</v>
      </c>
      <c r="S640" s="1">
        <v>0</v>
      </c>
    </row>
    <row r="641" spans="4:38" x14ac:dyDescent="0.3">
      <c r="D641" s="2">
        <f t="shared" si="36"/>
        <v>2006</v>
      </c>
      <c r="E641" s="2">
        <f t="shared" si="37"/>
        <v>8</v>
      </c>
      <c r="F641" s="3" t="s">
        <v>179</v>
      </c>
      <c r="G641" s="4">
        <v>38938</v>
      </c>
      <c r="J641" s="1" t="s">
        <v>186</v>
      </c>
      <c r="K641" s="1">
        <v>3</v>
      </c>
      <c r="L641" s="1" t="str">
        <f t="shared" si="38"/>
        <v>Norrviken 3</v>
      </c>
      <c r="M641" s="1" t="s">
        <v>198</v>
      </c>
      <c r="Q641" s="1">
        <v>16.7</v>
      </c>
      <c r="R641" s="1">
        <v>0.1</v>
      </c>
      <c r="S641" s="1">
        <v>1</v>
      </c>
    </row>
    <row r="642" spans="4:38" x14ac:dyDescent="0.3">
      <c r="D642" s="2">
        <f t="shared" ref="D642:D705" si="41">YEAR(G642)</f>
        <v>2006</v>
      </c>
      <c r="E642" s="2">
        <f t="shared" ref="E642:E705" si="42">MONTH(G642)</f>
        <v>8</v>
      </c>
      <c r="F642" s="3" t="s">
        <v>179</v>
      </c>
      <c r="G642" s="4">
        <v>38938</v>
      </c>
      <c r="J642" s="1" t="s">
        <v>186</v>
      </c>
      <c r="K642" s="1">
        <v>2</v>
      </c>
      <c r="L642" s="1" t="str">
        <f t="shared" ref="L642:L705" si="43">CONCATENATE(J642," ",K642)</f>
        <v>Norrviken 2</v>
      </c>
      <c r="M642" s="1" t="s">
        <v>199</v>
      </c>
      <c r="Q642" s="1">
        <v>19.5</v>
      </c>
      <c r="R642" s="1">
        <v>0.2</v>
      </c>
      <c r="S642" s="1">
        <v>2</v>
      </c>
    </row>
    <row r="643" spans="4:38" x14ac:dyDescent="0.3">
      <c r="D643" s="2">
        <f t="shared" si="41"/>
        <v>2006</v>
      </c>
      <c r="E643" s="2">
        <f t="shared" si="42"/>
        <v>8</v>
      </c>
      <c r="F643" s="3" t="s">
        <v>179</v>
      </c>
      <c r="G643" s="4">
        <v>38938</v>
      </c>
      <c r="J643" s="1" t="s">
        <v>186</v>
      </c>
      <c r="K643" s="1">
        <v>3</v>
      </c>
      <c r="L643" s="1" t="str">
        <f t="shared" si="43"/>
        <v>Norrviken 3</v>
      </c>
      <c r="M643" s="1" t="s">
        <v>199</v>
      </c>
      <c r="Q643" s="1">
        <v>20.8</v>
      </c>
      <c r="R643" s="1">
        <v>4.8</v>
      </c>
      <c r="S643" s="1">
        <v>54</v>
      </c>
    </row>
    <row r="644" spans="4:38" x14ac:dyDescent="0.3">
      <c r="D644" s="2">
        <f t="shared" si="41"/>
        <v>2006</v>
      </c>
      <c r="E644" s="2">
        <f t="shared" si="42"/>
        <v>8</v>
      </c>
      <c r="F644" s="3" t="s">
        <v>179</v>
      </c>
      <c r="G644" s="4">
        <v>38938</v>
      </c>
      <c r="J644" s="1" t="s">
        <v>186</v>
      </c>
      <c r="K644" s="1">
        <v>2</v>
      </c>
      <c r="L644" s="1" t="str">
        <f t="shared" si="43"/>
        <v>Norrviken 2</v>
      </c>
      <c r="M644" s="1" t="s">
        <v>200</v>
      </c>
      <c r="Q644" s="1">
        <v>20.3</v>
      </c>
      <c r="R644" s="1">
        <v>1.8</v>
      </c>
      <c r="S644" s="1">
        <v>20</v>
      </c>
    </row>
    <row r="645" spans="4:38" x14ac:dyDescent="0.3">
      <c r="D645" s="2">
        <f t="shared" si="41"/>
        <v>2006</v>
      </c>
      <c r="E645" s="2">
        <f t="shared" si="42"/>
        <v>8</v>
      </c>
      <c r="F645" s="3" t="s">
        <v>179</v>
      </c>
      <c r="G645" s="4">
        <v>38938</v>
      </c>
      <c r="J645" s="1" t="s">
        <v>186</v>
      </c>
      <c r="K645" s="1">
        <v>3</v>
      </c>
      <c r="L645" s="1" t="str">
        <f t="shared" si="43"/>
        <v>Norrviken 3</v>
      </c>
      <c r="M645" s="1" t="s">
        <v>200</v>
      </c>
      <c r="Q645" s="1">
        <v>21.2</v>
      </c>
      <c r="R645" s="1">
        <v>9.6</v>
      </c>
      <c r="S645" s="1">
        <v>108</v>
      </c>
    </row>
    <row r="646" spans="4:38" x14ac:dyDescent="0.3">
      <c r="D646" s="2">
        <f t="shared" si="41"/>
        <v>2006</v>
      </c>
      <c r="E646" s="2">
        <f t="shared" si="42"/>
        <v>8</v>
      </c>
      <c r="F646" s="3" t="s">
        <v>179</v>
      </c>
      <c r="G646" s="4">
        <v>38938</v>
      </c>
      <c r="J646" s="1" t="s">
        <v>186</v>
      </c>
      <c r="K646" s="1">
        <v>2</v>
      </c>
      <c r="L646" s="1" t="str">
        <f t="shared" si="43"/>
        <v>Norrviken 2</v>
      </c>
      <c r="M646" s="1" t="s">
        <v>195</v>
      </c>
      <c r="Q646" s="1">
        <v>21</v>
      </c>
      <c r="R646" s="1">
        <v>5</v>
      </c>
      <c r="S646" s="1">
        <v>56</v>
      </c>
    </row>
    <row r="647" spans="4:38" x14ac:dyDescent="0.3">
      <c r="D647" s="2">
        <f t="shared" si="41"/>
        <v>2006</v>
      </c>
      <c r="E647" s="2">
        <f t="shared" si="42"/>
        <v>8</v>
      </c>
      <c r="F647" s="3" t="s">
        <v>179</v>
      </c>
      <c r="G647" s="4">
        <v>38938</v>
      </c>
      <c r="J647" s="1" t="s">
        <v>186</v>
      </c>
      <c r="K647" s="1">
        <v>3</v>
      </c>
      <c r="L647" s="1" t="str">
        <f t="shared" si="43"/>
        <v>Norrviken 3</v>
      </c>
      <c r="M647" s="1" t="s">
        <v>195</v>
      </c>
      <c r="Q647" s="1">
        <v>21.4</v>
      </c>
      <c r="R647" s="1">
        <v>10.199999999999999</v>
      </c>
      <c r="S647" s="1">
        <v>115</v>
      </c>
    </row>
    <row r="648" spans="4:38" x14ac:dyDescent="0.3">
      <c r="D648" s="2">
        <f t="shared" si="41"/>
        <v>2006</v>
      </c>
      <c r="E648" s="2">
        <f t="shared" si="42"/>
        <v>8</v>
      </c>
      <c r="F648" s="3" t="s">
        <v>179</v>
      </c>
      <c r="G648" s="4">
        <v>38938</v>
      </c>
      <c r="J648" s="1" t="s">
        <v>186</v>
      </c>
      <c r="K648" s="1">
        <v>2</v>
      </c>
      <c r="L648" s="1" t="str">
        <f t="shared" si="43"/>
        <v>Norrviken 2</v>
      </c>
      <c r="M648" s="1" t="s">
        <v>196</v>
      </c>
      <c r="Q648" s="1">
        <v>22.1</v>
      </c>
      <c r="R648" s="1">
        <v>13</v>
      </c>
      <c r="S648" s="1">
        <v>149</v>
      </c>
    </row>
    <row r="649" spans="4:38" x14ac:dyDescent="0.3">
      <c r="D649" s="2">
        <f t="shared" si="41"/>
        <v>2006</v>
      </c>
      <c r="E649" s="2">
        <f t="shared" si="42"/>
        <v>8</v>
      </c>
      <c r="F649" s="3" t="s">
        <v>179</v>
      </c>
      <c r="G649" s="4">
        <v>38938</v>
      </c>
      <c r="J649" s="1" t="s">
        <v>186</v>
      </c>
      <c r="K649" s="1">
        <v>3</v>
      </c>
      <c r="L649" s="1" t="str">
        <f t="shared" si="43"/>
        <v>Norrviken 3</v>
      </c>
      <c r="M649" s="1" t="s">
        <v>196</v>
      </c>
      <c r="Q649" s="1">
        <v>21.6</v>
      </c>
      <c r="R649" s="1">
        <v>11.2</v>
      </c>
      <c r="S649" s="1">
        <v>127</v>
      </c>
    </row>
    <row r="650" spans="4:38" x14ac:dyDescent="0.3">
      <c r="D650" s="2">
        <f t="shared" si="41"/>
        <v>2006</v>
      </c>
      <c r="E650" s="2">
        <f t="shared" si="42"/>
        <v>8</v>
      </c>
      <c r="F650" s="3" t="s">
        <v>179</v>
      </c>
      <c r="G650" s="4">
        <v>38938</v>
      </c>
      <c r="J650" s="1" t="s">
        <v>186</v>
      </c>
      <c r="K650" s="1">
        <v>2</v>
      </c>
      <c r="L650" s="1" t="str">
        <f t="shared" si="43"/>
        <v>Norrviken 2</v>
      </c>
      <c r="M650" s="1" t="s">
        <v>197</v>
      </c>
      <c r="Q650" s="1">
        <v>22.2</v>
      </c>
      <c r="R650" s="1">
        <v>14.4</v>
      </c>
      <c r="S650" s="1">
        <v>165</v>
      </c>
    </row>
    <row r="651" spans="4:38" x14ac:dyDescent="0.3">
      <c r="D651" s="2">
        <f t="shared" si="41"/>
        <v>2006</v>
      </c>
      <c r="E651" s="2">
        <f t="shared" si="42"/>
        <v>8</v>
      </c>
      <c r="F651" s="3" t="s">
        <v>179</v>
      </c>
      <c r="G651" s="4">
        <v>38938</v>
      </c>
      <c r="J651" s="1" t="s">
        <v>186</v>
      </c>
      <c r="K651" s="1">
        <v>3</v>
      </c>
      <c r="L651" s="1" t="str">
        <f t="shared" si="43"/>
        <v>Norrviken 3</v>
      </c>
      <c r="M651" s="1" t="s">
        <v>197</v>
      </c>
      <c r="Q651" s="1">
        <v>22</v>
      </c>
      <c r="R651" s="1">
        <v>13.4</v>
      </c>
      <c r="S651" s="1">
        <v>153</v>
      </c>
    </row>
    <row r="652" spans="4:38" x14ac:dyDescent="0.3">
      <c r="D652" s="2">
        <f t="shared" si="41"/>
        <v>2006</v>
      </c>
      <c r="E652" s="2">
        <f t="shared" si="42"/>
        <v>8</v>
      </c>
      <c r="F652" s="3" t="s">
        <v>179</v>
      </c>
      <c r="G652" s="4">
        <v>38938</v>
      </c>
      <c r="J652" s="1" t="s">
        <v>186</v>
      </c>
      <c r="K652" s="1">
        <v>2</v>
      </c>
      <c r="L652" s="1" t="str">
        <f t="shared" si="43"/>
        <v>Norrviken 2</v>
      </c>
      <c r="M652" s="1" t="s">
        <v>194</v>
      </c>
      <c r="Q652" s="1">
        <v>22.3</v>
      </c>
      <c r="R652" s="1">
        <v>14.6</v>
      </c>
      <c r="S652" s="1">
        <v>168</v>
      </c>
    </row>
    <row r="653" spans="4:38" x14ac:dyDescent="0.3">
      <c r="D653" s="2">
        <f t="shared" si="41"/>
        <v>2006</v>
      </c>
      <c r="E653" s="2">
        <f t="shared" si="42"/>
        <v>8</v>
      </c>
      <c r="F653" s="3" t="s">
        <v>179</v>
      </c>
      <c r="G653" s="4">
        <v>38938</v>
      </c>
      <c r="J653" s="1" t="s">
        <v>186</v>
      </c>
      <c r="K653" s="1">
        <v>3</v>
      </c>
      <c r="L653" s="1" t="str">
        <f t="shared" si="43"/>
        <v>Norrviken 3</v>
      </c>
      <c r="M653" s="1" t="s">
        <v>194</v>
      </c>
      <c r="Q653" s="1">
        <v>22.3</v>
      </c>
      <c r="R653" s="1">
        <v>14.9</v>
      </c>
      <c r="S653" s="1">
        <v>172</v>
      </c>
    </row>
    <row r="654" spans="4:38" x14ac:dyDescent="0.3">
      <c r="D654" s="2">
        <f t="shared" si="41"/>
        <v>2006</v>
      </c>
      <c r="E654" s="2">
        <f t="shared" si="42"/>
        <v>8</v>
      </c>
      <c r="F654" s="3" t="s">
        <v>179</v>
      </c>
      <c r="G654" s="4">
        <v>38938</v>
      </c>
      <c r="J654" s="1" t="s">
        <v>186</v>
      </c>
      <c r="K654" s="1">
        <v>3</v>
      </c>
      <c r="L654" s="1" t="str">
        <f t="shared" si="43"/>
        <v>Norrviken 3</v>
      </c>
      <c r="M654" s="1" t="s">
        <v>204</v>
      </c>
      <c r="Q654" s="1">
        <v>12.1</v>
      </c>
      <c r="R654" s="1">
        <v>0</v>
      </c>
      <c r="S654" s="1">
        <v>0</v>
      </c>
    </row>
    <row r="655" spans="4:38" x14ac:dyDescent="0.3">
      <c r="D655" s="2">
        <f t="shared" si="41"/>
        <v>2006</v>
      </c>
      <c r="E655" s="2">
        <f t="shared" si="42"/>
        <v>8</v>
      </c>
      <c r="F655" s="3" t="s">
        <v>179</v>
      </c>
      <c r="G655" s="4">
        <v>38938</v>
      </c>
      <c r="J655" s="1" t="s">
        <v>187</v>
      </c>
      <c r="K655" s="1"/>
      <c r="L655" s="1" t="str">
        <f t="shared" si="43"/>
        <v xml:space="preserve">Oxundasjön </v>
      </c>
      <c r="M655" s="1" t="s">
        <v>177</v>
      </c>
      <c r="P655" s="1">
        <v>1.8</v>
      </c>
      <c r="Q655" s="1">
        <v>23.5</v>
      </c>
      <c r="R655" s="1">
        <v>10.8</v>
      </c>
      <c r="S655" s="1">
        <v>126</v>
      </c>
      <c r="W655" s="1">
        <v>1</v>
      </c>
      <c r="X655" s="1">
        <f>W655 * (1/((10^((0.0901821 + (2729.92 /(273.15 + Q655)))-AE655)+1)))</f>
        <v>0.11120515161067918</v>
      </c>
      <c r="Y655" s="1">
        <v>0.05</v>
      </c>
      <c r="Z655" s="1">
        <v>65</v>
      </c>
      <c r="AB655" s="1">
        <v>29.079239999999999</v>
      </c>
      <c r="AC655" s="1">
        <v>51.7</v>
      </c>
      <c r="AD655" s="1">
        <v>1</v>
      </c>
      <c r="AE655" s="1">
        <v>8.39</v>
      </c>
      <c r="AI655" s="1">
        <v>11</v>
      </c>
      <c r="AK655" s="1">
        <v>156</v>
      </c>
      <c r="AL655" s="1">
        <v>837</v>
      </c>
    </row>
    <row r="656" spans="4:38" x14ac:dyDescent="0.3">
      <c r="D656" s="2">
        <f t="shared" si="41"/>
        <v>2006</v>
      </c>
      <c r="E656" s="2">
        <f t="shared" si="42"/>
        <v>8</v>
      </c>
      <c r="F656" s="3" t="s">
        <v>179</v>
      </c>
      <c r="G656" s="4">
        <v>38938</v>
      </c>
      <c r="J656" s="1" t="s">
        <v>187</v>
      </c>
      <c r="K656" s="1"/>
      <c r="L656" s="1" t="str">
        <f t="shared" si="43"/>
        <v xml:space="preserve">Oxundasjön </v>
      </c>
      <c r="M656" s="1" t="s">
        <v>184</v>
      </c>
      <c r="Q656" s="1">
        <v>21.3</v>
      </c>
      <c r="R656" s="1">
        <v>0.3</v>
      </c>
      <c r="S656" s="1">
        <v>4</v>
      </c>
      <c r="W656" s="1">
        <v>90</v>
      </c>
      <c r="X656" s="1">
        <f>W656 * (1/((10^((0.0901821 + (2729.92 /(273.15 + Q656)))-AE656)+1)))</f>
        <v>1.964377068978663</v>
      </c>
      <c r="Y656" s="1">
        <v>6.4000000000000001E-2</v>
      </c>
      <c r="Z656" s="1">
        <v>131</v>
      </c>
      <c r="AC656" s="1">
        <v>52.9</v>
      </c>
      <c r="AD656" s="1">
        <v>0.1</v>
      </c>
      <c r="AE656" s="1">
        <v>7.71</v>
      </c>
      <c r="AF656" s="1">
        <v>2.5000000000000001E-2</v>
      </c>
      <c r="AI656" s="1">
        <v>11</v>
      </c>
      <c r="AK656" s="1">
        <v>195</v>
      </c>
      <c r="AL656" s="1">
        <v>868</v>
      </c>
    </row>
    <row r="657" spans="4:38" x14ac:dyDescent="0.3">
      <c r="D657" s="2">
        <f t="shared" si="41"/>
        <v>2006</v>
      </c>
      <c r="E657" s="2">
        <f t="shared" si="42"/>
        <v>8</v>
      </c>
      <c r="F657" s="3" t="s">
        <v>179</v>
      </c>
      <c r="G657" s="4">
        <v>38938</v>
      </c>
      <c r="J657" s="1" t="s">
        <v>187</v>
      </c>
      <c r="K657" s="1"/>
      <c r="L657" s="1" t="str">
        <f t="shared" si="43"/>
        <v xml:space="preserve">Oxundasjön </v>
      </c>
      <c r="M657" s="1" t="s">
        <v>200</v>
      </c>
      <c r="Q657" s="1">
        <v>21.8</v>
      </c>
      <c r="R657" s="1">
        <v>4.5</v>
      </c>
      <c r="S657" s="1">
        <v>51</v>
      </c>
    </row>
    <row r="658" spans="4:38" x14ac:dyDescent="0.3">
      <c r="D658" s="2">
        <f t="shared" si="41"/>
        <v>2006</v>
      </c>
      <c r="E658" s="2">
        <f t="shared" si="42"/>
        <v>8</v>
      </c>
      <c r="F658" s="3" t="s">
        <v>179</v>
      </c>
      <c r="G658" s="4">
        <v>38938</v>
      </c>
      <c r="J658" s="1" t="s">
        <v>187</v>
      </c>
      <c r="K658" s="1"/>
      <c r="L658" s="1" t="str">
        <f t="shared" si="43"/>
        <v xml:space="preserve">Oxundasjön </v>
      </c>
      <c r="M658" s="1" t="s">
        <v>195</v>
      </c>
      <c r="Q658" s="1">
        <v>22.1</v>
      </c>
      <c r="R658" s="1">
        <v>5.9</v>
      </c>
      <c r="S658" s="1">
        <v>68</v>
      </c>
    </row>
    <row r="659" spans="4:38" x14ac:dyDescent="0.3">
      <c r="D659" s="2">
        <f t="shared" si="41"/>
        <v>2006</v>
      </c>
      <c r="E659" s="2">
        <f t="shared" si="42"/>
        <v>8</v>
      </c>
      <c r="F659" s="3" t="s">
        <v>179</v>
      </c>
      <c r="G659" s="4">
        <v>38938</v>
      </c>
      <c r="J659" s="1" t="s">
        <v>187</v>
      </c>
      <c r="K659" s="1"/>
      <c r="L659" s="1" t="str">
        <f t="shared" si="43"/>
        <v xml:space="preserve">Oxundasjön </v>
      </c>
      <c r="M659" s="1" t="s">
        <v>196</v>
      </c>
      <c r="Q659" s="1">
        <v>22.3</v>
      </c>
      <c r="R659" s="1">
        <v>6.8</v>
      </c>
      <c r="S659" s="1">
        <v>79</v>
      </c>
    </row>
    <row r="660" spans="4:38" x14ac:dyDescent="0.3">
      <c r="D660" s="2">
        <f t="shared" si="41"/>
        <v>2006</v>
      </c>
      <c r="E660" s="2">
        <f t="shared" si="42"/>
        <v>8</v>
      </c>
      <c r="F660" s="3" t="s">
        <v>179</v>
      </c>
      <c r="G660" s="4">
        <v>38938</v>
      </c>
      <c r="J660" s="1" t="s">
        <v>187</v>
      </c>
      <c r="K660" s="1"/>
      <c r="L660" s="1" t="str">
        <f t="shared" si="43"/>
        <v xml:space="preserve">Oxundasjön </v>
      </c>
      <c r="M660" s="1" t="s">
        <v>197</v>
      </c>
      <c r="Q660" s="1">
        <v>22.6</v>
      </c>
      <c r="R660" s="1">
        <v>8.5</v>
      </c>
      <c r="S660" s="1">
        <v>98</v>
      </c>
    </row>
    <row r="661" spans="4:38" x14ac:dyDescent="0.3">
      <c r="D661" s="2">
        <f t="shared" si="41"/>
        <v>2006</v>
      </c>
      <c r="E661" s="2">
        <f t="shared" si="42"/>
        <v>8</v>
      </c>
      <c r="F661" s="3" t="s">
        <v>179</v>
      </c>
      <c r="G661" s="4">
        <v>38938</v>
      </c>
      <c r="J661" s="1" t="s">
        <v>187</v>
      </c>
      <c r="K661" s="1"/>
      <c r="L661" s="1" t="str">
        <f t="shared" si="43"/>
        <v xml:space="preserve">Oxundasjön </v>
      </c>
      <c r="M661" s="1" t="s">
        <v>194</v>
      </c>
      <c r="Q661" s="1">
        <v>23.3</v>
      </c>
      <c r="R661" s="1">
        <v>10.7</v>
      </c>
      <c r="S661" s="1">
        <v>125</v>
      </c>
    </row>
    <row r="662" spans="4:38" x14ac:dyDescent="0.3">
      <c r="D662" s="2">
        <f t="shared" si="41"/>
        <v>2006</v>
      </c>
      <c r="E662" s="2">
        <f t="shared" si="42"/>
        <v>8</v>
      </c>
      <c r="F662" s="3" t="s">
        <v>179</v>
      </c>
      <c r="G662" s="4">
        <v>38938</v>
      </c>
      <c r="J662" s="1" t="s">
        <v>188</v>
      </c>
      <c r="K662" s="1"/>
      <c r="L662" s="1" t="str">
        <f t="shared" si="43"/>
        <v xml:space="preserve">Ravalen </v>
      </c>
      <c r="M662" s="1" t="s">
        <v>177</v>
      </c>
      <c r="P662" s="1">
        <v>1</v>
      </c>
      <c r="Q662" s="1">
        <v>23.2</v>
      </c>
      <c r="R662" s="1">
        <v>12.4</v>
      </c>
      <c r="S662" s="1">
        <v>144</v>
      </c>
      <c r="W662" s="1">
        <v>3</v>
      </c>
      <c r="X662" s="1">
        <f>W662 * (1/((10^((0.0901821 + (2729.92 /(273.15 + Q662)))-AE662)+1)))</f>
        <v>1.4792910722530661</v>
      </c>
      <c r="Y662" s="1">
        <v>6.2E-2</v>
      </c>
      <c r="Z662" s="1">
        <v>0.1</v>
      </c>
      <c r="AB662" s="1">
        <v>4.5001199999999999</v>
      </c>
      <c r="AC662" s="1">
        <v>53</v>
      </c>
      <c r="AD662" s="1">
        <v>2</v>
      </c>
      <c r="AE662" s="1">
        <v>9.2899999999999991</v>
      </c>
      <c r="AI662" s="1">
        <v>13</v>
      </c>
      <c r="AK662" s="1">
        <v>9</v>
      </c>
      <c r="AL662" s="1">
        <v>770</v>
      </c>
    </row>
    <row r="663" spans="4:38" x14ac:dyDescent="0.3">
      <c r="D663" s="2">
        <f t="shared" si="41"/>
        <v>2006</v>
      </c>
      <c r="E663" s="2">
        <f t="shared" si="42"/>
        <v>8</v>
      </c>
      <c r="F663" s="3" t="s">
        <v>179</v>
      </c>
      <c r="G663" s="4">
        <v>38938</v>
      </c>
      <c r="J663" s="1" t="s">
        <v>188</v>
      </c>
      <c r="K663" s="1"/>
      <c r="L663" s="1" t="str">
        <f t="shared" si="43"/>
        <v xml:space="preserve">Ravalen </v>
      </c>
      <c r="M663" s="1" t="s">
        <v>184</v>
      </c>
      <c r="Q663" s="1">
        <v>23.1</v>
      </c>
      <c r="R663" s="1">
        <v>13.2</v>
      </c>
      <c r="S663" s="1">
        <v>154</v>
      </c>
      <c r="W663" s="1">
        <v>3</v>
      </c>
      <c r="X663" s="1">
        <f>W663 * (1/((10^((0.0901821 + (2729.92 /(273.15 + Q663)))-AE663)+1)))</f>
        <v>1.5084585754522244</v>
      </c>
      <c r="Y663" s="1">
        <v>6.6000000000000003E-2</v>
      </c>
      <c r="Z663" s="1">
        <v>0.1</v>
      </c>
      <c r="AC663" s="1">
        <v>53</v>
      </c>
      <c r="AD663" s="1">
        <v>2</v>
      </c>
      <c r="AE663" s="1">
        <v>9.31</v>
      </c>
      <c r="AI663" s="1">
        <v>14</v>
      </c>
      <c r="AK663" s="1">
        <v>14</v>
      </c>
      <c r="AL663" s="1">
        <v>775</v>
      </c>
    </row>
    <row r="664" spans="4:38" x14ac:dyDescent="0.3">
      <c r="D664" s="2">
        <f t="shared" si="41"/>
        <v>2006</v>
      </c>
      <c r="E664" s="2">
        <f t="shared" si="42"/>
        <v>8</v>
      </c>
      <c r="F664" s="3" t="s">
        <v>179</v>
      </c>
      <c r="G664" s="4">
        <v>38938</v>
      </c>
      <c r="J664" s="1" t="s">
        <v>189</v>
      </c>
      <c r="K664" s="1"/>
      <c r="L664" s="1" t="str">
        <f t="shared" si="43"/>
        <v xml:space="preserve">Rösjön </v>
      </c>
      <c r="M664" s="1" t="s">
        <v>177</v>
      </c>
      <c r="P664" s="1">
        <v>3.7</v>
      </c>
      <c r="Q664" s="1">
        <v>23.2</v>
      </c>
      <c r="R664" s="1">
        <v>9.9</v>
      </c>
      <c r="S664" s="1">
        <v>117</v>
      </c>
      <c r="W664" s="1">
        <v>2</v>
      </c>
      <c r="X664" s="1">
        <f>W664 * (1/((10^((0.0901821 + (2729.92 /(273.15 + Q664)))-AE664)+1)))</f>
        <v>8.146611657823026E-2</v>
      </c>
      <c r="Y664" s="1">
        <v>0.04</v>
      </c>
      <c r="Z664" s="1">
        <v>1</v>
      </c>
      <c r="AB664" s="1">
        <v>2.1983999999999999</v>
      </c>
      <c r="AC664" s="1">
        <v>27.5</v>
      </c>
      <c r="AD664" s="1">
        <v>2</v>
      </c>
      <c r="AE664" s="1">
        <v>7.93</v>
      </c>
      <c r="AI664" s="1">
        <v>10</v>
      </c>
      <c r="AK664" s="1">
        <v>16</v>
      </c>
      <c r="AL664" s="1">
        <v>566</v>
      </c>
    </row>
    <row r="665" spans="4:38" x14ac:dyDescent="0.3">
      <c r="D665" s="2">
        <f t="shared" si="41"/>
        <v>2006</v>
      </c>
      <c r="E665" s="2">
        <f t="shared" si="42"/>
        <v>8</v>
      </c>
      <c r="F665" s="3" t="s">
        <v>179</v>
      </c>
      <c r="G665" s="4">
        <v>38938</v>
      </c>
      <c r="J665" s="1" t="s">
        <v>189</v>
      </c>
      <c r="K665" s="1"/>
      <c r="L665" s="1" t="str">
        <f t="shared" si="43"/>
        <v xml:space="preserve">Rösjön </v>
      </c>
      <c r="M665" s="1" t="s">
        <v>184</v>
      </c>
      <c r="Q665" s="1">
        <v>18.8</v>
      </c>
      <c r="R665" s="1">
        <v>0.3</v>
      </c>
      <c r="S665" s="1">
        <v>3</v>
      </c>
      <c r="W665" s="1">
        <v>148</v>
      </c>
      <c r="X665" s="1">
        <f>W665 * (1/((10^((0.0901821 + (2729.92 /(273.15 + Q665)))-AE665)+1)))</f>
        <v>1.0149597093947853</v>
      </c>
      <c r="Y665" s="1">
        <v>0.05</v>
      </c>
      <c r="Z665" s="1">
        <v>34</v>
      </c>
      <c r="AC665" s="1">
        <v>32</v>
      </c>
      <c r="AD665" s="1">
        <v>1</v>
      </c>
      <c r="AE665" s="1">
        <v>7.28</v>
      </c>
      <c r="AF665" s="1">
        <v>2.5000000000000001E-2</v>
      </c>
      <c r="AI665" s="1">
        <v>11</v>
      </c>
      <c r="AK665" s="1">
        <v>71</v>
      </c>
      <c r="AL665" s="1">
        <v>808</v>
      </c>
    </row>
    <row r="666" spans="4:38" x14ac:dyDescent="0.3">
      <c r="D666" s="2">
        <f t="shared" si="41"/>
        <v>2006</v>
      </c>
      <c r="E666" s="2">
        <f t="shared" si="42"/>
        <v>8</v>
      </c>
      <c r="F666" s="3" t="s">
        <v>179</v>
      </c>
      <c r="G666" s="4">
        <v>38938</v>
      </c>
      <c r="J666" s="1" t="s">
        <v>189</v>
      </c>
      <c r="K666" s="1"/>
      <c r="L666" s="1" t="str">
        <f t="shared" si="43"/>
        <v xml:space="preserve">Rösjön </v>
      </c>
      <c r="M666" s="1" t="s">
        <v>199</v>
      </c>
      <c r="Q666" s="1">
        <v>20.8</v>
      </c>
      <c r="R666" s="1">
        <v>0.5</v>
      </c>
      <c r="S666" s="1">
        <v>5</v>
      </c>
    </row>
    <row r="667" spans="4:38" x14ac:dyDescent="0.3">
      <c r="D667" s="2">
        <f t="shared" si="41"/>
        <v>2006</v>
      </c>
      <c r="E667" s="2">
        <f t="shared" si="42"/>
        <v>8</v>
      </c>
      <c r="F667" s="3" t="s">
        <v>179</v>
      </c>
      <c r="G667" s="4">
        <v>38938</v>
      </c>
      <c r="J667" s="1" t="s">
        <v>189</v>
      </c>
      <c r="K667" s="1"/>
      <c r="L667" s="1" t="str">
        <f t="shared" si="43"/>
        <v xml:space="preserve">Rösjön </v>
      </c>
      <c r="M667" s="1" t="s">
        <v>200</v>
      </c>
      <c r="Q667" s="1">
        <v>21.7</v>
      </c>
      <c r="R667" s="1">
        <v>2.6</v>
      </c>
      <c r="S667" s="1">
        <v>29</v>
      </c>
    </row>
    <row r="668" spans="4:38" x14ac:dyDescent="0.3">
      <c r="D668" s="2">
        <f t="shared" si="41"/>
        <v>2006</v>
      </c>
      <c r="E668" s="2">
        <f t="shared" si="42"/>
        <v>8</v>
      </c>
      <c r="F668" s="3" t="s">
        <v>179</v>
      </c>
      <c r="G668" s="4">
        <v>38938</v>
      </c>
      <c r="J668" s="1" t="s">
        <v>189</v>
      </c>
      <c r="K668" s="1"/>
      <c r="L668" s="1" t="str">
        <f t="shared" si="43"/>
        <v xml:space="preserve">Rösjön </v>
      </c>
      <c r="M668" s="1" t="s">
        <v>195</v>
      </c>
      <c r="Q668" s="1">
        <v>22.3</v>
      </c>
      <c r="R668" s="1">
        <v>7.4</v>
      </c>
      <c r="S668" s="1">
        <v>86</v>
      </c>
    </row>
    <row r="669" spans="4:38" x14ac:dyDescent="0.3">
      <c r="D669" s="2">
        <f t="shared" si="41"/>
        <v>2006</v>
      </c>
      <c r="E669" s="2">
        <f t="shared" si="42"/>
        <v>8</v>
      </c>
      <c r="F669" s="3" t="s">
        <v>179</v>
      </c>
      <c r="G669" s="4">
        <v>38938</v>
      </c>
      <c r="J669" s="1" t="s">
        <v>189</v>
      </c>
      <c r="K669" s="1"/>
      <c r="L669" s="1" t="str">
        <f t="shared" si="43"/>
        <v xml:space="preserve">Rösjön </v>
      </c>
      <c r="M669" s="1" t="s">
        <v>196</v>
      </c>
      <c r="Q669" s="1">
        <v>22.6</v>
      </c>
      <c r="R669" s="1">
        <v>9.6999999999999993</v>
      </c>
      <c r="S669" s="1">
        <v>111</v>
      </c>
    </row>
    <row r="670" spans="4:38" x14ac:dyDescent="0.3">
      <c r="D670" s="2">
        <f t="shared" si="41"/>
        <v>2006</v>
      </c>
      <c r="E670" s="2">
        <f t="shared" si="42"/>
        <v>8</v>
      </c>
      <c r="F670" s="3" t="s">
        <v>179</v>
      </c>
      <c r="G670" s="4">
        <v>38938</v>
      </c>
      <c r="J670" s="1" t="s">
        <v>189</v>
      </c>
      <c r="K670" s="1"/>
      <c r="L670" s="1" t="str">
        <f t="shared" si="43"/>
        <v xml:space="preserve">Rösjön </v>
      </c>
      <c r="M670" s="1" t="s">
        <v>197</v>
      </c>
      <c r="Q670" s="1">
        <v>22.7</v>
      </c>
      <c r="R670" s="1">
        <v>10.1</v>
      </c>
      <c r="S670" s="1">
        <v>117</v>
      </c>
    </row>
    <row r="671" spans="4:38" x14ac:dyDescent="0.3">
      <c r="D671" s="2">
        <f t="shared" si="41"/>
        <v>2006</v>
      </c>
      <c r="E671" s="2">
        <f t="shared" si="42"/>
        <v>8</v>
      </c>
      <c r="F671" s="3" t="s">
        <v>179</v>
      </c>
      <c r="G671" s="4">
        <v>38938</v>
      </c>
      <c r="J671" s="1" t="s">
        <v>189</v>
      </c>
      <c r="K671" s="1"/>
      <c r="L671" s="1" t="str">
        <f t="shared" si="43"/>
        <v xml:space="preserve">Rösjön </v>
      </c>
      <c r="M671" s="1" t="s">
        <v>194</v>
      </c>
      <c r="Q671" s="1">
        <v>22.9</v>
      </c>
      <c r="R671" s="1">
        <v>10.5</v>
      </c>
      <c r="S671" s="1">
        <v>123</v>
      </c>
    </row>
    <row r="672" spans="4:38" x14ac:dyDescent="0.3">
      <c r="D672" s="2">
        <f t="shared" si="41"/>
        <v>2006</v>
      </c>
      <c r="E672" s="2">
        <f t="shared" si="42"/>
        <v>8</v>
      </c>
      <c r="F672" s="3" t="s">
        <v>179</v>
      </c>
      <c r="G672" s="4">
        <v>38938</v>
      </c>
      <c r="J672" s="1" t="s">
        <v>190</v>
      </c>
      <c r="K672" s="1"/>
      <c r="L672" s="1" t="str">
        <f t="shared" si="43"/>
        <v xml:space="preserve">Snuggan </v>
      </c>
      <c r="M672" s="1" t="s">
        <v>177</v>
      </c>
      <c r="P672" s="1">
        <v>0.8</v>
      </c>
      <c r="Q672" s="1">
        <v>22.6</v>
      </c>
      <c r="R672" s="1">
        <v>9.3000000000000007</v>
      </c>
      <c r="S672" s="1">
        <v>107</v>
      </c>
      <c r="V672" s="1">
        <v>9.1104000000000004E-2</v>
      </c>
      <c r="W672" s="1">
        <v>1</v>
      </c>
      <c r="X672" s="1">
        <f>W672 * (1/((10^((0.0901821 + (2729.92 /(273.15 + Q672)))-AE672)+1)))</f>
        <v>4.7765208380638079E-4</v>
      </c>
      <c r="Y672" s="1">
        <v>0.52</v>
      </c>
      <c r="Z672" s="1">
        <v>4</v>
      </c>
      <c r="AB672" s="1">
        <v>12.953150000000001</v>
      </c>
      <c r="AC672" s="1">
        <v>6.5</v>
      </c>
      <c r="AD672" s="1">
        <v>0.1</v>
      </c>
      <c r="AE672" s="1">
        <v>6</v>
      </c>
      <c r="AI672" s="1">
        <v>32</v>
      </c>
      <c r="AK672" s="1">
        <v>18</v>
      </c>
      <c r="AL672" s="1">
        <v>1010</v>
      </c>
    </row>
    <row r="673" spans="4:38" x14ac:dyDescent="0.3">
      <c r="D673" s="2">
        <f t="shared" si="41"/>
        <v>2006</v>
      </c>
      <c r="E673" s="2">
        <f t="shared" si="42"/>
        <v>8</v>
      </c>
      <c r="F673" s="3" t="s">
        <v>179</v>
      </c>
      <c r="G673" s="4">
        <v>38938</v>
      </c>
      <c r="J673" s="1" t="s">
        <v>190</v>
      </c>
      <c r="K673" s="1"/>
      <c r="L673" s="1" t="str">
        <f t="shared" si="43"/>
        <v xml:space="preserve">Snuggan </v>
      </c>
      <c r="M673" s="1" t="s">
        <v>184</v>
      </c>
      <c r="Q673" s="1">
        <v>12.4</v>
      </c>
      <c r="R673" s="1">
        <v>0.3</v>
      </c>
      <c r="S673" s="1">
        <v>3</v>
      </c>
      <c r="V673" s="1">
        <v>0.18571199999999999</v>
      </c>
      <c r="W673" s="1">
        <v>306</v>
      </c>
      <c r="X673" s="1">
        <f>W673 * (1/((10^((0.0901821 + (2729.92 /(273.15 + Q673)))-AE673)+1)))</f>
        <v>3.7607011604857722E-2</v>
      </c>
      <c r="Y673" s="1">
        <v>0.66400000000000003</v>
      </c>
      <c r="Z673" s="1">
        <v>12</v>
      </c>
      <c r="AC673" s="1">
        <v>9.4</v>
      </c>
      <c r="AD673" s="1">
        <v>0.1</v>
      </c>
      <c r="AE673" s="1">
        <v>5.74</v>
      </c>
      <c r="AF673" s="1">
        <v>2.5000000000000001E-2</v>
      </c>
      <c r="AI673" s="1">
        <v>35</v>
      </c>
      <c r="AK673" s="1">
        <v>29</v>
      </c>
      <c r="AL673" s="1">
        <v>1601</v>
      </c>
    </row>
    <row r="674" spans="4:38" x14ac:dyDescent="0.3">
      <c r="D674" s="2">
        <f t="shared" si="41"/>
        <v>2006</v>
      </c>
      <c r="E674" s="2">
        <f t="shared" si="42"/>
        <v>8</v>
      </c>
      <c r="F674" s="3" t="s">
        <v>179</v>
      </c>
      <c r="G674" s="4">
        <v>38938</v>
      </c>
      <c r="J674" s="1" t="s">
        <v>190</v>
      </c>
      <c r="K674" s="1"/>
      <c r="L674" s="1" t="str">
        <f t="shared" si="43"/>
        <v xml:space="preserve">Snuggan </v>
      </c>
      <c r="M674" s="1" t="s">
        <v>197</v>
      </c>
      <c r="Q674" s="1">
        <v>15</v>
      </c>
      <c r="R674" s="1">
        <v>0.6</v>
      </c>
      <c r="S674" s="1">
        <v>6</v>
      </c>
    </row>
    <row r="675" spans="4:38" x14ac:dyDescent="0.3">
      <c r="D675" s="2">
        <f t="shared" si="41"/>
        <v>2006</v>
      </c>
      <c r="E675" s="2">
        <f t="shared" si="42"/>
        <v>8</v>
      </c>
      <c r="F675" s="3" t="s">
        <v>179</v>
      </c>
      <c r="G675" s="4">
        <v>38938</v>
      </c>
      <c r="J675" s="1" t="s">
        <v>190</v>
      </c>
      <c r="K675" s="1"/>
      <c r="L675" s="1" t="str">
        <f t="shared" si="43"/>
        <v xml:space="preserve">Snuggan </v>
      </c>
      <c r="M675" s="1" t="s">
        <v>194</v>
      </c>
      <c r="Q675" s="1">
        <v>21.6</v>
      </c>
      <c r="R675" s="1">
        <v>7.2</v>
      </c>
      <c r="S675" s="1">
        <v>81</v>
      </c>
    </row>
    <row r="676" spans="4:38" x14ac:dyDescent="0.3">
      <c r="D676" s="2">
        <f t="shared" si="41"/>
        <v>2006</v>
      </c>
      <c r="E676" s="2">
        <f t="shared" si="42"/>
        <v>8</v>
      </c>
      <c r="F676" s="3" t="s">
        <v>179</v>
      </c>
      <c r="G676" s="4">
        <v>38938</v>
      </c>
      <c r="J676" s="1" t="s">
        <v>191</v>
      </c>
      <c r="K676" s="1">
        <v>1</v>
      </c>
      <c r="L676" s="1" t="str">
        <f t="shared" si="43"/>
        <v>Vallentunasjön 1</v>
      </c>
      <c r="M676" s="1" t="s">
        <v>177</v>
      </c>
      <c r="P676" s="1">
        <v>0.4</v>
      </c>
      <c r="Q676" s="1">
        <v>21.6</v>
      </c>
      <c r="R676" s="1">
        <v>9.8000000000000007</v>
      </c>
      <c r="S676" s="1">
        <v>112</v>
      </c>
      <c r="W676" s="1">
        <v>0.1</v>
      </c>
      <c r="X676" s="1">
        <f>W676 * (1/((10^((0.0901821 + (2729.92 /(273.15 + Q676)))-AE676)+1)))</f>
        <v>1.5335685657608839E-2</v>
      </c>
      <c r="Y676" s="1">
        <v>5.3999999999999999E-2</v>
      </c>
      <c r="Z676" s="1">
        <v>12</v>
      </c>
      <c r="AB676" s="1">
        <v>46.822270000000003</v>
      </c>
      <c r="AC676" s="1">
        <v>38.5</v>
      </c>
      <c r="AD676" s="1">
        <v>1</v>
      </c>
      <c r="AE676" s="1">
        <v>8.61</v>
      </c>
      <c r="AI676" s="1">
        <v>13</v>
      </c>
      <c r="AK676" s="1">
        <v>70</v>
      </c>
      <c r="AL676" s="1">
        <v>1631</v>
      </c>
    </row>
    <row r="677" spans="4:38" x14ac:dyDescent="0.3">
      <c r="D677" s="2">
        <f t="shared" si="41"/>
        <v>2006</v>
      </c>
      <c r="E677" s="2">
        <f t="shared" si="42"/>
        <v>8</v>
      </c>
      <c r="F677" s="3" t="s">
        <v>179</v>
      </c>
      <c r="G677" s="4">
        <v>38938</v>
      </c>
      <c r="J677" s="1" t="s">
        <v>191</v>
      </c>
      <c r="K677" s="1">
        <v>2</v>
      </c>
      <c r="L677" s="1" t="str">
        <f t="shared" si="43"/>
        <v>Vallentunasjön 2</v>
      </c>
      <c r="M677" s="1" t="s">
        <v>177</v>
      </c>
      <c r="P677" s="1">
        <v>0.5</v>
      </c>
      <c r="Q677" s="1">
        <v>22.1</v>
      </c>
      <c r="R677" s="1">
        <v>8.9</v>
      </c>
      <c r="S677" s="1">
        <v>102</v>
      </c>
      <c r="W677" s="1">
        <v>1</v>
      </c>
      <c r="X677" s="1">
        <f>W677 * (1/((10^((0.0901821 + (2729.92 /(273.15 + Q677)))-AE677)+1)))</f>
        <v>0.14912582069057109</v>
      </c>
      <c r="Y677" s="1">
        <v>5.2999999999999999E-2</v>
      </c>
      <c r="Z677" s="1">
        <v>13</v>
      </c>
      <c r="AB677" s="1">
        <v>51.268900000000002</v>
      </c>
      <c r="AC677" s="1">
        <v>39.1</v>
      </c>
      <c r="AD677" s="1">
        <v>0.1</v>
      </c>
      <c r="AE677" s="1">
        <v>8.58</v>
      </c>
      <c r="AI677" s="1">
        <v>19</v>
      </c>
      <c r="AK677" s="1">
        <v>72</v>
      </c>
      <c r="AL677" s="1">
        <v>1662</v>
      </c>
    </row>
    <row r="678" spans="4:38" x14ac:dyDescent="0.3">
      <c r="D678" s="2">
        <f t="shared" si="41"/>
        <v>2006</v>
      </c>
      <c r="E678" s="2">
        <f t="shared" si="42"/>
        <v>8</v>
      </c>
      <c r="F678" s="3" t="s">
        <v>179</v>
      </c>
      <c r="G678" s="4">
        <v>38938</v>
      </c>
      <c r="J678" s="1" t="s">
        <v>191</v>
      </c>
      <c r="K678" s="1">
        <v>1</v>
      </c>
      <c r="L678" s="1" t="str">
        <f t="shared" si="43"/>
        <v>Vallentunasjön 1</v>
      </c>
      <c r="M678" s="1" t="s">
        <v>184</v>
      </c>
      <c r="Q678" s="1">
        <v>21.6</v>
      </c>
      <c r="R678" s="1">
        <v>8.9</v>
      </c>
      <c r="S678" s="1">
        <v>102</v>
      </c>
      <c r="W678" s="1">
        <v>0.1</v>
      </c>
      <c r="X678" s="1">
        <f>W678 * (1/((10^((0.0901821 + (2729.92 /(273.15 + Q678)))-AE678)+1)))</f>
        <v>1.4747254538935613E-2</v>
      </c>
      <c r="Y678" s="1">
        <v>5.5E-2</v>
      </c>
      <c r="Z678" s="1">
        <v>10</v>
      </c>
      <c r="AC678" s="1">
        <v>38.6</v>
      </c>
      <c r="AD678" s="1">
        <v>0.1</v>
      </c>
      <c r="AE678" s="1">
        <v>8.59</v>
      </c>
      <c r="AI678" s="1">
        <v>14</v>
      </c>
      <c r="AK678" s="1">
        <v>79</v>
      </c>
      <c r="AL678" s="1">
        <v>1748</v>
      </c>
    </row>
    <row r="679" spans="4:38" x14ac:dyDescent="0.3">
      <c r="D679" s="2">
        <f t="shared" si="41"/>
        <v>2006</v>
      </c>
      <c r="E679" s="2">
        <f t="shared" si="42"/>
        <v>8</v>
      </c>
      <c r="F679" s="3" t="s">
        <v>179</v>
      </c>
      <c r="G679" s="4">
        <v>38938</v>
      </c>
      <c r="J679" s="1" t="s">
        <v>191</v>
      </c>
      <c r="K679" s="1">
        <v>2</v>
      </c>
      <c r="L679" s="1" t="str">
        <f t="shared" si="43"/>
        <v>Vallentunasjön 2</v>
      </c>
      <c r="M679" s="1" t="s">
        <v>184</v>
      </c>
      <c r="Q679" s="1">
        <v>21.7</v>
      </c>
      <c r="R679" s="1">
        <v>0.1</v>
      </c>
      <c r="S679" s="1">
        <v>1</v>
      </c>
      <c r="W679" s="1">
        <v>0.1</v>
      </c>
      <c r="X679" s="1">
        <f>W679 * (1/((10^((0.0901821 + (2729.92 /(273.15 + Q679)))-AE679)+1)))</f>
        <v>9.5013654889813948E-3</v>
      </c>
      <c r="Y679" s="1">
        <v>0.17499999999999999</v>
      </c>
      <c r="Z679" s="1">
        <v>12</v>
      </c>
      <c r="AC679" s="1">
        <v>41.5</v>
      </c>
      <c r="AD679" s="1">
        <v>0.1</v>
      </c>
      <c r="AE679" s="1">
        <v>8.3699999999999992</v>
      </c>
      <c r="AF679" s="1">
        <v>2.5000000000000001E-2</v>
      </c>
      <c r="AI679" s="1">
        <v>21</v>
      </c>
      <c r="AK679" s="1">
        <v>64</v>
      </c>
      <c r="AL679" s="1">
        <v>1563</v>
      </c>
    </row>
    <row r="680" spans="4:38" x14ac:dyDescent="0.3">
      <c r="D680" s="2">
        <f t="shared" si="41"/>
        <v>2006</v>
      </c>
      <c r="E680" s="2">
        <f t="shared" si="42"/>
        <v>8</v>
      </c>
      <c r="F680" s="3" t="s">
        <v>179</v>
      </c>
      <c r="G680" s="4">
        <v>38938</v>
      </c>
      <c r="J680" s="1" t="s">
        <v>191</v>
      </c>
      <c r="K680" s="1">
        <v>2</v>
      </c>
      <c r="L680" s="1" t="str">
        <f t="shared" si="43"/>
        <v>Vallentunasjön 2</v>
      </c>
      <c r="M680" s="1" t="s">
        <v>196</v>
      </c>
      <c r="Q680" s="1">
        <v>22.2</v>
      </c>
      <c r="R680" s="1">
        <v>8.3000000000000007</v>
      </c>
      <c r="S680" s="1">
        <v>95</v>
      </c>
    </row>
    <row r="681" spans="4:38" x14ac:dyDescent="0.3">
      <c r="D681" s="2">
        <f t="shared" si="41"/>
        <v>2006</v>
      </c>
      <c r="E681" s="2">
        <f t="shared" si="42"/>
        <v>8</v>
      </c>
      <c r="F681" s="3" t="s">
        <v>179</v>
      </c>
      <c r="G681" s="4">
        <v>38938</v>
      </c>
      <c r="J681" s="1" t="s">
        <v>191</v>
      </c>
      <c r="K681" s="1">
        <v>2</v>
      </c>
      <c r="L681" s="1" t="str">
        <f t="shared" si="43"/>
        <v>Vallentunasjön 2</v>
      </c>
      <c r="M681" s="1" t="s">
        <v>197</v>
      </c>
      <c r="Q681" s="1">
        <v>22.2</v>
      </c>
      <c r="R681" s="1">
        <v>8.5</v>
      </c>
      <c r="S681" s="1">
        <v>98</v>
      </c>
    </row>
    <row r="682" spans="4:38" x14ac:dyDescent="0.3">
      <c r="D682" s="2">
        <f t="shared" si="41"/>
        <v>2006</v>
      </c>
      <c r="E682" s="2">
        <f t="shared" si="42"/>
        <v>8</v>
      </c>
      <c r="F682" s="3" t="s">
        <v>179</v>
      </c>
      <c r="G682" s="4">
        <v>38938</v>
      </c>
      <c r="J682" s="1" t="s">
        <v>191</v>
      </c>
      <c r="K682" s="1">
        <v>1</v>
      </c>
      <c r="L682" s="1" t="str">
        <f t="shared" si="43"/>
        <v>Vallentunasjön 1</v>
      </c>
      <c r="M682" s="1" t="s">
        <v>194</v>
      </c>
      <c r="Q682" s="1">
        <v>21.6</v>
      </c>
      <c r="R682" s="1">
        <v>9.5</v>
      </c>
      <c r="S682" s="1">
        <v>108</v>
      </c>
    </row>
    <row r="683" spans="4:38" x14ac:dyDescent="0.3">
      <c r="D683" s="2">
        <f t="shared" si="41"/>
        <v>2006</v>
      </c>
      <c r="E683" s="2">
        <f t="shared" si="42"/>
        <v>8</v>
      </c>
      <c r="F683" s="3" t="s">
        <v>179</v>
      </c>
      <c r="G683" s="4">
        <v>38938</v>
      </c>
      <c r="J683" s="1" t="s">
        <v>191</v>
      </c>
      <c r="K683" s="1">
        <v>2</v>
      </c>
      <c r="L683" s="1" t="str">
        <f t="shared" si="43"/>
        <v>Vallentunasjön 2</v>
      </c>
      <c r="M683" s="1" t="s">
        <v>194</v>
      </c>
      <c r="Q683" s="1">
        <v>22.2</v>
      </c>
      <c r="R683" s="1">
        <v>8.6</v>
      </c>
      <c r="S683" s="1">
        <v>98</v>
      </c>
    </row>
    <row r="684" spans="4:38" x14ac:dyDescent="0.3">
      <c r="D684" s="2">
        <f t="shared" si="41"/>
        <v>2006</v>
      </c>
      <c r="E684" s="2">
        <f t="shared" si="42"/>
        <v>8</v>
      </c>
      <c r="F684" s="3" t="s">
        <v>179</v>
      </c>
      <c r="G684" s="4">
        <v>38938</v>
      </c>
      <c r="J684" s="1" t="s">
        <v>192</v>
      </c>
      <c r="K684" s="1"/>
      <c r="L684" s="1" t="str">
        <f t="shared" si="43"/>
        <v xml:space="preserve">Väsjön </v>
      </c>
      <c r="M684" s="1" t="s">
        <v>177</v>
      </c>
      <c r="P684" s="1">
        <v>2.2000000000000002</v>
      </c>
      <c r="Q684" s="1">
        <v>22.7</v>
      </c>
      <c r="R684" s="1">
        <v>11.6</v>
      </c>
      <c r="S684" s="1">
        <v>135</v>
      </c>
      <c r="W684" s="1">
        <v>1</v>
      </c>
      <c r="X684" s="1">
        <f>W684 * (1/((10^((0.0901821 + (2729.92 /(273.15 + Q684)))-AE684)+1)))</f>
        <v>5.2369472983773029E-2</v>
      </c>
      <c r="Y684" s="1">
        <v>6.4000000000000001E-2</v>
      </c>
      <c r="Z684" s="1">
        <v>1</v>
      </c>
      <c r="AB684" s="1">
        <v>3.62318571428571</v>
      </c>
      <c r="AC684" s="1">
        <v>48.2</v>
      </c>
      <c r="AD684" s="1">
        <v>2</v>
      </c>
      <c r="AE684" s="1">
        <v>8.06</v>
      </c>
      <c r="AI684" s="1">
        <v>14</v>
      </c>
      <c r="AK684" s="1">
        <v>15</v>
      </c>
      <c r="AL684" s="1">
        <v>641</v>
      </c>
    </row>
    <row r="685" spans="4:38" x14ac:dyDescent="0.3">
      <c r="D685" s="2">
        <f t="shared" si="41"/>
        <v>2006</v>
      </c>
      <c r="E685" s="2">
        <f t="shared" si="42"/>
        <v>8</v>
      </c>
      <c r="F685" s="3" t="s">
        <v>179</v>
      </c>
      <c r="G685" s="4">
        <v>38938</v>
      </c>
      <c r="J685" s="1" t="s">
        <v>192</v>
      </c>
      <c r="K685" s="1"/>
      <c r="L685" s="1" t="str">
        <f t="shared" si="43"/>
        <v xml:space="preserve">Väsjön </v>
      </c>
      <c r="M685" s="1" t="s">
        <v>184</v>
      </c>
      <c r="Q685" s="1">
        <v>22.2</v>
      </c>
      <c r="R685" s="1">
        <v>13.1</v>
      </c>
      <c r="S685" s="1">
        <v>150</v>
      </c>
      <c r="W685" s="1">
        <v>2</v>
      </c>
      <c r="X685" s="1">
        <f>W685 * (1/((10^((0.0901821 + (2729.92 /(273.15 + Q685)))-AE685)+1)))</f>
        <v>0.10574423206480589</v>
      </c>
      <c r="Y685" s="1">
        <v>6.8000000000000005E-2</v>
      </c>
      <c r="Z685" s="1">
        <v>0.1</v>
      </c>
      <c r="AC685" s="1">
        <v>47.9</v>
      </c>
      <c r="AD685" s="1">
        <v>1</v>
      </c>
      <c r="AE685" s="1">
        <v>8.08</v>
      </c>
      <c r="AI685" s="1">
        <v>16</v>
      </c>
      <c r="AK685" s="1">
        <v>12</v>
      </c>
      <c r="AL685" s="1">
        <v>717</v>
      </c>
    </row>
    <row r="686" spans="4:38" x14ac:dyDescent="0.3">
      <c r="D686" s="2">
        <f t="shared" si="41"/>
        <v>2006</v>
      </c>
      <c r="E686" s="2">
        <f t="shared" si="42"/>
        <v>8</v>
      </c>
      <c r="F686" s="3" t="s">
        <v>179</v>
      </c>
      <c r="G686" s="4">
        <v>38938</v>
      </c>
      <c r="J686" s="1" t="s">
        <v>192</v>
      </c>
      <c r="K686" s="1"/>
      <c r="L686" s="1" t="str">
        <f t="shared" si="43"/>
        <v xml:space="preserve">Väsjön </v>
      </c>
      <c r="M686" s="1" t="s">
        <v>194</v>
      </c>
      <c r="Q686" s="1">
        <v>22.3</v>
      </c>
      <c r="R686" s="1">
        <v>11.8</v>
      </c>
      <c r="S686" s="1">
        <v>137</v>
      </c>
    </row>
    <row r="687" spans="4:38" x14ac:dyDescent="0.3">
      <c r="D687" s="2">
        <f t="shared" si="41"/>
        <v>2006</v>
      </c>
      <c r="E687" s="2">
        <f t="shared" si="42"/>
        <v>8</v>
      </c>
      <c r="F687" s="3" t="s">
        <v>179</v>
      </c>
      <c r="G687" s="4">
        <v>38938</v>
      </c>
      <c r="J687" s="1" t="s">
        <v>193</v>
      </c>
      <c r="K687" s="1"/>
      <c r="L687" s="1" t="str">
        <f t="shared" si="43"/>
        <v xml:space="preserve">Översjön </v>
      </c>
      <c r="M687" s="1" t="s">
        <v>177</v>
      </c>
      <c r="P687" s="1">
        <v>1.9</v>
      </c>
      <c r="Q687" s="1">
        <v>22</v>
      </c>
      <c r="R687" s="1">
        <v>7.3</v>
      </c>
      <c r="S687" s="1">
        <v>84</v>
      </c>
      <c r="W687" s="1">
        <v>5</v>
      </c>
      <c r="X687" s="1">
        <f>W687 * (1/((10^((0.0901821 + (2729.92 /(273.15 + Q687)))-AE687)+1)))</f>
        <v>0.13121262451765187</v>
      </c>
      <c r="Y687" s="1">
        <v>0.05</v>
      </c>
      <c r="Z687" s="1">
        <v>0.1</v>
      </c>
      <c r="AB687" s="1">
        <v>7.9592299999999998</v>
      </c>
      <c r="AC687" s="1">
        <v>44.3</v>
      </c>
      <c r="AD687" s="1">
        <v>1</v>
      </c>
      <c r="AE687" s="1">
        <v>7.77</v>
      </c>
      <c r="AI687" s="1">
        <v>13</v>
      </c>
      <c r="AK687" s="1">
        <v>24</v>
      </c>
      <c r="AL687" s="1">
        <v>763</v>
      </c>
    </row>
    <row r="688" spans="4:38" x14ac:dyDescent="0.3">
      <c r="D688" s="2">
        <f t="shared" si="41"/>
        <v>2006</v>
      </c>
      <c r="E688" s="2">
        <f t="shared" si="42"/>
        <v>8</v>
      </c>
      <c r="F688" s="3" t="s">
        <v>179</v>
      </c>
      <c r="G688" s="4">
        <v>38938</v>
      </c>
      <c r="J688" s="1" t="s">
        <v>193</v>
      </c>
      <c r="K688" s="1"/>
      <c r="L688" s="1" t="str">
        <f t="shared" si="43"/>
        <v xml:space="preserve">Översjön </v>
      </c>
      <c r="M688" s="1" t="s">
        <v>184</v>
      </c>
      <c r="Q688" s="1">
        <v>21.8</v>
      </c>
      <c r="R688" s="1">
        <v>7.4</v>
      </c>
      <c r="S688" s="1">
        <v>85</v>
      </c>
      <c r="W688" s="1">
        <v>12</v>
      </c>
      <c r="X688" s="1">
        <f>W688 * (1/((10^((0.0901821 + (2729.92 /(273.15 + Q688)))-AE688)+1)))</f>
        <v>0.27135077200175317</v>
      </c>
      <c r="Y688" s="1">
        <v>5.2999999999999999E-2</v>
      </c>
      <c r="Z688" s="1">
        <v>4</v>
      </c>
      <c r="AC688" s="1">
        <v>44.3</v>
      </c>
      <c r="AD688" s="1">
        <v>1</v>
      </c>
      <c r="AE688" s="1">
        <v>7.71</v>
      </c>
      <c r="AI688" s="1">
        <v>13</v>
      </c>
      <c r="AK688" s="1">
        <v>32</v>
      </c>
      <c r="AL688" s="1">
        <v>805</v>
      </c>
    </row>
    <row r="689" spans="4:67" x14ac:dyDescent="0.3">
      <c r="D689" s="2">
        <f t="shared" si="41"/>
        <v>2006</v>
      </c>
      <c r="E689" s="2">
        <f t="shared" si="42"/>
        <v>8</v>
      </c>
      <c r="F689" s="3" t="s">
        <v>179</v>
      </c>
      <c r="G689" s="4">
        <v>38938</v>
      </c>
      <c r="J689" s="1" t="s">
        <v>193</v>
      </c>
      <c r="K689" s="1"/>
      <c r="L689" s="1" t="str">
        <f t="shared" si="43"/>
        <v xml:space="preserve">Översjön </v>
      </c>
      <c r="M689" s="1" t="s">
        <v>197</v>
      </c>
      <c r="Q689" s="1">
        <v>21.9</v>
      </c>
      <c r="R689" s="1">
        <v>7.4</v>
      </c>
      <c r="S689" s="1">
        <v>85</v>
      </c>
    </row>
    <row r="690" spans="4:67" x14ac:dyDescent="0.3">
      <c r="D690" s="2">
        <f t="shared" si="41"/>
        <v>2006</v>
      </c>
      <c r="E690" s="2">
        <f t="shared" si="42"/>
        <v>8</v>
      </c>
      <c r="F690" s="3" t="s">
        <v>179</v>
      </c>
      <c r="G690" s="4">
        <v>38938</v>
      </c>
      <c r="J690" s="1" t="s">
        <v>193</v>
      </c>
      <c r="K690" s="1"/>
      <c r="L690" s="1" t="str">
        <f t="shared" si="43"/>
        <v xml:space="preserve">Översjön </v>
      </c>
      <c r="M690" s="1" t="s">
        <v>194</v>
      </c>
      <c r="Q690" s="1">
        <v>22</v>
      </c>
      <c r="R690" s="1">
        <v>7.4</v>
      </c>
      <c r="S690" s="1">
        <v>85</v>
      </c>
    </row>
    <row r="691" spans="4:67" x14ac:dyDescent="0.3">
      <c r="D691" s="2">
        <f t="shared" si="41"/>
        <v>2006</v>
      </c>
      <c r="E691" s="2">
        <f t="shared" si="42"/>
        <v>8</v>
      </c>
      <c r="F691" s="3" t="s">
        <v>179</v>
      </c>
      <c r="G691" s="4">
        <v>38957</v>
      </c>
      <c r="J691" s="1" t="s">
        <v>181</v>
      </c>
      <c r="K691" s="1"/>
      <c r="L691" s="1" t="str">
        <f t="shared" si="43"/>
        <v xml:space="preserve">Fysingen </v>
      </c>
      <c r="M691" s="1" t="s">
        <v>177</v>
      </c>
      <c r="P691" s="1">
        <v>2</v>
      </c>
      <c r="Q691" s="1">
        <v>20.399999999999999</v>
      </c>
      <c r="R691" s="1">
        <v>8.19</v>
      </c>
      <c r="V691" s="1">
        <v>2.3090000000000002</v>
      </c>
      <c r="W691" s="1">
        <v>7</v>
      </c>
      <c r="X691" s="1">
        <f t="shared" ref="X691:X700" si="44">W691 * (1/((10^((0.0901821 + (2729.92 /(273.15 + Q691)))-AE691)+1)))</f>
        <v>0.35687330260329181</v>
      </c>
      <c r="Y691" s="1">
        <v>2.7E-2</v>
      </c>
      <c r="Z691" s="1">
        <v>2</v>
      </c>
      <c r="AB691" s="1">
        <v>7.4</v>
      </c>
      <c r="AC691" s="1">
        <v>56.7</v>
      </c>
      <c r="AD691" s="1">
        <v>4</v>
      </c>
      <c r="AE691" s="1">
        <v>8.1199999999999992</v>
      </c>
      <c r="AI691" s="1">
        <v>11.4</v>
      </c>
      <c r="AK691" s="1">
        <v>24</v>
      </c>
      <c r="AL691" s="1">
        <v>459</v>
      </c>
      <c r="AV691" s="1">
        <v>46.155900000000003</v>
      </c>
      <c r="AX691" s="1">
        <v>109.16959999999999</v>
      </c>
      <c r="AY691" s="1">
        <v>0.25</v>
      </c>
    </row>
    <row r="692" spans="4:67" x14ac:dyDescent="0.3">
      <c r="D692" s="2">
        <f t="shared" si="41"/>
        <v>2006</v>
      </c>
      <c r="E692" s="2">
        <f t="shared" si="42"/>
        <v>8</v>
      </c>
      <c r="F692" s="3" t="s">
        <v>179</v>
      </c>
      <c r="G692" s="4">
        <v>38958</v>
      </c>
      <c r="H692" s="1">
        <v>6606238</v>
      </c>
      <c r="I692" s="1">
        <v>661152</v>
      </c>
      <c r="J692" s="5" t="s">
        <v>176</v>
      </c>
      <c r="K692" s="1"/>
      <c r="L692" s="1" t="str">
        <f t="shared" si="43"/>
        <v xml:space="preserve">Oxundaån </v>
      </c>
      <c r="M692" s="1" t="s">
        <v>177</v>
      </c>
      <c r="N692" s="1">
        <v>0.5</v>
      </c>
      <c r="O692" s="1">
        <v>0.5</v>
      </c>
      <c r="Q692" s="1">
        <v>20.2</v>
      </c>
      <c r="T692" s="1">
        <v>50.1</v>
      </c>
      <c r="V692" s="1">
        <v>2.504</v>
      </c>
      <c r="W692" s="1">
        <v>177</v>
      </c>
      <c r="X692" s="1">
        <f t="shared" si="44"/>
        <v>3.909088135268636</v>
      </c>
      <c r="Y692" s="1">
        <v>3.7999999999999999E-2</v>
      </c>
      <c r="Z692" s="1">
        <v>86</v>
      </c>
      <c r="AD692" s="1">
        <v>15</v>
      </c>
      <c r="AE692" s="1">
        <v>7.75</v>
      </c>
      <c r="AG692" s="1">
        <v>2.9</v>
      </c>
      <c r="AI692" s="1">
        <v>11.6</v>
      </c>
      <c r="AK692" s="1">
        <v>140</v>
      </c>
      <c r="AL692" s="1">
        <v>837</v>
      </c>
      <c r="AR692" s="1">
        <v>54.400000000000006</v>
      </c>
      <c r="AS692" s="1">
        <v>0.05</v>
      </c>
      <c r="AT692" s="1">
        <v>6.2560000000000002</v>
      </c>
      <c r="AU692" s="1">
        <v>10.3939</v>
      </c>
      <c r="AV692" s="1">
        <v>53.777650000000001</v>
      </c>
      <c r="AW692" s="1">
        <v>30.57902</v>
      </c>
      <c r="AX692" s="1">
        <v>60.783249999999988</v>
      </c>
      <c r="AY692" s="1">
        <v>1.96</v>
      </c>
      <c r="BC692" s="1">
        <v>8.0000000000000002E-3</v>
      </c>
      <c r="BE692" s="1">
        <v>2.2000000000000002</v>
      </c>
      <c r="BF692" s="1">
        <v>2.4</v>
      </c>
      <c r="BJ692" s="1">
        <v>4.5</v>
      </c>
      <c r="BL692" s="1">
        <v>0.39</v>
      </c>
      <c r="BO692" s="1">
        <v>3.8</v>
      </c>
    </row>
    <row r="693" spans="4:67" x14ac:dyDescent="0.3">
      <c r="D693" s="2">
        <f t="shared" si="41"/>
        <v>2006</v>
      </c>
      <c r="E693" s="2">
        <f t="shared" si="42"/>
        <v>9</v>
      </c>
      <c r="F693" s="3"/>
      <c r="G693" s="4">
        <v>38987</v>
      </c>
      <c r="H693" s="1">
        <v>6606238</v>
      </c>
      <c r="I693" s="1">
        <v>661152</v>
      </c>
      <c r="J693" s="5" t="s">
        <v>176</v>
      </c>
      <c r="K693" s="1"/>
      <c r="L693" s="1" t="str">
        <f t="shared" si="43"/>
        <v xml:space="preserve">Oxundaån </v>
      </c>
      <c r="M693" s="1" t="s">
        <v>177</v>
      </c>
      <c r="N693" s="1">
        <v>0.5</v>
      </c>
      <c r="O693" s="1">
        <v>0.5</v>
      </c>
      <c r="Q693" s="1">
        <v>16.2</v>
      </c>
      <c r="T693" s="1">
        <v>48.9</v>
      </c>
      <c r="V693" s="1">
        <v>2.48</v>
      </c>
      <c r="W693" s="1">
        <v>146</v>
      </c>
      <c r="X693" s="1">
        <f t="shared" si="44"/>
        <v>2.0113253731605494</v>
      </c>
      <c r="Y693" s="1">
        <v>0.04</v>
      </c>
      <c r="Z693" s="1">
        <v>70</v>
      </c>
      <c r="AD693" s="1">
        <v>3</v>
      </c>
      <c r="AE693" s="1">
        <v>7.67</v>
      </c>
      <c r="AG693" s="1">
        <v>3.3</v>
      </c>
      <c r="AI693" s="1">
        <v>12.5</v>
      </c>
      <c r="AK693" s="1">
        <v>152</v>
      </c>
      <c r="AL693" s="1">
        <v>827</v>
      </c>
      <c r="AR693" s="1">
        <v>55.099999999999994</v>
      </c>
      <c r="AS693" s="1">
        <v>5.8000000000000003E-2</v>
      </c>
      <c r="AT693" s="1">
        <v>6.6470000000000011</v>
      </c>
      <c r="AU693" s="1">
        <v>11.010999999999999</v>
      </c>
      <c r="AV693" s="1">
        <v>46.226800000000004</v>
      </c>
      <c r="AW693" s="1">
        <v>31.909540000000003</v>
      </c>
      <c r="AX693" s="1">
        <v>58.861249999999998</v>
      </c>
      <c r="AY693" s="1">
        <v>5.54</v>
      </c>
      <c r="BC693" s="1">
        <v>1.0999999999999999E-2</v>
      </c>
      <c r="BE693" s="1">
        <v>2.2000000000000002</v>
      </c>
      <c r="BF693" s="1">
        <v>3.6</v>
      </c>
      <c r="BJ693" s="1">
        <v>4.7</v>
      </c>
      <c r="BL693" s="1">
        <v>0.74</v>
      </c>
      <c r="BO693" s="1">
        <v>6.4</v>
      </c>
    </row>
    <row r="694" spans="4:67" x14ac:dyDescent="0.3">
      <c r="D694" s="2">
        <f t="shared" si="41"/>
        <v>2006</v>
      </c>
      <c r="E694" s="2">
        <f t="shared" si="42"/>
        <v>10</v>
      </c>
      <c r="F694" s="3" t="s">
        <v>180</v>
      </c>
      <c r="G694" s="4">
        <v>39007</v>
      </c>
      <c r="J694" s="1" t="s">
        <v>181</v>
      </c>
      <c r="K694" s="1"/>
      <c r="L694" s="1" t="str">
        <f t="shared" si="43"/>
        <v xml:space="preserve">Fysingen </v>
      </c>
      <c r="M694" s="1" t="s">
        <v>177</v>
      </c>
      <c r="P694" s="1">
        <v>1.8</v>
      </c>
      <c r="Q694" s="1">
        <v>10.5</v>
      </c>
      <c r="V694" s="1">
        <v>2.431</v>
      </c>
      <c r="W694" s="1">
        <v>81</v>
      </c>
      <c r="X694" s="1">
        <f t="shared" si="44"/>
        <v>1.2797678930595557</v>
      </c>
      <c r="Y694" s="1">
        <v>0.03</v>
      </c>
      <c r="Z694" s="1">
        <v>3</v>
      </c>
      <c r="AB694" s="1">
        <v>3.7</v>
      </c>
      <c r="AC694" s="1">
        <v>57.8</v>
      </c>
      <c r="AD694" s="1">
        <v>51</v>
      </c>
      <c r="AE694" s="1">
        <v>7.92</v>
      </c>
      <c r="AI694" s="1">
        <v>12.7</v>
      </c>
      <c r="AK694" s="1">
        <v>21</v>
      </c>
      <c r="AL694" s="1">
        <v>721</v>
      </c>
      <c r="AV694" s="1">
        <v>50.799850000000006</v>
      </c>
      <c r="AX694" s="1">
        <v>109.0735</v>
      </c>
      <c r="AY694" s="1">
        <v>0.17</v>
      </c>
    </row>
    <row r="695" spans="4:67" x14ac:dyDescent="0.3">
      <c r="D695" s="2">
        <f t="shared" si="41"/>
        <v>2006</v>
      </c>
      <c r="E695" s="2">
        <f t="shared" si="42"/>
        <v>10</v>
      </c>
      <c r="F695" s="3" t="s">
        <v>180</v>
      </c>
      <c r="G695" s="4">
        <v>39014</v>
      </c>
      <c r="H695" s="1">
        <v>6606238</v>
      </c>
      <c r="I695" s="1">
        <v>661152</v>
      </c>
      <c r="J695" s="5" t="s">
        <v>176</v>
      </c>
      <c r="K695" s="1"/>
      <c r="L695" s="1" t="str">
        <f t="shared" si="43"/>
        <v xml:space="preserve">Oxundaån </v>
      </c>
      <c r="M695" s="1" t="s">
        <v>177</v>
      </c>
      <c r="N695" s="1">
        <v>0.5</v>
      </c>
      <c r="O695" s="1">
        <v>0.5</v>
      </c>
      <c r="Q695" s="1">
        <v>10.5</v>
      </c>
      <c r="T695" s="1">
        <v>49.6</v>
      </c>
      <c r="V695" s="1">
        <v>2.4500000000000002</v>
      </c>
      <c r="W695" s="1">
        <v>70</v>
      </c>
      <c r="X695" s="1">
        <f t="shared" si="44"/>
        <v>0.62626441674283329</v>
      </c>
      <c r="Y695" s="1">
        <v>4.4999999999999998E-2</v>
      </c>
      <c r="Z695" s="1">
        <v>95</v>
      </c>
      <c r="AD695" s="1">
        <v>82</v>
      </c>
      <c r="AE695" s="1">
        <v>7.67</v>
      </c>
      <c r="AG695" s="1">
        <v>3.8</v>
      </c>
      <c r="AI695" s="1">
        <v>12.5</v>
      </c>
      <c r="AK695" s="1">
        <v>131</v>
      </c>
      <c r="AL695" s="1">
        <v>821</v>
      </c>
      <c r="AR695" s="1">
        <v>58.98</v>
      </c>
      <c r="AS695" s="1">
        <v>0.04</v>
      </c>
      <c r="AT695" s="1">
        <v>6.8425000000000002</v>
      </c>
      <c r="AU695" s="1">
        <v>11.482899999999999</v>
      </c>
      <c r="AV695" s="1">
        <v>43.887100000000004</v>
      </c>
      <c r="AW695" s="1">
        <v>32.574800000000003</v>
      </c>
      <c r="AX695" s="1">
        <v>60.3508</v>
      </c>
      <c r="AY695" s="1">
        <v>2.35</v>
      </c>
      <c r="BC695" s="1">
        <v>1.2E-2</v>
      </c>
      <c r="BE695" s="1">
        <v>1.6</v>
      </c>
      <c r="BF695" s="1">
        <v>1.9</v>
      </c>
      <c r="BJ695" s="1">
        <v>4.5</v>
      </c>
      <c r="BL695" s="1">
        <v>0.59</v>
      </c>
      <c r="BO695" s="1">
        <v>4.8</v>
      </c>
    </row>
    <row r="696" spans="4:67" x14ac:dyDescent="0.3">
      <c r="D696" s="2">
        <f t="shared" si="41"/>
        <v>2006</v>
      </c>
      <c r="E696" s="2">
        <f t="shared" si="42"/>
        <v>11</v>
      </c>
      <c r="F696" s="3" t="s">
        <v>180</v>
      </c>
      <c r="G696" s="4">
        <v>39050</v>
      </c>
      <c r="H696" s="1">
        <v>6606238</v>
      </c>
      <c r="I696" s="1">
        <v>661152</v>
      </c>
      <c r="J696" s="5" t="s">
        <v>176</v>
      </c>
      <c r="K696" s="1"/>
      <c r="L696" s="1" t="str">
        <f t="shared" si="43"/>
        <v xml:space="preserve">Oxundaån </v>
      </c>
      <c r="M696" s="1" t="s">
        <v>177</v>
      </c>
      <c r="N696" s="1">
        <v>0.5</v>
      </c>
      <c r="O696" s="1">
        <v>0.5</v>
      </c>
      <c r="Q696" s="1">
        <v>3</v>
      </c>
      <c r="T696" s="1">
        <v>49.1</v>
      </c>
      <c r="V696" s="1">
        <v>2.3570000000000002</v>
      </c>
      <c r="W696" s="1">
        <v>189</v>
      </c>
      <c r="X696" s="1">
        <f t="shared" si="44"/>
        <v>0.88836552340642394</v>
      </c>
      <c r="Y696" s="1">
        <v>0.06</v>
      </c>
      <c r="Z696" s="1">
        <v>68</v>
      </c>
      <c r="AD696" s="1">
        <v>380</v>
      </c>
      <c r="AE696" s="1">
        <v>7.65</v>
      </c>
      <c r="AG696" s="1">
        <v>3.2</v>
      </c>
      <c r="AI696" s="1">
        <v>12.5</v>
      </c>
      <c r="AK696" s="1">
        <v>86</v>
      </c>
      <c r="AL696" s="1">
        <v>1061</v>
      </c>
      <c r="AR696" s="1">
        <v>53.620000000000005</v>
      </c>
      <c r="AS696" s="1">
        <v>0.2</v>
      </c>
      <c r="AT696" s="1">
        <v>6.0996000000000006</v>
      </c>
      <c r="AU696" s="1">
        <v>10.006699999999999</v>
      </c>
      <c r="AV696" s="1">
        <v>41.831000000000003</v>
      </c>
      <c r="AW696" s="1">
        <v>28.881460000000001</v>
      </c>
      <c r="AX696" s="1">
        <v>60.975449999999995</v>
      </c>
      <c r="AY696" s="1">
        <v>4.42</v>
      </c>
      <c r="BC696" s="1">
        <v>1.6E-2</v>
      </c>
      <c r="BE696" s="1">
        <v>2.2999999999999998</v>
      </c>
      <c r="BF696" s="1">
        <v>2.2999999999999998</v>
      </c>
      <c r="BJ696" s="1">
        <v>4.3</v>
      </c>
      <c r="BL696" s="1">
        <v>0.51</v>
      </c>
      <c r="BO696" s="1">
        <v>4.5</v>
      </c>
    </row>
    <row r="697" spans="4:67" x14ac:dyDescent="0.3">
      <c r="D697" s="2">
        <f t="shared" si="41"/>
        <v>2006</v>
      </c>
      <c r="E697" s="2">
        <f t="shared" si="42"/>
        <v>12</v>
      </c>
      <c r="F697" s="3" t="s">
        <v>175</v>
      </c>
      <c r="G697" s="4">
        <v>39082</v>
      </c>
      <c r="H697" s="1">
        <v>6606238</v>
      </c>
      <c r="I697" s="1">
        <v>661152</v>
      </c>
      <c r="J697" s="5" t="s">
        <v>176</v>
      </c>
      <c r="K697" s="1"/>
      <c r="L697" s="1" t="str">
        <f t="shared" si="43"/>
        <v xml:space="preserve">Oxundaån </v>
      </c>
      <c r="M697" s="1" t="s">
        <v>177</v>
      </c>
      <c r="N697" s="1">
        <v>0.5</v>
      </c>
      <c r="O697" s="1">
        <v>0.5</v>
      </c>
      <c r="Q697" s="1">
        <v>1.4</v>
      </c>
      <c r="T697" s="1">
        <v>50.6</v>
      </c>
      <c r="V697" s="1">
        <v>2.0609999999999999</v>
      </c>
      <c r="W697" s="1">
        <v>41</v>
      </c>
      <c r="X697" s="1">
        <f t="shared" si="44"/>
        <v>0.2075606306357955</v>
      </c>
      <c r="Y697" s="1">
        <v>7.3999999999999996E-2</v>
      </c>
      <c r="Z697" s="1">
        <v>41</v>
      </c>
      <c r="AD697" s="1">
        <v>1043</v>
      </c>
      <c r="AE697" s="1">
        <v>7.74</v>
      </c>
      <c r="AG697" s="1">
        <v>4.4000000000000004</v>
      </c>
      <c r="AI697" s="1">
        <v>12.1</v>
      </c>
      <c r="AK697" s="1">
        <v>59</v>
      </c>
      <c r="AL697" s="1">
        <v>1191</v>
      </c>
      <c r="AR697" s="1">
        <v>57.14</v>
      </c>
      <c r="AS697" s="1">
        <v>0.31</v>
      </c>
      <c r="AT697" s="1">
        <v>6.4515000000000002</v>
      </c>
      <c r="AU697" s="1">
        <v>10.902100000000001</v>
      </c>
      <c r="AV697" s="1">
        <v>38.995000000000005</v>
      </c>
      <c r="AW697" s="1">
        <v>27.917980000000004</v>
      </c>
      <c r="AX697" s="1">
        <v>74.525549999999996</v>
      </c>
      <c r="AY697" s="1">
        <v>1.56</v>
      </c>
      <c r="BC697" s="1">
        <v>1.9E-2</v>
      </c>
      <c r="BE697" s="1">
        <v>1.3</v>
      </c>
      <c r="BF697" s="1">
        <v>5.8</v>
      </c>
      <c r="BJ697" s="1">
        <v>5.6</v>
      </c>
      <c r="BL697" s="1">
        <v>0.77</v>
      </c>
      <c r="BO697" s="1">
        <v>14</v>
      </c>
    </row>
    <row r="698" spans="4:67" x14ac:dyDescent="0.3">
      <c r="D698" s="2">
        <f t="shared" si="41"/>
        <v>2007</v>
      </c>
      <c r="E698" s="2">
        <f t="shared" si="42"/>
        <v>1</v>
      </c>
      <c r="F698" s="3" t="s">
        <v>175</v>
      </c>
      <c r="G698" s="4">
        <v>39113</v>
      </c>
      <c r="H698" s="1">
        <v>6606238</v>
      </c>
      <c r="I698" s="1">
        <v>661152</v>
      </c>
      <c r="J698" s="5" t="s">
        <v>176</v>
      </c>
      <c r="K698" s="1"/>
      <c r="L698" s="1" t="str">
        <f t="shared" si="43"/>
        <v xml:space="preserve">Oxundaån </v>
      </c>
      <c r="M698" s="1" t="s">
        <v>177</v>
      </c>
      <c r="N698" s="1">
        <v>0.5</v>
      </c>
      <c r="O698" s="1">
        <v>0.5</v>
      </c>
      <c r="Q698" s="1">
        <v>0</v>
      </c>
      <c r="T698" s="1">
        <v>49.7</v>
      </c>
      <c r="V698" s="1">
        <v>2.1560000000000001</v>
      </c>
      <c r="W698" s="1">
        <v>57</v>
      </c>
      <c r="X698" s="1">
        <f t="shared" si="44"/>
        <v>0.1660390317895046</v>
      </c>
      <c r="Y698" s="1">
        <v>7.0999999999999994E-2</v>
      </c>
      <c r="Z698" s="1">
        <v>46</v>
      </c>
      <c r="AD698" s="1">
        <v>1897</v>
      </c>
      <c r="AE698" s="1">
        <v>7.55</v>
      </c>
      <c r="AG698" s="1">
        <v>8.4</v>
      </c>
      <c r="AI698" s="1">
        <v>9</v>
      </c>
      <c r="AK698" s="1">
        <v>64</v>
      </c>
      <c r="AL698" s="1">
        <v>2181</v>
      </c>
      <c r="AR698" s="1">
        <v>57.599999999999994</v>
      </c>
      <c r="AS698" s="1">
        <v>0.84</v>
      </c>
      <c r="AT698" s="1">
        <v>6.3733000000000004</v>
      </c>
      <c r="AU698" s="1">
        <v>10.914199999999999</v>
      </c>
      <c r="AV698" s="1">
        <v>39.384950000000003</v>
      </c>
      <c r="AW698" s="1">
        <v>27.000380000000003</v>
      </c>
      <c r="AX698" s="1">
        <v>73.084049999999991</v>
      </c>
      <c r="AY698" s="1">
        <v>11.01</v>
      </c>
      <c r="BC698" s="1">
        <v>2.5000000000000001E-2</v>
      </c>
      <c r="BE698" s="1">
        <v>1.2</v>
      </c>
      <c r="BF698" s="1">
        <v>4.7</v>
      </c>
      <c r="BJ698" s="1">
        <v>7.4</v>
      </c>
      <c r="BL698" s="1">
        <v>0.84</v>
      </c>
      <c r="BO698" s="1">
        <v>11</v>
      </c>
    </row>
    <row r="699" spans="4:67" x14ac:dyDescent="0.3">
      <c r="D699" s="2">
        <f t="shared" si="41"/>
        <v>2007</v>
      </c>
      <c r="E699" s="2">
        <f t="shared" si="42"/>
        <v>2</v>
      </c>
      <c r="F699" s="3" t="s">
        <v>175</v>
      </c>
      <c r="G699" s="4">
        <v>39133</v>
      </c>
      <c r="J699" s="1" t="s">
        <v>181</v>
      </c>
      <c r="K699" s="1"/>
      <c r="L699" s="1" t="str">
        <f t="shared" si="43"/>
        <v xml:space="preserve">Fysingen </v>
      </c>
      <c r="M699" s="1" t="s">
        <v>177</v>
      </c>
      <c r="Q699" s="1">
        <v>0</v>
      </c>
      <c r="V699" s="1">
        <v>1.8089999999999999</v>
      </c>
      <c r="W699" s="1">
        <v>47</v>
      </c>
      <c r="X699" s="1">
        <f t="shared" si="44"/>
        <v>9.9261754292345378E-2</v>
      </c>
      <c r="Y699" s="1">
        <v>7.0000000000000007E-2</v>
      </c>
      <c r="Z699" s="1">
        <v>26</v>
      </c>
      <c r="AB699" s="1">
        <v>6</v>
      </c>
      <c r="AC699" s="1">
        <v>54.8</v>
      </c>
      <c r="AD699" s="1">
        <v>2489</v>
      </c>
      <c r="AE699" s="1">
        <v>7.41</v>
      </c>
      <c r="AI699" s="1">
        <v>12.8</v>
      </c>
      <c r="AK699" s="1">
        <v>46</v>
      </c>
      <c r="AL699" s="1">
        <v>3057</v>
      </c>
      <c r="AV699" s="1">
        <v>38.569600000000008</v>
      </c>
      <c r="AX699" s="1">
        <v>118.34715</v>
      </c>
      <c r="AY699" s="1">
        <v>13.13</v>
      </c>
    </row>
    <row r="700" spans="4:67" x14ac:dyDescent="0.3">
      <c r="D700" s="2">
        <f t="shared" si="41"/>
        <v>2007</v>
      </c>
      <c r="E700" s="2">
        <f t="shared" si="42"/>
        <v>2</v>
      </c>
      <c r="F700" s="3" t="s">
        <v>175</v>
      </c>
      <c r="G700" s="4">
        <v>39141</v>
      </c>
      <c r="H700" s="1">
        <v>6606238</v>
      </c>
      <c r="I700" s="1">
        <v>661152</v>
      </c>
      <c r="J700" s="5" t="s">
        <v>176</v>
      </c>
      <c r="K700" s="1"/>
      <c r="L700" s="1" t="str">
        <f t="shared" si="43"/>
        <v xml:space="preserve">Oxundaån </v>
      </c>
      <c r="M700" s="1" t="s">
        <v>177</v>
      </c>
      <c r="N700" s="1">
        <v>0.5</v>
      </c>
      <c r="O700" s="1">
        <v>0.5</v>
      </c>
      <c r="Q700" s="1">
        <v>0</v>
      </c>
      <c r="T700" s="1">
        <v>51.5</v>
      </c>
      <c r="V700" s="1">
        <v>2.2989999999999999</v>
      </c>
      <c r="W700" s="1">
        <v>58</v>
      </c>
      <c r="X700" s="1">
        <f t="shared" si="44"/>
        <v>0.13428379313748542</v>
      </c>
      <c r="Y700" s="1">
        <v>7.2999999999999995E-2</v>
      </c>
      <c r="Z700" s="1">
        <v>34</v>
      </c>
      <c r="AD700" s="1">
        <v>1943</v>
      </c>
      <c r="AE700" s="1">
        <v>7.45</v>
      </c>
      <c r="AG700" s="1">
        <v>5.4</v>
      </c>
      <c r="AI700" s="1">
        <v>9.4</v>
      </c>
      <c r="AK700" s="1">
        <v>53</v>
      </c>
      <c r="AL700" s="1">
        <v>2237</v>
      </c>
      <c r="AR700" s="1">
        <v>57.86</v>
      </c>
      <c r="AS700" s="1">
        <v>0.51</v>
      </c>
      <c r="AT700" s="1">
        <v>6.4124000000000008</v>
      </c>
      <c r="AU700" s="1">
        <v>10.539099999999999</v>
      </c>
      <c r="AV700" s="1">
        <v>41.051099999999998</v>
      </c>
      <c r="AW700" s="1">
        <v>28.032680000000003</v>
      </c>
      <c r="AX700" s="1">
        <v>70.201049999999995</v>
      </c>
      <c r="AY700" s="1">
        <v>12.49</v>
      </c>
      <c r="BC700" s="1">
        <v>2.8000000000000001E-2</v>
      </c>
      <c r="BE700" s="1">
        <v>0.74</v>
      </c>
      <c r="BF700" s="1">
        <v>4.4000000000000004</v>
      </c>
      <c r="BJ700" s="1">
        <v>7.4</v>
      </c>
      <c r="BL700" s="1">
        <v>0.73</v>
      </c>
      <c r="BO700" s="1">
        <v>10</v>
      </c>
    </row>
    <row r="701" spans="4:67" x14ac:dyDescent="0.3">
      <c r="D701" s="2">
        <f t="shared" si="41"/>
        <v>2007</v>
      </c>
      <c r="E701" s="2">
        <f t="shared" si="42"/>
        <v>3</v>
      </c>
      <c r="F701" s="3" t="s">
        <v>175</v>
      </c>
      <c r="G701" s="4">
        <v>39149</v>
      </c>
      <c r="J701" s="1" t="s">
        <v>182</v>
      </c>
      <c r="K701" s="1"/>
      <c r="L701" s="1" t="str">
        <f t="shared" si="43"/>
        <v xml:space="preserve">Edssjön </v>
      </c>
      <c r="M701" s="1" t="s">
        <v>177</v>
      </c>
      <c r="P701" s="1">
        <v>1.2</v>
      </c>
      <c r="Q701" s="1">
        <v>1.8</v>
      </c>
      <c r="R701" s="1">
        <v>10</v>
      </c>
      <c r="S701" s="1">
        <v>71</v>
      </c>
      <c r="W701" s="1">
        <v>47</v>
      </c>
      <c r="Z701" s="1">
        <v>41</v>
      </c>
      <c r="AD701" s="1">
        <v>1172</v>
      </c>
      <c r="AK701" s="1">
        <v>58</v>
      </c>
      <c r="AL701" s="1">
        <v>1752</v>
      </c>
    </row>
    <row r="702" spans="4:67" x14ac:dyDescent="0.3">
      <c r="D702" s="2">
        <f t="shared" si="41"/>
        <v>2007</v>
      </c>
      <c r="E702" s="2">
        <f t="shared" si="42"/>
        <v>3</v>
      </c>
      <c r="F702" s="3" t="s">
        <v>175</v>
      </c>
      <c r="G702" s="4">
        <v>39149</v>
      </c>
      <c r="J702" s="1" t="s">
        <v>182</v>
      </c>
      <c r="K702" s="1"/>
      <c r="L702" s="1" t="str">
        <f t="shared" si="43"/>
        <v xml:space="preserve">Edssjön </v>
      </c>
      <c r="M702" s="1" t="s">
        <v>184</v>
      </c>
      <c r="Q702" s="1">
        <v>3.3</v>
      </c>
      <c r="R702" s="1">
        <v>1</v>
      </c>
      <c r="S702" s="1">
        <v>8</v>
      </c>
      <c r="W702" s="1">
        <v>17</v>
      </c>
      <c r="Z702" s="1">
        <v>67</v>
      </c>
      <c r="AD702" s="1">
        <v>968</v>
      </c>
      <c r="AF702" s="1">
        <v>2.5000000000000001E-2</v>
      </c>
      <c r="AK702" s="1">
        <v>73</v>
      </c>
      <c r="AL702" s="1">
        <v>1547</v>
      </c>
    </row>
    <row r="703" spans="4:67" x14ac:dyDescent="0.3">
      <c r="D703" s="2">
        <f t="shared" si="41"/>
        <v>2007</v>
      </c>
      <c r="E703" s="2">
        <f t="shared" si="42"/>
        <v>3</v>
      </c>
      <c r="F703" s="3" t="s">
        <v>175</v>
      </c>
      <c r="G703" s="4">
        <v>39149</v>
      </c>
      <c r="J703" s="1" t="s">
        <v>182</v>
      </c>
      <c r="K703" s="1"/>
      <c r="L703" s="1" t="str">
        <f t="shared" si="43"/>
        <v xml:space="preserve">Edssjön </v>
      </c>
      <c r="M703" s="1" t="s">
        <v>200</v>
      </c>
      <c r="Q703" s="1">
        <v>3.2</v>
      </c>
      <c r="R703" s="1">
        <v>1</v>
      </c>
      <c r="S703" s="1">
        <v>8</v>
      </c>
    </row>
    <row r="704" spans="4:67" x14ac:dyDescent="0.3">
      <c r="D704" s="2">
        <f t="shared" si="41"/>
        <v>2007</v>
      </c>
      <c r="E704" s="2">
        <f t="shared" si="42"/>
        <v>3</v>
      </c>
      <c r="F704" s="3" t="s">
        <v>175</v>
      </c>
      <c r="G704" s="4">
        <v>39149</v>
      </c>
      <c r="J704" s="1" t="s">
        <v>182</v>
      </c>
      <c r="K704" s="1"/>
      <c r="L704" s="1" t="str">
        <f t="shared" si="43"/>
        <v xml:space="preserve">Edssjön </v>
      </c>
      <c r="M704" s="1" t="s">
        <v>195</v>
      </c>
      <c r="Q704" s="1">
        <v>2.7</v>
      </c>
      <c r="R704" s="1">
        <v>3.2</v>
      </c>
      <c r="S704" s="1">
        <v>22</v>
      </c>
    </row>
    <row r="705" spans="4:38" x14ac:dyDescent="0.3">
      <c r="D705" s="2">
        <f t="shared" si="41"/>
        <v>2007</v>
      </c>
      <c r="E705" s="2">
        <f t="shared" si="42"/>
        <v>3</v>
      </c>
      <c r="F705" s="3" t="s">
        <v>175</v>
      </c>
      <c r="G705" s="4">
        <v>39149</v>
      </c>
      <c r="J705" s="1" t="s">
        <v>182</v>
      </c>
      <c r="K705" s="1"/>
      <c r="L705" s="1" t="str">
        <f t="shared" si="43"/>
        <v xml:space="preserve">Edssjön </v>
      </c>
      <c r="M705" s="1" t="s">
        <v>196</v>
      </c>
      <c r="Q705" s="1">
        <v>2</v>
      </c>
      <c r="R705" s="1">
        <v>6.3</v>
      </c>
      <c r="S705" s="1">
        <v>45</v>
      </c>
    </row>
    <row r="706" spans="4:38" x14ac:dyDescent="0.3">
      <c r="D706" s="2">
        <f t="shared" ref="D706:D769" si="45">YEAR(G706)</f>
        <v>2007</v>
      </c>
      <c r="E706" s="2">
        <f t="shared" ref="E706:E769" si="46">MONTH(G706)</f>
        <v>3</v>
      </c>
      <c r="F706" s="3" t="s">
        <v>175</v>
      </c>
      <c r="G706" s="4">
        <v>39149</v>
      </c>
      <c r="J706" s="1" t="s">
        <v>182</v>
      </c>
      <c r="K706" s="1"/>
      <c r="L706" s="1" t="str">
        <f t="shared" ref="L706:L769" si="47">CONCATENATE(J706," ",K706)</f>
        <v xml:space="preserve">Edssjön </v>
      </c>
      <c r="M706" s="1" t="s">
        <v>197</v>
      </c>
      <c r="Q706" s="1">
        <v>1.8</v>
      </c>
      <c r="R706" s="1">
        <v>9.8000000000000007</v>
      </c>
      <c r="S706" s="1">
        <v>70</v>
      </c>
    </row>
    <row r="707" spans="4:38" x14ac:dyDescent="0.3">
      <c r="D707" s="2">
        <f t="shared" si="45"/>
        <v>2007</v>
      </c>
      <c r="E707" s="2">
        <f t="shared" si="46"/>
        <v>3</v>
      </c>
      <c r="F707" s="3" t="s">
        <v>175</v>
      </c>
      <c r="G707" s="4">
        <v>39149</v>
      </c>
      <c r="J707" s="1" t="s">
        <v>182</v>
      </c>
      <c r="K707" s="1"/>
      <c r="L707" s="1" t="str">
        <f t="shared" si="47"/>
        <v xml:space="preserve">Edssjön </v>
      </c>
      <c r="M707" s="1" t="s">
        <v>194</v>
      </c>
      <c r="Q707" s="1">
        <v>1.8</v>
      </c>
      <c r="R707" s="1">
        <v>10</v>
      </c>
      <c r="S707" s="1">
        <v>71</v>
      </c>
    </row>
    <row r="708" spans="4:38" x14ac:dyDescent="0.3">
      <c r="D708" s="2">
        <f t="shared" si="45"/>
        <v>2007</v>
      </c>
      <c r="E708" s="2">
        <f t="shared" si="46"/>
        <v>3</v>
      </c>
      <c r="F708" s="3" t="s">
        <v>175</v>
      </c>
      <c r="G708" s="4">
        <v>39149</v>
      </c>
      <c r="J708" s="1" t="s">
        <v>183</v>
      </c>
      <c r="K708" s="1"/>
      <c r="L708" s="1" t="str">
        <f t="shared" si="47"/>
        <v xml:space="preserve">Fjäturen </v>
      </c>
      <c r="M708" s="1" t="s">
        <v>177</v>
      </c>
      <c r="P708" s="1">
        <v>2.2000000000000002</v>
      </c>
      <c r="Q708" s="1">
        <v>1.7</v>
      </c>
      <c r="R708" s="1">
        <v>12.2</v>
      </c>
      <c r="S708" s="1">
        <v>86</v>
      </c>
      <c r="W708" s="1">
        <v>28</v>
      </c>
      <c r="Z708" s="1">
        <v>2</v>
      </c>
      <c r="AD708" s="1">
        <v>741</v>
      </c>
      <c r="AK708" s="1">
        <v>9</v>
      </c>
      <c r="AL708" s="1">
        <v>1195</v>
      </c>
    </row>
    <row r="709" spans="4:38" x14ac:dyDescent="0.3">
      <c r="D709" s="2">
        <f t="shared" si="45"/>
        <v>2007</v>
      </c>
      <c r="E709" s="2">
        <f t="shared" si="46"/>
        <v>3</v>
      </c>
      <c r="F709" s="3" t="s">
        <v>175</v>
      </c>
      <c r="G709" s="4">
        <v>39149</v>
      </c>
      <c r="J709" s="1" t="s">
        <v>183</v>
      </c>
      <c r="K709" s="1"/>
      <c r="L709" s="1" t="str">
        <f t="shared" si="47"/>
        <v xml:space="preserve">Fjäturen </v>
      </c>
      <c r="M709" s="1" t="s">
        <v>184</v>
      </c>
      <c r="Q709" s="1">
        <v>3.1</v>
      </c>
      <c r="R709" s="1">
        <v>3.1</v>
      </c>
      <c r="S709" s="1">
        <v>22</v>
      </c>
      <c r="W709" s="1">
        <v>75</v>
      </c>
      <c r="Z709" s="1">
        <v>9</v>
      </c>
      <c r="AD709" s="1">
        <v>630</v>
      </c>
      <c r="AK709" s="1">
        <v>15</v>
      </c>
      <c r="AL709" s="1">
        <v>1165</v>
      </c>
    </row>
    <row r="710" spans="4:38" x14ac:dyDescent="0.3">
      <c r="D710" s="2">
        <f t="shared" si="45"/>
        <v>2007</v>
      </c>
      <c r="E710" s="2">
        <f t="shared" si="46"/>
        <v>3</v>
      </c>
      <c r="F710" s="3" t="s">
        <v>175</v>
      </c>
      <c r="G710" s="4">
        <v>39149</v>
      </c>
      <c r="J710" s="1" t="s">
        <v>183</v>
      </c>
      <c r="K710" s="1"/>
      <c r="L710" s="1" t="str">
        <f t="shared" si="47"/>
        <v xml:space="preserve">Fjäturen </v>
      </c>
      <c r="M710" s="1" t="s">
        <v>198</v>
      </c>
      <c r="Q710" s="1">
        <v>2.8</v>
      </c>
      <c r="R710" s="1">
        <v>5.8</v>
      </c>
      <c r="S710" s="1">
        <v>43</v>
      </c>
    </row>
    <row r="711" spans="4:38" x14ac:dyDescent="0.3">
      <c r="D711" s="2">
        <f t="shared" si="45"/>
        <v>2007</v>
      </c>
      <c r="E711" s="2">
        <f t="shared" si="46"/>
        <v>3</v>
      </c>
      <c r="F711" s="3" t="s">
        <v>175</v>
      </c>
      <c r="G711" s="4">
        <v>39149</v>
      </c>
      <c r="J711" s="1" t="s">
        <v>183</v>
      </c>
      <c r="K711" s="1"/>
      <c r="L711" s="1" t="str">
        <f t="shared" si="47"/>
        <v xml:space="preserve">Fjäturen </v>
      </c>
      <c r="M711" s="1" t="s">
        <v>199</v>
      </c>
      <c r="Q711" s="1">
        <v>2.4</v>
      </c>
      <c r="R711" s="1">
        <v>7.7</v>
      </c>
      <c r="S711" s="1">
        <v>56</v>
      </c>
    </row>
    <row r="712" spans="4:38" x14ac:dyDescent="0.3">
      <c r="D712" s="2">
        <f t="shared" si="45"/>
        <v>2007</v>
      </c>
      <c r="E712" s="2">
        <f t="shared" si="46"/>
        <v>3</v>
      </c>
      <c r="F712" s="3" t="s">
        <v>175</v>
      </c>
      <c r="G712" s="4">
        <v>39149</v>
      </c>
      <c r="J712" s="1" t="s">
        <v>183</v>
      </c>
      <c r="K712" s="1"/>
      <c r="L712" s="1" t="str">
        <f t="shared" si="47"/>
        <v xml:space="preserve">Fjäturen </v>
      </c>
      <c r="M712" s="1" t="s">
        <v>200</v>
      </c>
      <c r="Q712" s="1">
        <v>2.2999999999999998</v>
      </c>
      <c r="R712" s="1">
        <v>8.6999999999999993</v>
      </c>
      <c r="S712" s="1">
        <v>63</v>
      </c>
    </row>
    <row r="713" spans="4:38" x14ac:dyDescent="0.3">
      <c r="D713" s="2">
        <f t="shared" si="45"/>
        <v>2007</v>
      </c>
      <c r="E713" s="2">
        <f t="shared" si="46"/>
        <v>3</v>
      </c>
      <c r="F713" s="3" t="s">
        <v>175</v>
      </c>
      <c r="G713" s="4">
        <v>39149</v>
      </c>
      <c r="J713" s="1" t="s">
        <v>183</v>
      </c>
      <c r="K713" s="1"/>
      <c r="L713" s="1" t="str">
        <f t="shared" si="47"/>
        <v xml:space="preserve">Fjäturen </v>
      </c>
      <c r="M713" s="1" t="s">
        <v>195</v>
      </c>
      <c r="Q713" s="1">
        <v>2</v>
      </c>
      <c r="R713" s="1">
        <v>9.8000000000000007</v>
      </c>
      <c r="S713" s="1">
        <v>71</v>
      </c>
    </row>
    <row r="714" spans="4:38" x14ac:dyDescent="0.3">
      <c r="D714" s="2">
        <f t="shared" si="45"/>
        <v>2007</v>
      </c>
      <c r="E714" s="2">
        <f t="shared" si="46"/>
        <v>3</v>
      </c>
      <c r="F714" s="3" t="s">
        <v>175</v>
      </c>
      <c r="G714" s="4">
        <v>39149</v>
      </c>
      <c r="J714" s="1" t="s">
        <v>183</v>
      </c>
      <c r="K714" s="1"/>
      <c r="L714" s="1" t="str">
        <f t="shared" si="47"/>
        <v xml:space="preserve">Fjäturen </v>
      </c>
      <c r="M714" s="1" t="s">
        <v>196</v>
      </c>
      <c r="Q714" s="1">
        <v>1.8</v>
      </c>
      <c r="R714" s="1">
        <v>11.6</v>
      </c>
      <c r="S714" s="1">
        <v>83</v>
      </c>
    </row>
    <row r="715" spans="4:38" x14ac:dyDescent="0.3">
      <c r="D715" s="2">
        <f t="shared" si="45"/>
        <v>2007</v>
      </c>
      <c r="E715" s="2">
        <f t="shared" si="46"/>
        <v>3</v>
      </c>
      <c r="F715" s="3" t="s">
        <v>175</v>
      </c>
      <c r="G715" s="4">
        <v>39149</v>
      </c>
      <c r="J715" s="1" t="s">
        <v>183</v>
      </c>
      <c r="K715" s="1"/>
      <c r="L715" s="1" t="str">
        <f t="shared" si="47"/>
        <v xml:space="preserve">Fjäturen </v>
      </c>
      <c r="M715" s="1" t="s">
        <v>197</v>
      </c>
      <c r="Q715" s="1">
        <v>1.7</v>
      </c>
      <c r="R715" s="1">
        <v>12</v>
      </c>
      <c r="S715" s="1">
        <v>86</v>
      </c>
    </row>
    <row r="716" spans="4:38" x14ac:dyDescent="0.3">
      <c r="D716" s="2">
        <f t="shared" si="45"/>
        <v>2007</v>
      </c>
      <c r="E716" s="2">
        <f t="shared" si="46"/>
        <v>3</v>
      </c>
      <c r="F716" s="3" t="s">
        <v>175</v>
      </c>
      <c r="G716" s="4">
        <v>39149</v>
      </c>
      <c r="J716" s="1" t="s">
        <v>183</v>
      </c>
      <c r="K716" s="1"/>
      <c r="L716" s="1" t="str">
        <f t="shared" si="47"/>
        <v xml:space="preserve">Fjäturen </v>
      </c>
      <c r="M716" s="1" t="s">
        <v>194</v>
      </c>
      <c r="Q716" s="1">
        <v>1.7</v>
      </c>
      <c r="R716" s="1">
        <v>12.1</v>
      </c>
      <c r="S716" s="1">
        <v>87</v>
      </c>
    </row>
    <row r="717" spans="4:38" x14ac:dyDescent="0.3">
      <c r="D717" s="2">
        <f t="shared" si="45"/>
        <v>2007</v>
      </c>
      <c r="E717" s="2">
        <f t="shared" si="46"/>
        <v>3</v>
      </c>
      <c r="F717" s="3" t="s">
        <v>175</v>
      </c>
      <c r="G717" s="4">
        <v>39149</v>
      </c>
      <c r="J717" s="1" t="s">
        <v>185</v>
      </c>
      <c r="K717" s="1"/>
      <c r="L717" s="1" t="str">
        <f t="shared" si="47"/>
        <v xml:space="preserve">Gullsjön </v>
      </c>
      <c r="M717" s="1" t="s">
        <v>177</v>
      </c>
      <c r="P717" s="1">
        <v>1</v>
      </c>
      <c r="Q717" s="1">
        <v>1.6</v>
      </c>
      <c r="R717" s="1">
        <v>2.8</v>
      </c>
      <c r="S717" s="1">
        <v>20</v>
      </c>
      <c r="W717" s="1">
        <v>109</v>
      </c>
      <c r="Z717" s="1">
        <v>3</v>
      </c>
      <c r="AD717" s="1">
        <v>269</v>
      </c>
      <c r="AK717" s="1">
        <v>14</v>
      </c>
      <c r="AL717" s="1">
        <v>1090</v>
      </c>
    </row>
    <row r="718" spans="4:38" x14ac:dyDescent="0.3">
      <c r="D718" s="2">
        <f t="shared" si="45"/>
        <v>2007</v>
      </c>
      <c r="E718" s="2">
        <f t="shared" si="46"/>
        <v>3</v>
      </c>
      <c r="F718" s="3" t="s">
        <v>175</v>
      </c>
      <c r="G718" s="4">
        <v>39149</v>
      </c>
      <c r="J718" s="1" t="s">
        <v>185</v>
      </c>
      <c r="K718" s="1"/>
      <c r="L718" s="1" t="str">
        <f t="shared" si="47"/>
        <v xml:space="preserve">Gullsjön </v>
      </c>
      <c r="M718" s="1" t="s">
        <v>184</v>
      </c>
      <c r="Q718" s="1">
        <v>3.8</v>
      </c>
      <c r="R718" s="1">
        <v>0</v>
      </c>
      <c r="S718" s="1">
        <v>0</v>
      </c>
      <c r="W718" s="1">
        <v>116</v>
      </c>
      <c r="Z718" s="1">
        <v>2</v>
      </c>
      <c r="AD718" s="1">
        <v>170</v>
      </c>
      <c r="AF718" s="1">
        <v>2.5000000000000001E-2</v>
      </c>
      <c r="AK718" s="1">
        <v>11</v>
      </c>
      <c r="AL718" s="1">
        <v>1026</v>
      </c>
    </row>
    <row r="719" spans="4:38" x14ac:dyDescent="0.3">
      <c r="D719" s="2">
        <f t="shared" si="45"/>
        <v>2007</v>
      </c>
      <c r="E719" s="2">
        <f t="shared" si="46"/>
        <v>3</v>
      </c>
      <c r="F719" s="3" t="s">
        <v>175</v>
      </c>
      <c r="G719" s="4">
        <v>39149</v>
      </c>
      <c r="J719" s="1" t="s">
        <v>185</v>
      </c>
      <c r="K719" s="1"/>
      <c r="L719" s="1" t="str">
        <f t="shared" si="47"/>
        <v xml:space="preserve">Gullsjön </v>
      </c>
      <c r="M719" s="1" t="s">
        <v>194</v>
      </c>
      <c r="Q719" s="1">
        <v>2.4</v>
      </c>
      <c r="R719" s="1">
        <v>1.6</v>
      </c>
      <c r="S719" s="1">
        <v>13</v>
      </c>
    </row>
    <row r="720" spans="4:38" x14ac:dyDescent="0.3">
      <c r="D720" s="2">
        <f t="shared" si="45"/>
        <v>2007</v>
      </c>
      <c r="E720" s="2">
        <f t="shared" si="46"/>
        <v>3</v>
      </c>
      <c r="F720" s="3" t="s">
        <v>175</v>
      </c>
      <c r="G720" s="4">
        <v>39149</v>
      </c>
      <c r="J720" s="1" t="s">
        <v>201</v>
      </c>
      <c r="K720" s="1"/>
      <c r="L720" s="1" t="str">
        <f t="shared" si="47"/>
        <v xml:space="preserve">Mörtsjön </v>
      </c>
      <c r="M720" s="1" t="s">
        <v>177</v>
      </c>
      <c r="P720" s="1">
        <v>1.1000000000000001</v>
      </c>
      <c r="Q720" s="1">
        <v>1.4</v>
      </c>
      <c r="R720" s="1">
        <v>9.8000000000000007</v>
      </c>
      <c r="S720" s="1">
        <v>70</v>
      </c>
      <c r="W720" s="1">
        <v>18</v>
      </c>
      <c r="Z720" s="1">
        <v>2</v>
      </c>
      <c r="AD720" s="1">
        <v>725</v>
      </c>
      <c r="AK720" s="1">
        <v>12</v>
      </c>
      <c r="AL720" s="1">
        <v>1543</v>
      </c>
    </row>
    <row r="721" spans="4:38" x14ac:dyDescent="0.3">
      <c r="D721" s="2">
        <f t="shared" si="45"/>
        <v>2007</v>
      </c>
      <c r="E721" s="2">
        <f t="shared" si="46"/>
        <v>3</v>
      </c>
      <c r="F721" s="3" t="s">
        <v>175</v>
      </c>
      <c r="G721" s="4">
        <v>39149</v>
      </c>
      <c r="J721" s="1" t="s">
        <v>201</v>
      </c>
      <c r="K721" s="1"/>
      <c r="L721" s="1" t="str">
        <f t="shared" si="47"/>
        <v xml:space="preserve">Mörtsjön </v>
      </c>
      <c r="M721" s="1" t="s">
        <v>184</v>
      </c>
      <c r="Q721" s="1">
        <v>4.0999999999999996</v>
      </c>
      <c r="R721" s="1">
        <v>4</v>
      </c>
      <c r="S721" s="1">
        <v>32</v>
      </c>
      <c r="W721" s="1">
        <v>76</v>
      </c>
      <c r="Z721" s="1">
        <v>11</v>
      </c>
      <c r="AD721" s="1">
        <v>931</v>
      </c>
      <c r="AK721" s="1">
        <v>14</v>
      </c>
      <c r="AL721" s="1">
        <v>1597</v>
      </c>
    </row>
    <row r="722" spans="4:38" x14ac:dyDescent="0.3">
      <c r="D722" s="2">
        <f t="shared" si="45"/>
        <v>2007</v>
      </c>
      <c r="E722" s="2">
        <f t="shared" si="46"/>
        <v>3</v>
      </c>
      <c r="F722" s="3" t="s">
        <v>175</v>
      </c>
      <c r="G722" s="4">
        <v>39149</v>
      </c>
      <c r="J722" s="1" t="s">
        <v>201</v>
      </c>
      <c r="K722" s="1"/>
      <c r="L722" s="1" t="str">
        <f t="shared" si="47"/>
        <v xml:space="preserve">Mörtsjön </v>
      </c>
      <c r="M722" s="1" t="s">
        <v>196</v>
      </c>
      <c r="Q722" s="1">
        <v>3.7</v>
      </c>
      <c r="R722" s="1">
        <v>4.5</v>
      </c>
      <c r="S722" s="1">
        <v>35</v>
      </c>
    </row>
    <row r="723" spans="4:38" x14ac:dyDescent="0.3">
      <c r="D723" s="2">
        <f t="shared" si="45"/>
        <v>2007</v>
      </c>
      <c r="E723" s="2">
        <f t="shared" si="46"/>
        <v>3</v>
      </c>
      <c r="F723" s="3" t="s">
        <v>175</v>
      </c>
      <c r="G723" s="4">
        <v>39149</v>
      </c>
      <c r="J723" s="1" t="s">
        <v>201</v>
      </c>
      <c r="K723" s="1"/>
      <c r="L723" s="1" t="str">
        <f t="shared" si="47"/>
        <v xml:space="preserve">Mörtsjön </v>
      </c>
      <c r="M723" s="1" t="s">
        <v>197</v>
      </c>
      <c r="Q723" s="1">
        <v>2.8</v>
      </c>
      <c r="R723" s="1">
        <v>6</v>
      </c>
      <c r="S723" s="1">
        <v>44</v>
      </c>
    </row>
    <row r="724" spans="4:38" x14ac:dyDescent="0.3">
      <c r="D724" s="2">
        <f t="shared" si="45"/>
        <v>2007</v>
      </c>
      <c r="E724" s="2">
        <f t="shared" si="46"/>
        <v>3</v>
      </c>
      <c r="F724" s="3" t="s">
        <v>175</v>
      </c>
      <c r="G724" s="4">
        <v>39149</v>
      </c>
      <c r="J724" s="1" t="s">
        <v>201</v>
      </c>
      <c r="K724" s="1"/>
      <c r="L724" s="1" t="str">
        <f t="shared" si="47"/>
        <v xml:space="preserve">Mörtsjön </v>
      </c>
      <c r="M724" s="1" t="s">
        <v>194</v>
      </c>
      <c r="Q724" s="1">
        <v>1.7</v>
      </c>
      <c r="R724" s="1">
        <v>9.5</v>
      </c>
      <c r="S724" s="1">
        <v>68</v>
      </c>
    </row>
    <row r="725" spans="4:38" x14ac:dyDescent="0.3">
      <c r="D725" s="2">
        <f t="shared" si="45"/>
        <v>2007</v>
      </c>
      <c r="E725" s="2">
        <f t="shared" si="46"/>
        <v>3</v>
      </c>
      <c r="F725" s="3" t="s">
        <v>175</v>
      </c>
      <c r="G725" s="4">
        <v>39149</v>
      </c>
      <c r="J725" s="1" t="s">
        <v>186</v>
      </c>
      <c r="K725" s="1">
        <v>1</v>
      </c>
      <c r="L725" s="1" t="str">
        <f t="shared" si="47"/>
        <v>Norrviken 1</v>
      </c>
      <c r="M725" s="1" t="s">
        <v>177</v>
      </c>
      <c r="P725" s="1">
        <v>0.4</v>
      </c>
      <c r="Q725" s="1">
        <v>1.5</v>
      </c>
      <c r="R725" s="1">
        <v>11.1</v>
      </c>
      <c r="S725" s="1">
        <v>79</v>
      </c>
      <c r="W725" s="1">
        <v>296</v>
      </c>
      <c r="Z725" s="1">
        <v>32</v>
      </c>
      <c r="AD725" s="1">
        <v>1927</v>
      </c>
      <c r="AK725" s="1">
        <v>87</v>
      </c>
      <c r="AL725" s="1">
        <v>2751</v>
      </c>
    </row>
    <row r="726" spans="4:38" x14ac:dyDescent="0.3">
      <c r="D726" s="2">
        <f t="shared" si="45"/>
        <v>2007</v>
      </c>
      <c r="E726" s="2">
        <f t="shared" si="46"/>
        <v>3</v>
      </c>
      <c r="F726" s="3" t="s">
        <v>175</v>
      </c>
      <c r="G726" s="4">
        <v>39149</v>
      </c>
      <c r="J726" s="1" t="s">
        <v>186</v>
      </c>
      <c r="K726" s="1">
        <v>2</v>
      </c>
      <c r="L726" s="1" t="str">
        <f t="shared" si="47"/>
        <v>Norrviken 2</v>
      </c>
      <c r="M726" s="1" t="s">
        <v>177</v>
      </c>
      <c r="P726" s="1">
        <v>2</v>
      </c>
      <c r="Q726" s="1">
        <v>2.1</v>
      </c>
      <c r="R726" s="1">
        <v>11.1</v>
      </c>
      <c r="S726" s="1">
        <v>80</v>
      </c>
      <c r="W726" s="1">
        <v>22</v>
      </c>
      <c r="Z726" s="1">
        <v>48</v>
      </c>
      <c r="AD726" s="1">
        <v>990</v>
      </c>
      <c r="AK726" s="1">
        <v>56</v>
      </c>
      <c r="AL726" s="1">
        <v>1590</v>
      </c>
    </row>
    <row r="727" spans="4:38" x14ac:dyDescent="0.3">
      <c r="D727" s="2">
        <f t="shared" si="45"/>
        <v>2007</v>
      </c>
      <c r="E727" s="2">
        <f t="shared" si="46"/>
        <v>3</v>
      </c>
      <c r="F727" s="3" t="s">
        <v>175</v>
      </c>
      <c r="G727" s="4">
        <v>39149</v>
      </c>
      <c r="J727" s="1" t="s">
        <v>186</v>
      </c>
      <c r="K727" s="1">
        <v>3</v>
      </c>
      <c r="L727" s="1" t="str">
        <f t="shared" si="47"/>
        <v>Norrviken 3</v>
      </c>
      <c r="M727" s="1" t="s">
        <v>177</v>
      </c>
      <c r="P727" s="1">
        <v>3</v>
      </c>
      <c r="Q727" s="1">
        <v>2.4</v>
      </c>
      <c r="R727" s="1">
        <v>10.8</v>
      </c>
      <c r="S727" s="1">
        <v>80</v>
      </c>
      <c r="W727" s="1">
        <v>1</v>
      </c>
      <c r="Z727" s="1">
        <v>63</v>
      </c>
      <c r="AD727" s="1">
        <v>976</v>
      </c>
      <c r="AK727" s="1">
        <v>65</v>
      </c>
      <c r="AL727" s="1">
        <v>1624</v>
      </c>
    </row>
    <row r="728" spans="4:38" x14ac:dyDescent="0.3">
      <c r="D728" s="2">
        <f t="shared" si="45"/>
        <v>2007</v>
      </c>
      <c r="E728" s="2">
        <f t="shared" si="46"/>
        <v>3</v>
      </c>
      <c r="F728" s="3" t="s">
        <v>175</v>
      </c>
      <c r="G728" s="4">
        <v>39149</v>
      </c>
      <c r="J728" s="1" t="s">
        <v>186</v>
      </c>
      <c r="K728" s="1">
        <v>4</v>
      </c>
      <c r="L728" s="1" t="str">
        <f t="shared" si="47"/>
        <v>Norrviken 4</v>
      </c>
      <c r="M728" s="1" t="s">
        <v>177</v>
      </c>
      <c r="P728" s="1">
        <v>1.7</v>
      </c>
      <c r="Q728" s="1">
        <v>1.6</v>
      </c>
      <c r="R728" s="1">
        <v>11.3</v>
      </c>
      <c r="S728" s="1">
        <v>81</v>
      </c>
      <c r="W728" s="1">
        <v>102</v>
      </c>
      <c r="Z728" s="1">
        <v>22</v>
      </c>
      <c r="AD728" s="1">
        <v>1042</v>
      </c>
      <c r="AK728" s="1">
        <v>41</v>
      </c>
      <c r="AL728" s="1">
        <v>1741</v>
      </c>
    </row>
    <row r="729" spans="4:38" x14ac:dyDescent="0.3">
      <c r="D729" s="2">
        <f t="shared" si="45"/>
        <v>2007</v>
      </c>
      <c r="E729" s="2">
        <f t="shared" si="46"/>
        <v>3</v>
      </c>
      <c r="F729" s="3" t="s">
        <v>175</v>
      </c>
      <c r="G729" s="4">
        <v>39149</v>
      </c>
      <c r="J729" s="1" t="s">
        <v>186</v>
      </c>
      <c r="K729" s="1">
        <v>2</v>
      </c>
      <c r="L729" s="1" t="str">
        <f t="shared" si="47"/>
        <v>Norrviken 2</v>
      </c>
      <c r="M729" s="1" t="s">
        <v>184</v>
      </c>
      <c r="Q729" s="1">
        <v>3</v>
      </c>
      <c r="R729" s="1">
        <v>2.5</v>
      </c>
      <c r="S729" s="1">
        <v>19</v>
      </c>
      <c r="W729" s="1">
        <v>194</v>
      </c>
      <c r="Z729" s="1">
        <v>26</v>
      </c>
      <c r="AD729" s="1">
        <v>1033</v>
      </c>
      <c r="AK729" s="1">
        <v>48</v>
      </c>
      <c r="AL729" s="1">
        <v>1866</v>
      </c>
    </row>
    <row r="730" spans="4:38" x14ac:dyDescent="0.3">
      <c r="D730" s="2">
        <f t="shared" si="45"/>
        <v>2007</v>
      </c>
      <c r="E730" s="2">
        <f t="shared" si="46"/>
        <v>3</v>
      </c>
      <c r="F730" s="3" t="s">
        <v>175</v>
      </c>
      <c r="G730" s="4">
        <v>39149</v>
      </c>
      <c r="J730" s="1" t="s">
        <v>186</v>
      </c>
      <c r="K730" s="1">
        <v>3</v>
      </c>
      <c r="L730" s="1" t="str">
        <f t="shared" si="47"/>
        <v>Norrviken 3</v>
      </c>
      <c r="M730" s="1" t="s">
        <v>184</v>
      </c>
      <c r="Q730" s="1">
        <v>3.3</v>
      </c>
      <c r="R730" s="1">
        <v>0.3</v>
      </c>
      <c r="S730" s="1">
        <v>2</v>
      </c>
      <c r="W730" s="1">
        <v>363</v>
      </c>
      <c r="Z730" s="1">
        <v>89</v>
      </c>
      <c r="AD730" s="1">
        <v>933</v>
      </c>
      <c r="AK730" s="1">
        <v>101</v>
      </c>
      <c r="AL730" s="1">
        <v>1899</v>
      </c>
    </row>
    <row r="731" spans="4:38" x14ac:dyDescent="0.3">
      <c r="D731" s="2">
        <f t="shared" si="45"/>
        <v>2007</v>
      </c>
      <c r="E731" s="2">
        <f t="shared" si="46"/>
        <v>3</v>
      </c>
      <c r="F731" s="3" t="s">
        <v>175</v>
      </c>
      <c r="G731" s="4">
        <v>39149</v>
      </c>
      <c r="J731" s="1" t="s">
        <v>186</v>
      </c>
      <c r="K731" s="1">
        <v>3</v>
      </c>
      <c r="L731" s="1" t="str">
        <f t="shared" si="47"/>
        <v>Norrviken 3</v>
      </c>
      <c r="M731" s="1" t="s">
        <v>202</v>
      </c>
      <c r="Q731" s="1">
        <v>2.7</v>
      </c>
      <c r="R731" s="1">
        <v>4.5</v>
      </c>
      <c r="S731" s="1">
        <v>34</v>
      </c>
    </row>
    <row r="732" spans="4:38" x14ac:dyDescent="0.3">
      <c r="D732" s="2">
        <f t="shared" si="45"/>
        <v>2007</v>
      </c>
      <c r="E732" s="2">
        <f t="shared" si="46"/>
        <v>3</v>
      </c>
      <c r="F732" s="3" t="s">
        <v>175</v>
      </c>
      <c r="G732" s="4">
        <v>39149</v>
      </c>
      <c r="J732" s="1" t="s">
        <v>186</v>
      </c>
      <c r="K732" s="1">
        <v>2</v>
      </c>
      <c r="L732" s="1" t="str">
        <f t="shared" si="47"/>
        <v>Norrviken 2</v>
      </c>
      <c r="M732" s="1" t="s">
        <v>203</v>
      </c>
      <c r="Q732" s="1">
        <v>2.5</v>
      </c>
      <c r="R732" s="1">
        <v>7.1</v>
      </c>
      <c r="S732" s="1">
        <v>52</v>
      </c>
    </row>
    <row r="733" spans="4:38" x14ac:dyDescent="0.3">
      <c r="D733" s="2">
        <f t="shared" si="45"/>
        <v>2007</v>
      </c>
      <c r="E733" s="2">
        <f t="shared" si="46"/>
        <v>3</v>
      </c>
      <c r="F733" s="3" t="s">
        <v>175</v>
      </c>
      <c r="G733" s="4">
        <v>39149</v>
      </c>
      <c r="J733" s="1" t="s">
        <v>186</v>
      </c>
      <c r="K733" s="1">
        <v>3</v>
      </c>
      <c r="L733" s="1" t="str">
        <f t="shared" si="47"/>
        <v>Norrviken 3</v>
      </c>
      <c r="M733" s="1" t="s">
        <v>203</v>
      </c>
      <c r="Q733" s="1">
        <v>2.6</v>
      </c>
      <c r="R733" s="1">
        <v>6</v>
      </c>
      <c r="S733" s="1">
        <v>45</v>
      </c>
    </row>
    <row r="734" spans="4:38" x14ac:dyDescent="0.3">
      <c r="D734" s="2">
        <f t="shared" si="45"/>
        <v>2007</v>
      </c>
      <c r="E734" s="2">
        <f t="shared" si="46"/>
        <v>3</v>
      </c>
      <c r="F734" s="3" t="s">
        <v>175</v>
      </c>
      <c r="G734" s="4">
        <v>39149</v>
      </c>
      <c r="J734" s="1" t="s">
        <v>186</v>
      </c>
      <c r="K734" s="1">
        <v>2</v>
      </c>
      <c r="L734" s="1" t="str">
        <f t="shared" si="47"/>
        <v>Norrviken 2</v>
      </c>
      <c r="M734" s="1" t="s">
        <v>198</v>
      </c>
      <c r="Q734" s="1">
        <v>2.2999999999999998</v>
      </c>
      <c r="R734" s="1">
        <v>7.9</v>
      </c>
      <c r="S734" s="1">
        <v>57</v>
      </c>
    </row>
    <row r="735" spans="4:38" x14ac:dyDescent="0.3">
      <c r="D735" s="2">
        <f t="shared" si="45"/>
        <v>2007</v>
      </c>
      <c r="E735" s="2">
        <f t="shared" si="46"/>
        <v>3</v>
      </c>
      <c r="F735" s="3" t="s">
        <v>175</v>
      </c>
      <c r="G735" s="4">
        <v>39149</v>
      </c>
      <c r="J735" s="1" t="s">
        <v>186</v>
      </c>
      <c r="K735" s="1">
        <v>3</v>
      </c>
      <c r="L735" s="1" t="str">
        <f t="shared" si="47"/>
        <v>Norrviken 3</v>
      </c>
      <c r="M735" s="1" t="s">
        <v>198</v>
      </c>
      <c r="Q735" s="1">
        <v>2.5</v>
      </c>
      <c r="R735" s="1">
        <v>7.2</v>
      </c>
      <c r="S735" s="1">
        <v>52</v>
      </c>
    </row>
    <row r="736" spans="4:38" x14ac:dyDescent="0.3">
      <c r="D736" s="2">
        <f t="shared" si="45"/>
        <v>2007</v>
      </c>
      <c r="E736" s="2">
        <f t="shared" si="46"/>
        <v>3</v>
      </c>
      <c r="F736" s="3" t="s">
        <v>175</v>
      </c>
      <c r="G736" s="4">
        <v>39149</v>
      </c>
      <c r="J736" s="1" t="s">
        <v>186</v>
      </c>
      <c r="K736" s="1">
        <v>2</v>
      </c>
      <c r="L736" s="1" t="str">
        <f t="shared" si="47"/>
        <v>Norrviken 2</v>
      </c>
      <c r="M736" s="1" t="s">
        <v>199</v>
      </c>
      <c r="Q736" s="1">
        <v>2.4</v>
      </c>
      <c r="R736" s="1">
        <v>9.4</v>
      </c>
      <c r="S736" s="1">
        <v>64</v>
      </c>
    </row>
    <row r="737" spans="4:38" x14ac:dyDescent="0.3">
      <c r="D737" s="2">
        <f t="shared" si="45"/>
        <v>2007</v>
      </c>
      <c r="E737" s="2">
        <f t="shared" si="46"/>
        <v>3</v>
      </c>
      <c r="F737" s="3" t="s">
        <v>175</v>
      </c>
      <c r="G737" s="4">
        <v>39149</v>
      </c>
      <c r="J737" s="1" t="s">
        <v>186</v>
      </c>
      <c r="K737" s="1">
        <v>3</v>
      </c>
      <c r="L737" s="1" t="str">
        <f t="shared" si="47"/>
        <v>Norrviken 3</v>
      </c>
      <c r="M737" s="1" t="s">
        <v>199</v>
      </c>
      <c r="Q737" s="1">
        <v>2.2999999999999998</v>
      </c>
      <c r="R737" s="1">
        <v>8.6999999999999993</v>
      </c>
      <c r="S737" s="1">
        <v>64</v>
      </c>
    </row>
    <row r="738" spans="4:38" x14ac:dyDescent="0.3">
      <c r="D738" s="2">
        <f t="shared" si="45"/>
        <v>2007</v>
      </c>
      <c r="E738" s="2">
        <f t="shared" si="46"/>
        <v>3</v>
      </c>
      <c r="F738" s="3" t="s">
        <v>175</v>
      </c>
      <c r="G738" s="4">
        <v>39149</v>
      </c>
      <c r="J738" s="1" t="s">
        <v>186</v>
      </c>
      <c r="K738" s="1">
        <v>2</v>
      </c>
      <c r="L738" s="1" t="str">
        <f t="shared" si="47"/>
        <v>Norrviken 2</v>
      </c>
      <c r="M738" s="1" t="s">
        <v>200</v>
      </c>
      <c r="Q738" s="1">
        <v>2.2999999999999998</v>
      </c>
      <c r="R738" s="1">
        <v>9.5</v>
      </c>
      <c r="S738" s="1">
        <v>64</v>
      </c>
    </row>
    <row r="739" spans="4:38" x14ac:dyDescent="0.3">
      <c r="D739" s="2">
        <f t="shared" si="45"/>
        <v>2007</v>
      </c>
      <c r="E739" s="2">
        <f t="shared" si="46"/>
        <v>3</v>
      </c>
      <c r="F739" s="3" t="s">
        <v>175</v>
      </c>
      <c r="G739" s="4">
        <v>39149</v>
      </c>
      <c r="J739" s="1" t="s">
        <v>186</v>
      </c>
      <c r="K739" s="1">
        <v>3</v>
      </c>
      <c r="L739" s="1" t="str">
        <f t="shared" si="47"/>
        <v>Norrviken 3</v>
      </c>
      <c r="M739" s="1" t="s">
        <v>200</v>
      </c>
      <c r="Q739" s="1">
        <v>2.2999999999999998</v>
      </c>
      <c r="R739" s="1">
        <v>9.1</v>
      </c>
      <c r="S739" s="1">
        <v>66</v>
      </c>
    </row>
    <row r="740" spans="4:38" x14ac:dyDescent="0.3">
      <c r="D740" s="2">
        <f t="shared" si="45"/>
        <v>2007</v>
      </c>
      <c r="E740" s="2">
        <f t="shared" si="46"/>
        <v>3</v>
      </c>
      <c r="F740" s="3" t="s">
        <v>175</v>
      </c>
      <c r="G740" s="4">
        <v>39149</v>
      </c>
      <c r="J740" s="1" t="s">
        <v>186</v>
      </c>
      <c r="K740" s="1">
        <v>2</v>
      </c>
      <c r="L740" s="1" t="str">
        <f t="shared" si="47"/>
        <v>Norrviken 2</v>
      </c>
      <c r="M740" s="1" t="s">
        <v>195</v>
      </c>
      <c r="Q740" s="1">
        <v>2.2000000000000002</v>
      </c>
      <c r="R740" s="1">
        <v>10.3</v>
      </c>
      <c r="S740" s="1">
        <v>74</v>
      </c>
    </row>
    <row r="741" spans="4:38" x14ac:dyDescent="0.3">
      <c r="D741" s="2">
        <f t="shared" si="45"/>
        <v>2007</v>
      </c>
      <c r="E741" s="2">
        <f t="shared" si="46"/>
        <v>3</v>
      </c>
      <c r="F741" s="3" t="s">
        <v>175</v>
      </c>
      <c r="G741" s="4">
        <v>39149</v>
      </c>
      <c r="J741" s="1" t="s">
        <v>186</v>
      </c>
      <c r="K741" s="1">
        <v>3</v>
      </c>
      <c r="L741" s="1" t="str">
        <f t="shared" si="47"/>
        <v>Norrviken 3</v>
      </c>
      <c r="M741" s="1" t="s">
        <v>195</v>
      </c>
      <c r="Q741" s="1">
        <v>2.4</v>
      </c>
      <c r="R741" s="1">
        <v>9.3000000000000007</v>
      </c>
      <c r="S741" s="1">
        <v>68</v>
      </c>
    </row>
    <row r="742" spans="4:38" x14ac:dyDescent="0.3">
      <c r="D742" s="2">
        <f t="shared" si="45"/>
        <v>2007</v>
      </c>
      <c r="E742" s="2">
        <f t="shared" si="46"/>
        <v>3</v>
      </c>
      <c r="F742" s="3" t="s">
        <v>175</v>
      </c>
      <c r="G742" s="4">
        <v>39149</v>
      </c>
      <c r="J742" s="1" t="s">
        <v>186</v>
      </c>
      <c r="K742" s="1">
        <v>2</v>
      </c>
      <c r="L742" s="1" t="str">
        <f t="shared" si="47"/>
        <v>Norrviken 2</v>
      </c>
      <c r="M742" s="1" t="s">
        <v>196</v>
      </c>
      <c r="Q742" s="1">
        <v>2.2000000000000002</v>
      </c>
      <c r="R742" s="1">
        <v>10.9</v>
      </c>
      <c r="S742" s="1">
        <v>79</v>
      </c>
    </row>
    <row r="743" spans="4:38" x14ac:dyDescent="0.3">
      <c r="D743" s="2">
        <f t="shared" si="45"/>
        <v>2007</v>
      </c>
      <c r="E743" s="2">
        <f t="shared" si="46"/>
        <v>3</v>
      </c>
      <c r="F743" s="3" t="s">
        <v>175</v>
      </c>
      <c r="G743" s="4">
        <v>39149</v>
      </c>
      <c r="J743" s="1" t="s">
        <v>186</v>
      </c>
      <c r="K743" s="1">
        <v>3</v>
      </c>
      <c r="L743" s="1" t="str">
        <f t="shared" si="47"/>
        <v>Norrviken 3</v>
      </c>
      <c r="M743" s="1" t="s">
        <v>196</v>
      </c>
      <c r="Q743" s="1">
        <v>2.4</v>
      </c>
      <c r="R743" s="1">
        <v>10.3</v>
      </c>
      <c r="S743" s="1">
        <v>75</v>
      </c>
    </row>
    <row r="744" spans="4:38" x14ac:dyDescent="0.3">
      <c r="D744" s="2">
        <f t="shared" si="45"/>
        <v>2007</v>
      </c>
      <c r="E744" s="2">
        <f t="shared" si="46"/>
        <v>3</v>
      </c>
      <c r="F744" s="3" t="s">
        <v>175</v>
      </c>
      <c r="G744" s="4">
        <v>39149</v>
      </c>
      <c r="J744" s="1" t="s">
        <v>186</v>
      </c>
      <c r="K744" s="1">
        <v>2</v>
      </c>
      <c r="L744" s="1" t="str">
        <f t="shared" si="47"/>
        <v>Norrviken 2</v>
      </c>
      <c r="M744" s="1" t="s">
        <v>197</v>
      </c>
      <c r="Q744" s="1">
        <v>2.2000000000000002</v>
      </c>
      <c r="R744" s="1">
        <v>11.1</v>
      </c>
      <c r="S744" s="1">
        <v>80</v>
      </c>
    </row>
    <row r="745" spans="4:38" x14ac:dyDescent="0.3">
      <c r="D745" s="2">
        <f t="shared" si="45"/>
        <v>2007</v>
      </c>
      <c r="E745" s="2">
        <f t="shared" si="46"/>
        <v>3</v>
      </c>
      <c r="F745" s="3" t="s">
        <v>175</v>
      </c>
      <c r="G745" s="4">
        <v>39149</v>
      </c>
      <c r="J745" s="1" t="s">
        <v>186</v>
      </c>
      <c r="K745" s="1">
        <v>3</v>
      </c>
      <c r="L745" s="1" t="str">
        <f t="shared" si="47"/>
        <v>Norrviken 3</v>
      </c>
      <c r="M745" s="1" t="s">
        <v>197</v>
      </c>
      <c r="Q745" s="1">
        <v>2.5</v>
      </c>
      <c r="R745" s="1">
        <v>10.6</v>
      </c>
      <c r="S745" s="1">
        <v>77</v>
      </c>
    </row>
    <row r="746" spans="4:38" x14ac:dyDescent="0.3">
      <c r="D746" s="2">
        <f t="shared" si="45"/>
        <v>2007</v>
      </c>
      <c r="E746" s="2">
        <f t="shared" si="46"/>
        <v>3</v>
      </c>
      <c r="F746" s="3" t="s">
        <v>175</v>
      </c>
      <c r="G746" s="4">
        <v>39149</v>
      </c>
      <c r="J746" s="1" t="s">
        <v>186</v>
      </c>
      <c r="K746" s="1">
        <v>2</v>
      </c>
      <c r="L746" s="1" t="str">
        <f t="shared" si="47"/>
        <v>Norrviken 2</v>
      </c>
      <c r="M746" s="1" t="s">
        <v>194</v>
      </c>
      <c r="Q746" s="1">
        <v>2.2000000000000002</v>
      </c>
      <c r="R746" s="1">
        <v>11.1</v>
      </c>
      <c r="S746" s="1">
        <v>80</v>
      </c>
    </row>
    <row r="747" spans="4:38" x14ac:dyDescent="0.3">
      <c r="D747" s="2">
        <f t="shared" si="45"/>
        <v>2007</v>
      </c>
      <c r="E747" s="2">
        <f t="shared" si="46"/>
        <v>3</v>
      </c>
      <c r="F747" s="3" t="s">
        <v>175</v>
      </c>
      <c r="G747" s="4">
        <v>39149</v>
      </c>
      <c r="J747" s="1" t="s">
        <v>186</v>
      </c>
      <c r="K747" s="1">
        <v>3</v>
      </c>
      <c r="L747" s="1" t="str">
        <f t="shared" si="47"/>
        <v>Norrviken 3</v>
      </c>
      <c r="M747" s="1" t="s">
        <v>194</v>
      </c>
      <c r="Q747" s="1">
        <v>2.5</v>
      </c>
      <c r="R747" s="1">
        <v>10.6</v>
      </c>
      <c r="S747" s="1">
        <v>77</v>
      </c>
    </row>
    <row r="748" spans="4:38" x14ac:dyDescent="0.3">
      <c r="D748" s="2">
        <f t="shared" si="45"/>
        <v>2007</v>
      </c>
      <c r="E748" s="2">
        <f t="shared" si="46"/>
        <v>3</v>
      </c>
      <c r="F748" s="3" t="s">
        <v>175</v>
      </c>
      <c r="G748" s="4">
        <v>39149</v>
      </c>
      <c r="J748" s="1" t="s">
        <v>186</v>
      </c>
      <c r="K748" s="1">
        <v>3</v>
      </c>
      <c r="L748" s="1" t="str">
        <f t="shared" si="47"/>
        <v>Norrviken 3</v>
      </c>
      <c r="M748" s="1" t="s">
        <v>204</v>
      </c>
      <c r="Q748" s="1">
        <v>3</v>
      </c>
      <c r="R748" s="1">
        <v>1</v>
      </c>
      <c r="S748" s="1">
        <v>7</v>
      </c>
      <c r="AF748" s="1">
        <v>2.5000000000000001E-2</v>
      </c>
    </row>
    <row r="749" spans="4:38" x14ac:dyDescent="0.3">
      <c r="D749" s="2">
        <f t="shared" si="45"/>
        <v>2007</v>
      </c>
      <c r="E749" s="2">
        <f t="shared" si="46"/>
        <v>3</v>
      </c>
      <c r="F749" s="3" t="s">
        <v>175</v>
      </c>
      <c r="G749" s="4">
        <v>39149</v>
      </c>
      <c r="J749" s="1" t="s">
        <v>187</v>
      </c>
      <c r="K749" s="1"/>
      <c r="L749" s="1" t="str">
        <f t="shared" si="47"/>
        <v xml:space="preserve">Oxundasjön </v>
      </c>
      <c r="M749" s="1" t="s">
        <v>177</v>
      </c>
      <c r="P749" s="1">
        <v>1.6</v>
      </c>
      <c r="Q749" s="1">
        <v>1.5</v>
      </c>
      <c r="R749" s="1">
        <v>10.8</v>
      </c>
      <c r="S749" s="1">
        <v>76</v>
      </c>
      <c r="W749" s="1">
        <v>90</v>
      </c>
      <c r="Z749" s="1">
        <v>38</v>
      </c>
      <c r="AD749" s="1">
        <v>1254</v>
      </c>
      <c r="AK749" s="1">
        <v>65</v>
      </c>
      <c r="AL749" s="1">
        <v>1929</v>
      </c>
    </row>
    <row r="750" spans="4:38" x14ac:dyDescent="0.3">
      <c r="D750" s="2">
        <f t="shared" si="45"/>
        <v>2007</v>
      </c>
      <c r="E750" s="2">
        <f t="shared" si="46"/>
        <v>3</v>
      </c>
      <c r="F750" s="3" t="s">
        <v>175</v>
      </c>
      <c r="G750" s="4">
        <v>39149</v>
      </c>
      <c r="J750" s="1" t="s">
        <v>187</v>
      </c>
      <c r="K750" s="1"/>
      <c r="L750" s="1" t="str">
        <f t="shared" si="47"/>
        <v xml:space="preserve">Oxundasjön </v>
      </c>
      <c r="M750" s="1" t="s">
        <v>184</v>
      </c>
      <c r="Q750" s="1">
        <v>3.6</v>
      </c>
      <c r="R750" s="1">
        <v>1.5</v>
      </c>
      <c r="S750" s="1">
        <v>11</v>
      </c>
      <c r="W750" s="1">
        <v>6</v>
      </c>
      <c r="Z750" s="1">
        <v>32</v>
      </c>
      <c r="AD750" s="1">
        <v>1407</v>
      </c>
      <c r="AF750" s="1">
        <v>2.5000000000000001E-2</v>
      </c>
      <c r="AK750" s="1">
        <v>38</v>
      </c>
      <c r="AL750" s="1">
        <v>1905</v>
      </c>
    </row>
    <row r="751" spans="4:38" x14ac:dyDescent="0.3">
      <c r="D751" s="2">
        <f t="shared" si="45"/>
        <v>2007</v>
      </c>
      <c r="E751" s="2">
        <f t="shared" si="46"/>
        <v>3</v>
      </c>
      <c r="F751" s="3" t="s">
        <v>175</v>
      </c>
      <c r="G751" s="4">
        <v>39149</v>
      </c>
      <c r="J751" s="1" t="s">
        <v>187</v>
      </c>
      <c r="K751" s="1"/>
      <c r="L751" s="1" t="str">
        <f t="shared" si="47"/>
        <v xml:space="preserve">Oxundasjön </v>
      </c>
      <c r="M751" s="1" t="s">
        <v>200</v>
      </c>
      <c r="Q751" s="1">
        <v>3.1</v>
      </c>
      <c r="R751" s="1">
        <v>2.4</v>
      </c>
      <c r="S751" s="1">
        <v>18</v>
      </c>
    </row>
    <row r="752" spans="4:38" x14ac:dyDescent="0.3">
      <c r="D752" s="2">
        <f t="shared" si="45"/>
        <v>2007</v>
      </c>
      <c r="E752" s="2">
        <f t="shared" si="46"/>
        <v>3</v>
      </c>
      <c r="F752" s="3" t="s">
        <v>175</v>
      </c>
      <c r="G752" s="4">
        <v>39149</v>
      </c>
      <c r="J752" s="1" t="s">
        <v>187</v>
      </c>
      <c r="K752" s="1"/>
      <c r="L752" s="1" t="str">
        <f t="shared" si="47"/>
        <v xml:space="preserve">Oxundasjön </v>
      </c>
      <c r="M752" s="1" t="s">
        <v>195</v>
      </c>
      <c r="Q752" s="1">
        <v>2.4</v>
      </c>
      <c r="R752" s="1">
        <v>7.4</v>
      </c>
      <c r="S752" s="1">
        <v>53</v>
      </c>
    </row>
    <row r="753" spans="4:38" x14ac:dyDescent="0.3">
      <c r="D753" s="2">
        <f t="shared" si="45"/>
        <v>2007</v>
      </c>
      <c r="E753" s="2">
        <f t="shared" si="46"/>
        <v>3</v>
      </c>
      <c r="F753" s="3" t="s">
        <v>175</v>
      </c>
      <c r="G753" s="4">
        <v>39149</v>
      </c>
      <c r="J753" s="1" t="s">
        <v>187</v>
      </c>
      <c r="K753" s="1"/>
      <c r="L753" s="1" t="str">
        <f t="shared" si="47"/>
        <v xml:space="preserve">Oxundasjön </v>
      </c>
      <c r="M753" s="1" t="s">
        <v>196</v>
      </c>
      <c r="Q753" s="1">
        <v>1.6</v>
      </c>
      <c r="R753" s="1">
        <v>8.6999999999999993</v>
      </c>
      <c r="S753" s="1">
        <v>62</v>
      </c>
    </row>
    <row r="754" spans="4:38" x14ac:dyDescent="0.3">
      <c r="D754" s="2">
        <f t="shared" si="45"/>
        <v>2007</v>
      </c>
      <c r="E754" s="2">
        <f t="shared" si="46"/>
        <v>3</v>
      </c>
      <c r="F754" s="3" t="s">
        <v>175</v>
      </c>
      <c r="G754" s="4">
        <v>39149</v>
      </c>
      <c r="J754" s="1" t="s">
        <v>187</v>
      </c>
      <c r="K754" s="1"/>
      <c r="L754" s="1" t="str">
        <f t="shared" si="47"/>
        <v xml:space="preserve">Oxundasjön </v>
      </c>
      <c r="M754" s="1" t="s">
        <v>197</v>
      </c>
      <c r="Q754" s="1">
        <v>1.4</v>
      </c>
      <c r="R754" s="1">
        <v>9.8000000000000007</v>
      </c>
      <c r="S754" s="1">
        <v>69</v>
      </c>
    </row>
    <row r="755" spans="4:38" x14ac:dyDescent="0.3">
      <c r="D755" s="2">
        <f t="shared" si="45"/>
        <v>2007</v>
      </c>
      <c r="E755" s="2">
        <f t="shared" si="46"/>
        <v>3</v>
      </c>
      <c r="F755" s="3" t="s">
        <v>175</v>
      </c>
      <c r="G755" s="4">
        <v>39149</v>
      </c>
      <c r="J755" s="1" t="s">
        <v>187</v>
      </c>
      <c r="K755" s="1"/>
      <c r="L755" s="1" t="str">
        <f t="shared" si="47"/>
        <v xml:space="preserve">Oxundasjön </v>
      </c>
      <c r="M755" s="1" t="s">
        <v>194</v>
      </c>
      <c r="Q755" s="1">
        <v>1.6</v>
      </c>
      <c r="R755" s="1">
        <v>10.199999999999999</v>
      </c>
      <c r="S755" s="1">
        <v>73</v>
      </c>
    </row>
    <row r="756" spans="4:38" x14ac:dyDescent="0.3">
      <c r="D756" s="2">
        <f t="shared" si="45"/>
        <v>2007</v>
      </c>
      <c r="E756" s="2">
        <f t="shared" si="46"/>
        <v>3</v>
      </c>
      <c r="F756" s="3" t="s">
        <v>175</v>
      </c>
      <c r="G756" s="4">
        <v>39149</v>
      </c>
      <c r="J756" s="1" t="s">
        <v>188</v>
      </c>
      <c r="K756" s="1"/>
      <c r="L756" s="1" t="str">
        <f t="shared" si="47"/>
        <v xml:space="preserve">Ravalen </v>
      </c>
      <c r="M756" s="1" t="s">
        <v>177</v>
      </c>
      <c r="P756" s="1">
        <v>0.4</v>
      </c>
      <c r="Q756" s="1">
        <v>2.2999999999999998</v>
      </c>
      <c r="R756" s="1">
        <v>6.8</v>
      </c>
      <c r="S756" s="1">
        <v>49</v>
      </c>
      <c r="W756" s="1">
        <v>548</v>
      </c>
      <c r="Z756" s="1">
        <v>43</v>
      </c>
      <c r="AD756" s="1">
        <v>776</v>
      </c>
      <c r="AK756" s="1">
        <v>130</v>
      </c>
      <c r="AL756" s="1">
        <v>2209</v>
      </c>
    </row>
    <row r="757" spans="4:38" x14ac:dyDescent="0.3">
      <c r="D757" s="2">
        <f t="shared" si="45"/>
        <v>2007</v>
      </c>
      <c r="E757" s="2">
        <f t="shared" si="46"/>
        <v>3</v>
      </c>
      <c r="F757" s="3" t="s">
        <v>175</v>
      </c>
      <c r="G757" s="4">
        <v>39149</v>
      </c>
      <c r="J757" s="1" t="s">
        <v>188</v>
      </c>
      <c r="K757" s="1"/>
      <c r="L757" s="1" t="str">
        <f t="shared" si="47"/>
        <v xml:space="preserve">Ravalen </v>
      </c>
      <c r="M757" s="1" t="s">
        <v>184</v>
      </c>
      <c r="Q757" s="1">
        <v>2.7</v>
      </c>
      <c r="R757" s="1">
        <v>1.1000000000000001</v>
      </c>
      <c r="S757" s="1">
        <v>9</v>
      </c>
      <c r="W757" s="1">
        <v>355</v>
      </c>
      <c r="Z757" s="1">
        <v>29</v>
      </c>
      <c r="AD757" s="1">
        <v>576</v>
      </c>
      <c r="AF757" s="1">
        <v>2.5000000000000001E-2</v>
      </c>
      <c r="AK757" s="1">
        <v>90</v>
      </c>
      <c r="AL757" s="1">
        <v>1816</v>
      </c>
    </row>
    <row r="758" spans="4:38" x14ac:dyDescent="0.3">
      <c r="D758" s="2">
        <f t="shared" si="45"/>
        <v>2007</v>
      </c>
      <c r="E758" s="2">
        <f t="shared" si="46"/>
        <v>3</v>
      </c>
      <c r="F758" s="3" t="s">
        <v>175</v>
      </c>
      <c r="G758" s="4">
        <v>39149</v>
      </c>
      <c r="J758" s="1" t="s">
        <v>188</v>
      </c>
      <c r="K758" s="1"/>
      <c r="L758" s="1" t="str">
        <f t="shared" si="47"/>
        <v xml:space="preserve">Ravalen </v>
      </c>
      <c r="M758" s="1" t="s">
        <v>194</v>
      </c>
      <c r="Q758" s="1">
        <v>2.2999999999999998</v>
      </c>
      <c r="R758" s="1">
        <v>4.3</v>
      </c>
      <c r="S758" s="1">
        <v>31</v>
      </c>
    </row>
    <row r="759" spans="4:38" x14ac:dyDescent="0.3">
      <c r="D759" s="2">
        <f t="shared" si="45"/>
        <v>2007</v>
      </c>
      <c r="E759" s="2">
        <f t="shared" si="46"/>
        <v>3</v>
      </c>
      <c r="F759" s="3" t="s">
        <v>175</v>
      </c>
      <c r="G759" s="4">
        <v>39149</v>
      </c>
      <c r="J759" s="1" t="s">
        <v>189</v>
      </c>
      <c r="K759" s="1"/>
      <c r="L759" s="1" t="str">
        <f t="shared" si="47"/>
        <v xml:space="preserve">Rösjön </v>
      </c>
      <c r="M759" s="1" t="s">
        <v>177</v>
      </c>
      <c r="P759" s="1">
        <v>3</v>
      </c>
      <c r="Q759" s="1">
        <v>1.3</v>
      </c>
      <c r="R759" s="1">
        <v>12.7</v>
      </c>
      <c r="S759" s="1">
        <v>90</v>
      </c>
      <c r="W759" s="1">
        <v>10</v>
      </c>
      <c r="Z759" s="1">
        <v>5</v>
      </c>
      <c r="AD759" s="1">
        <v>260</v>
      </c>
      <c r="AK759" s="1">
        <v>11</v>
      </c>
      <c r="AL759" s="1">
        <v>750</v>
      </c>
    </row>
    <row r="760" spans="4:38" x14ac:dyDescent="0.3">
      <c r="D760" s="2">
        <f t="shared" si="45"/>
        <v>2007</v>
      </c>
      <c r="E760" s="2">
        <f t="shared" si="46"/>
        <v>3</v>
      </c>
      <c r="F760" s="3" t="s">
        <v>175</v>
      </c>
      <c r="G760" s="4">
        <v>39149</v>
      </c>
      <c r="J760" s="1" t="s">
        <v>189</v>
      </c>
      <c r="K760" s="1"/>
      <c r="L760" s="1" t="str">
        <f t="shared" si="47"/>
        <v xml:space="preserve">Rösjön </v>
      </c>
      <c r="M760" s="1" t="s">
        <v>184</v>
      </c>
      <c r="Q760" s="1">
        <v>3.9</v>
      </c>
      <c r="R760" s="1">
        <v>1.1000000000000001</v>
      </c>
      <c r="S760" s="1">
        <v>9</v>
      </c>
      <c r="W760" s="1">
        <v>6</v>
      </c>
      <c r="Z760" s="1">
        <v>10</v>
      </c>
      <c r="AD760" s="1">
        <v>397</v>
      </c>
      <c r="AF760" s="1">
        <v>2.5000000000000001E-2</v>
      </c>
      <c r="AK760" s="1">
        <v>15</v>
      </c>
      <c r="AL760" s="1">
        <v>888</v>
      </c>
    </row>
    <row r="761" spans="4:38" x14ac:dyDescent="0.3">
      <c r="D761" s="2">
        <f t="shared" si="45"/>
        <v>2007</v>
      </c>
      <c r="E761" s="2">
        <f t="shared" si="46"/>
        <v>3</v>
      </c>
      <c r="F761" s="3" t="s">
        <v>175</v>
      </c>
      <c r="G761" s="4">
        <v>39149</v>
      </c>
      <c r="J761" s="1" t="s">
        <v>189</v>
      </c>
      <c r="K761" s="1"/>
      <c r="L761" s="1" t="str">
        <f t="shared" si="47"/>
        <v xml:space="preserve">Rösjön </v>
      </c>
      <c r="M761" s="1" t="s">
        <v>200</v>
      </c>
      <c r="Q761" s="1">
        <v>3.3</v>
      </c>
      <c r="R761" s="1">
        <v>3.2</v>
      </c>
      <c r="S761" s="1">
        <v>23</v>
      </c>
    </row>
    <row r="762" spans="4:38" x14ac:dyDescent="0.3">
      <c r="D762" s="2">
        <f t="shared" si="45"/>
        <v>2007</v>
      </c>
      <c r="E762" s="2">
        <f t="shared" si="46"/>
        <v>3</v>
      </c>
      <c r="F762" s="3" t="s">
        <v>175</v>
      </c>
      <c r="G762" s="4">
        <v>39149</v>
      </c>
      <c r="J762" s="1" t="s">
        <v>189</v>
      </c>
      <c r="K762" s="1"/>
      <c r="L762" s="1" t="str">
        <f t="shared" si="47"/>
        <v xml:space="preserve">Rösjön </v>
      </c>
      <c r="M762" s="1" t="s">
        <v>195</v>
      </c>
      <c r="Q762" s="1">
        <v>2.8</v>
      </c>
      <c r="R762" s="1">
        <v>7.2</v>
      </c>
      <c r="S762" s="1">
        <v>54</v>
      </c>
    </row>
    <row r="763" spans="4:38" x14ac:dyDescent="0.3">
      <c r="D763" s="2">
        <f t="shared" si="45"/>
        <v>2007</v>
      </c>
      <c r="E763" s="2">
        <f t="shared" si="46"/>
        <v>3</v>
      </c>
      <c r="F763" s="3" t="s">
        <v>175</v>
      </c>
      <c r="G763" s="4">
        <v>39149</v>
      </c>
      <c r="J763" s="1" t="s">
        <v>189</v>
      </c>
      <c r="K763" s="1"/>
      <c r="L763" s="1" t="str">
        <f t="shared" si="47"/>
        <v xml:space="preserve">Rösjön </v>
      </c>
      <c r="M763" s="1" t="s">
        <v>196</v>
      </c>
      <c r="Q763" s="1">
        <v>2</v>
      </c>
      <c r="R763" s="1">
        <v>11.2</v>
      </c>
      <c r="S763" s="1">
        <v>83</v>
      </c>
    </row>
    <row r="764" spans="4:38" x14ac:dyDescent="0.3">
      <c r="D764" s="2">
        <f t="shared" si="45"/>
        <v>2007</v>
      </c>
      <c r="E764" s="2">
        <f t="shared" si="46"/>
        <v>3</v>
      </c>
      <c r="F764" s="3" t="s">
        <v>175</v>
      </c>
      <c r="G764" s="4">
        <v>39149</v>
      </c>
      <c r="J764" s="1" t="s">
        <v>189</v>
      </c>
      <c r="K764" s="1"/>
      <c r="L764" s="1" t="str">
        <f t="shared" si="47"/>
        <v xml:space="preserve">Rösjön </v>
      </c>
      <c r="M764" s="1" t="s">
        <v>197</v>
      </c>
      <c r="Q764" s="1">
        <v>1.8</v>
      </c>
      <c r="R764" s="1">
        <v>12</v>
      </c>
      <c r="S764" s="1">
        <v>87</v>
      </c>
    </row>
    <row r="765" spans="4:38" x14ac:dyDescent="0.3">
      <c r="D765" s="2">
        <f t="shared" si="45"/>
        <v>2007</v>
      </c>
      <c r="E765" s="2">
        <f t="shared" si="46"/>
        <v>3</v>
      </c>
      <c r="F765" s="3" t="s">
        <v>175</v>
      </c>
      <c r="G765" s="4">
        <v>39149</v>
      </c>
      <c r="J765" s="1" t="s">
        <v>189</v>
      </c>
      <c r="K765" s="1"/>
      <c r="L765" s="1" t="str">
        <f t="shared" si="47"/>
        <v xml:space="preserve">Rösjön </v>
      </c>
      <c r="M765" s="1" t="s">
        <v>194</v>
      </c>
      <c r="Q765" s="1">
        <v>1.5</v>
      </c>
      <c r="R765" s="1">
        <v>12.3</v>
      </c>
      <c r="S765" s="1">
        <v>89</v>
      </c>
    </row>
    <row r="766" spans="4:38" x14ac:dyDescent="0.3">
      <c r="D766" s="2">
        <f t="shared" si="45"/>
        <v>2007</v>
      </c>
      <c r="E766" s="2">
        <f t="shared" si="46"/>
        <v>3</v>
      </c>
      <c r="F766" s="3" t="s">
        <v>175</v>
      </c>
      <c r="G766" s="4">
        <v>39149</v>
      </c>
      <c r="J766" s="1" t="s">
        <v>190</v>
      </c>
      <c r="K766" s="1"/>
      <c r="L766" s="1" t="str">
        <f t="shared" si="47"/>
        <v xml:space="preserve">Snuggan </v>
      </c>
      <c r="M766" s="1" t="s">
        <v>177</v>
      </c>
      <c r="P766" s="1">
        <v>0.6</v>
      </c>
      <c r="Q766" s="1">
        <v>1.4</v>
      </c>
      <c r="R766" s="1">
        <v>11.4</v>
      </c>
      <c r="S766" s="1">
        <v>81</v>
      </c>
      <c r="W766" s="1">
        <v>390</v>
      </c>
      <c r="Z766" s="1">
        <v>4</v>
      </c>
      <c r="AD766" s="1">
        <v>48</v>
      </c>
      <c r="AK766" s="1">
        <v>18</v>
      </c>
      <c r="AL766" s="1">
        <v>1310</v>
      </c>
    </row>
    <row r="767" spans="4:38" x14ac:dyDescent="0.3">
      <c r="D767" s="2">
        <f t="shared" si="45"/>
        <v>2007</v>
      </c>
      <c r="E767" s="2">
        <f t="shared" si="46"/>
        <v>3</v>
      </c>
      <c r="F767" s="3" t="s">
        <v>175</v>
      </c>
      <c r="G767" s="4">
        <v>39149</v>
      </c>
      <c r="J767" s="1" t="s">
        <v>190</v>
      </c>
      <c r="K767" s="1"/>
      <c r="L767" s="1" t="str">
        <f t="shared" si="47"/>
        <v xml:space="preserve">Snuggan </v>
      </c>
      <c r="M767" s="1" t="s">
        <v>184</v>
      </c>
      <c r="Q767" s="1">
        <v>3.3</v>
      </c>
      <c r="R767" s="1">
        <v>2.6</v>
      </c>
      <c r="S767" s="1">
        <v>20</v>
      </c>
      <c r="W767" s="1">
        <v>449</v>
      </c>
      <c r="Z767" s="1">
        <v>0.1</v>
      </c>
      <c r="AD767" s="1">
        <v>22</v>
      </c>
      <c r="AK767" s="1">
        <v>11</v>
      </c>
      <c r="AL767" s="1">
        <v>1332</v>
      </c>
    </row>
    <row r="768" spans="4:38" x14ac:dyDescent="0.3">
      <c r="D768" s="2">
        <f t="shared" si="45"/>
        <v>2007</v>
      </c>
      <c r="E768" s="2">
        <f t="shared" si="46"/>
        <v>3</v>
      </c>
      <c r="F768" s="3" t="s">
        <v>175</v>
      </c>
      <c r="G768" s="4">
        <v>39149</v>
      </c>
      <c r="J768" s="1" t="s">
        <v>190</v>
      </c>
      <c r="K768" s="1"/>
      <c r="L768" s="1" t="str">
        <f t="shared" si="47"/>
        <v xml:space="preserve">Snuggan </v>
      </c>
      <c r="M768" s="1" t="s">
        <v>197</v>
      </c>
      <c r="Q768" s="1">
        <v>2.5</v>
      </c>
      <c r="R768" s="1">
        <v>5.9</v>
      </c>
      <c r="S768" s="1">
        <v>43</v>
      </c>
    </row>
    <row r="769" spans="4:38" x14ac:dyDescent="0.3">
      <c r="D769" s="2">
        <f t="shared" si="45"/>
        <v>2007</v>
      </c>
      <c r="E769" s="2">
        <f t="shared" si="46"/>
        <v>3</v>
      </c>
      <c r="F769" s="3" t="s">
        <v>175</v>
      </c>
      <c r="G769" s="4">
        <v>39149</v>
      </c>
      <c r="J769" s="1" t="s">
        <v>190</v>
      </c>
      <c r="K769" s="1"/>
      <c r="L769" s="1" t="str">
        <f t="shared" si="47"/>
        <v xml:space="preserve">Snuggan </v>
      </c>
      <c r="M769" s="1" t="s">
        <v>194</v>
      </c>
      <c r="Q769" s="1">
        <v>1.4</v>
      </c>
      <c r="R769" s="1">
        <v>11.3</v>
      </c>
      <c r="S769" s="1">
        <v>81</v>
      </c>
    </row>
    <row r="770" spans="4:38" x14ac:dyDescent="0.3">
      <c r="D770" s="2">
        <f t="shared" ref="D770:D833" si="48">YEAR(G770)</f>
        <v>2007</v>
      </c>
      <c r="E770" s="2">
        <f t="shared" ref="E770:E833" si="49">MONTH(G770)</f>
        <v>3</v>
      </c>
      <c r="F770" s="3" t="s">
        <v>175</v>
      </c>
      <c r="G770" s="4">
        <v>39149</v>
      </c>
      <c r="J770" s="1" t="s">
        <v>191</v>
      </c>
      <c r="K770" s="1">
        <v>1</v>
      </c>
      <c r="L770" s="1" t="str">
        <f t="shared" ref="L770:L833" si="50">CONCATENATE(J770," ",K770)</f>
        <v>Vallentunasjön 1</v>
      </c>
      <c r="M770" s="1" t="s">
        <v>177</v>
      </c>
      <c r="P770" s="1">
        <v>1.6</v>
      </c>
      <c r="Q770" s="1">
        <v>2</v>
      </c>
      <c r="R770" s="1">
        <v>16.100000000000001</v>
      </c>
      <c r="S770" s="1">
        <v>116</v>
      </c>
      <c r="W770" s="1">
        <v>453</v>
      </c>
      <c r="Z770" s="1">
        <v>1</v>
      </c>
      <c r="AD770" s="1">
        <v>485</v>
      </c>
      <c r="AK770" s="1">
        <v>11</v>
      </c>
      <c r="AL770" s="1">
        <v>1439</v>
      </c>
    </row>
    <row r="771" spans="4:38" x14ac:dyDescent="0.3">
      <c r="D771" s="2">
        <f t="shared" si="48"/>
        <v>2007</v>
      </c>
      <c r="E771" s="2">
        <f t="shared" si="49"/>
        <v>3</v>
      </c>
      <c r="F771" s="3" t="s">
        <v>175</v>
      </c>
      <c r="G771" s="4">
        <v>39149</v>
      </c>
      <c r="J771" s="1" t="s">
        <v>191</v>
      </c>
      <c r="K771" s="1">
        <v>2</v>
      </c>
      <c r="L771" s="1" t="str">
        <f t="shared" si="50"/>
        <v>Vallentunasjön 2</v>
      </c>
      <c r="M771" s="1" t="s">
        <v>177</v>
      </c>
      <c r="P771" s="1">
        <v>1.6</v>
      </c>
      <c r="Q771" s="1">
        <v>2.1</v>
      </c>
      <c r="R771" s="1">
        <v>14.8</v>
      </c>
      <c r="S771" s="1">
        <v>106</v>
      </c>
      <c r="W771" s="1">
        <v>430</v>
      </c>
      <c r="Z771" s="1">
        <v>0.1</v>
      </c>
      <c r="AD771" s="1">
        <v>470</v>
      </c>
      <c r="AK771" s="1">
        <v>14</v>
      </c>
      <c r="AL771" s="1">
        <v>1396</v>
      </c>
    </row>
    <row r="772" spans="4:38" x14ac:dyDescent="0.3">
      <c r="D772" s="2">
        <f t="shared" si="48"/>
        <v>2007</v>
      </c>
      <c r="E772" s="2">
        <f t="shared" si="49"/>
        <v>3</v>
      </c>
      <c r="F772" s="3" t="s">
        <v>175</v>
      </c>
      <c r="G772" s="4">
        <v>39149</v>
      </c>
      <c r="J772" s="1" t="s">
        <v>191</v>
      </c>
      <c r="K772" s="1">
        <v>1</v>
      </c>
      <c r="L772" s="1" t="str">
        <f t="shared" si="50"/>
        <v>Vallentunasjön 1</v>
      </c>
      <c r="M772" s="1" t="s">
        <v>184</v>
      </c>
      <c r="Q772" s="1">
        <v>2.7</v>
      </c>
      <c r="R772" s="1">
        <v>11</v>
      </c>
      <c r="S772" s="1">
        <v>80</v>
      </c>
      <c r="W772" s="1">
        <v>452</v>
      </c>
      <c r="Z772" s="1">
        <v>3</v>
      </c>
      <c r="AD772" s="1">
        <v>495</v>
      </c>
      <c r="AK772" s="1">
        <v>16</v>
      </c>
      <c r="AL772" s="1">
        <v>1492</v>
      </c>
    </row>
    <row r="773" spans="4:38" x14ac:dyDescent="0.3">
      <c r="D773" s="2">
        <f t="shared" si="48"/>
        <v>2007</v>
      </c>
      <c r="E773" s="2">
        <f t="shared" si="49"/>
        <v>3</v>
      </c>
      <c r="F773" s="3" t="s">
        <v>175</v>
      </c>
      <c r="G773" s="4">
        <v>39149</v>
      </c>
      <c r="J773" s="1" t="s">
        <v>191</v>
      </c>
      <c r="K773" s="1">
        <v>2</v>
      </c>
      <c r="L773" s="1" t="str">
        <f t="shared" si="50"/>
        <v>Vallentunasjön 2</v>
      </c>
      <c r="M773" s="1" t="s">
        <v>184</v>
      </c>
      <c r="Q773" s="1">
        <v>3.3</v>
      </c>
      <c r="R773" s="1">
        <v>3</v>
      </c>
      <c r="S773" s="1">
        <v>20</v>
      </c>
      <c r="W773" s="1">
        <v>581</v>
      </c>
      <c r="Z773" s="1">
        <v>2</v>
      </c>
      <c r="AD773" s="1">
        <v>432</v>
      </c>
      <c r="AK773" s="1">
        <v>29</v>
      </c>
      <c r="AL773" s="1">
        <v>1633</v>
      </c>
    </row>
    <row r="774" spans="4:38" x14ac:dyDescent="0.3">
      <c r="D774" s="2">
        <f t="shared" si="48"/>
        <v>2007</v>
      </c>
      <c r="E774" s="2">
        <f t="shared" si="49"/>
        <v>3</v>
      </c>
      <c r="F774" s="3" t="s">
        <v>175</v>
      </c>
      <c r="G774" s="4">
        <v>39149</v>
      </c>
      <c r="J774" s="1" t="s">
        <v>191</v>
      </c>
      <c r="K774" s="1">
        <v>2</v>
      </c>
      <c r="L774" s="1" t="str">
        <f t="shared" si="50"/>
        <v>Vallentunasjön 2</v>
      </c>
      <c r="M774" s="1" t="s">
        <v>196</v>
      </c>
      <c r="Q774" s="1">
        <v>3</v>
      </c>
      <c r="R774" s="1">
        <v>4.5</v>
      </c>
      <c r="S774" s="1">
        <v>33</v>
      </c>
    </row>
    <row r="775" spans="4:38" x14ac:dyDescent="0.3">
      <c r="D775" s="2">
        <f t="shared" si="48"/>
        <v>2007</v>
      </c>
      <c r="E775" s="2">
        <f t="shared" si="49"/>
        <v>3</v>
      </c>
      <c r="F775" s="3" t="s">
        <v>175</v>
      </c>
      <c r="G775" s="4">
        <v>39149</v>
      </c>
      <c r="J775" s="1" t="s">
        <v>191</v>
      </c>
      <c r="K775" s="1">
        <v>2</v>
      </c>
      <c r="L775" s="1" t="str">
        <f t="shared" si="50"/>
        <v>Vallentunasjön 2</v>
      </c>
      <c r="M775" s="1" t="s">
        <v>197</v>
      </c>
      <c r="Q775" s="1">
        <v>2.4</v>
      </c>
      <c r="R775" s="1">
        <v>10</v>
      </c>
      <c r="S775" s="1">
        <v>73</v>
      </c>
    </row>
    <row r="776" spans="4:38" x14ac:dyDescent="0.3">
      <c r="D776" s="2">
        <f t="shared" si="48"/>
        <v>2007</v>
      </c>
      <c r="E776" s="2">
        <f t="shared" si="49"/>
        <v>3</v>
      </c>
      <c r="F776" s="3" t="s">
        <v>175</v>
      </c>
      <c r="G776" s="4">
        <v>39149</v>
      </c>
      <c r="J776" s="1" t="s">
        <v>191</v>
      </c>
      <c r="K776" s="1">
        <v>1</v>
      </c>
      <c r="L776" s="1" t="str">
        <f t="shared" si="50"/>
        <v>Vallentunasjön 1</v>
      </c>
      <c r="M776" s="1" t="s">
        <v>194</v>
      </c>
      <c r="Q776" s="1">
        <v>2.1</v>
      </c>
      <c r="R776" s="1">
        <v>16.100000000000001</v>
      </c>
      <c r="S776" s="1">
        <v>116</v>
      </c>
    </row>
    <row r="777" spans="4:38" x14ac:dyDescent="0.3">
      <c r="D777" s="2">
        <f t="shared" si="48"/>
        <v>2007</v>
      </c>
      <c r="E777" s="2">
        <f t="shared" si="49"/>
        <v>3</v>
      </c>
      <c r="F777" s="3" t="s">
        <v>175</v>
      </c>
      <c r="G777" s="4">
        <v>39149</v>
      </c>
      <c r="J777" s="1" t="s">
        <v>191</v>
      </c>
      <c r="K777" s="1">
        <v>2</v>
      </c>
      <c r="L777" s="1" t="str">
        <f t="shared" si="50"/>
        <v>Vallentunasjön 2</v>
      </c>
      <c r="M777" s="1" t="s">
        <v>194</v>
      </c>
      <c r="Q777" s="1">
        <v>2.2000000000000002</v>
      </c>
      <c r="R777" s="1">
        <v>14.8</v>
      </c>
      <c r="S777" s="1">
        <v>107</v>
      </c>
    </row>
    <row r="778" spans="4:38" x14ac:dyDescent="0.3">
      <c r="D778" s="2">
        <f t="shared" si="48"/>
        <v>2007</v>
      </c>
      <c r="E778" s="2">
        <f t="shared" si="49"/>
        <v>3</v>
      </c>
      <c r="F778" s="3" t="s">
        <v>175</v>
      </c>
      <c r="G778" s="4">
        <v>39149</v>
      </c>
      <c r="J778" s="1" t="s">
        <v>192</v>
      </c>
      <c r="K778" s="1"/>
      <c r="L778" s="1" t="str">
        <f t="shared" si="50"/>
        <v xml:space="preserve">Väsjön </v>
      </c>
      <c r="M778" s="1" t="s">
        <v>177</v>
      </c>
      <c r="P778" s="1">
        <v>1.8</v>
      </c>
      <c r="Q778" s="1">
        <v>1.9</v>
      </c>
      <c r="R778" s="1">
        <v>14.8</v>
      </c>
      <c r="S778" s="1">
        <v>106</v>
      </c>
      <c r="W778" s="1">
        <v>86</v>
      </c>
      <c r="Z778" s="1">
        <v>0.1</v>
      </c>
      <c r="AD778" s="1">
        <v>274</v>
      </c>
      <c r="AK778" s="1">
        <v>8</v>
      </c>
      <c r="AL778" s="1">
        <v>843</v>
      </c>
    </row>
    <row r="779" spans="4:38" x14ac:dyDescent="0.3">
      <c r="D779" s="2">
        <f t="shared" si="48"/>
        <v>2007</v>
      </c>
      <c r="E779" s="2">
        <f t="shared" si="49"/>
        <v>3</v>
      </c>
      <c r="F779" s="3" t="s">
        <v>175</v>
      </c>
      <c r="G779" s="4">
        <v>39149</v>
      </c>
      <c r="J779" s="1" t="s">
        <v>192</v>
      </c>
      <c r="K779" s="1"/>
      <c r="L779" s="1" t="str">
        <f t="shared" si="50"/>
        <v xml:space="preserve">Väsjön </v>
      </c>
      <c r="M779" s="1" t="s">
        <v>184</v>
      </c>
      <c r="Q779" s="1">
        <v>2.8</v>
      </c>
      <c r="R779" s="1">
        <v>3</v>
      </c>
      <c r="S779" s="1">
        <v>22</v>
      </c>
      <c r="W779" s="1">
        <v>58</v>
      </c>
      <c r="Z779" s="1">
        <v>2</v>
      </c>
      <c r="AD779" s="1">
        <v>156</v>
      </c>
      <c r="AK779" s="1">
        <v>12</v>
      </c>
      <c r="AL779" s="1">
        <v>815</v>
      </c>
    </row>
    <row r="780" spans="4:38" x14ac:dyDescent="0.3">
      <c r="D780" s="2">
        <f t="shared" si="48"/>
        <v>2007</v>
      </c>
      <c r="E780" s="2">
        <f t="shared" si="49"/>
        <v>3</v>
      </c>
      <c r="F780" s="3" t="s">
        <v>175</v>
      </c>
      <c r="G780" s="4">
        <v>39149</v>
      </c>
      <c r="J780" s="1" t="s">
        <v>192</v>
      </c>
      <c r="K780" s="1"/>
      <c r="L780" s="1" t="str">
        <f t="shared" si="50"/>
        <v xml:space="preserve">Väsjön </v>
      </c>
      <c r="M780" s="1" t="s">
        <v>194</v>
      </c>
      <c r="Q780" s="1">
        <v>2.1</v>
      </c>
      <c r="R780" s="1">
        <v>14.3</v>
      </c>
      <c r="S780" s="1">
        <v>103</v>
      </c>
    </row>
    <row r="781" spans="4:38" x14ac:dyDescent="0.3">
      <c r="D781" s="2">
        <f t="shared" si="48"/>
        <v>2007</v>
      </c>
      <c r="E781" s="2">
        <f t="shared" si="49"/>
        <v>3</v>
      </c>
      <c r="F781" s="3" t="s">
        <v>175</v>
      </c>
      <c r="G781" s="4">
        <v>39149</v>
      </c>
      <c r="J781" s="1" t="s">
        <v>193</v>
      </c>
      <c r="K781" s="1"/>
      <c r="L781" s="1" t="str">
        <f t="shared" si="50"/>
        <v xml:space="preserve">Översjön </v>
      </c>
      <c r="M781" s="1" t="s">
        <v>177</v>
      </c>
      <c r="P781" s="1">
        <v>1.8</v>
      </c>
      <c r="Q781" s="1">
        <v>1.9</v>
      </c>
      <c r="R781" s="1">
        <v>11.4</v>
      </c>
      <c r="S781" s="1">
        <v>82</v>
      </c>
      <c r="W781" s="1">
        <v>228</v>
      </c>
      <c r="Z781" s="1">
        <v>0.1</v>
      </c>
      <c r="AD781" s="1">
        <v>209</v>
      </c>
      <c r="AK781" s="1">
        <v>8</v>
      </c>
      <c r="AL781" s="1">
        <v>927</v>
      </c>
    </row>
    <row r="782" spans="4:38" x14ac:dyDescent="0.3">
      <c r="D782" s="2">
        <f t="shared" si="48"/>
        <v>2007</v>
      </c>
      <c r="E782" s="2">
        <f t="shared" si="49"/>
        <v>3</v>
      </c>
      <c r="F782" s="3" t="s">
        <v>175</v>
      </c>
      <c r="G782" s="4">
        <v>39149</v>
      </c>
      <c r="J782" s="1" t="s">
        <v>193</v>
      </c>
      <c r="K782" s="1"/>
      <c r="L782" s="1" t="str">
        <f t="shared" si="50"/>
        <v xml:space="preserve">Översjön </v>
      </c>
      <c r="M782" s="1" t="s">
        <v>184</v>
      </c>
      <c r="Q782" s="1">
        <v>3.3</v>
      </c>
      <c r="R782" s="1">
        <v>3.4</v>
      </c>
      <c r="S782" s="1">
        <v>26</v>
      </c>
      <c r="W782" s="1">
        <v>144</v>
      </c>
      <c r="Z782" s="1">
        <v>3</v>
      </c>
      <c r="AD782" s="1">
        <v>136</v>
      </c>
      <c r="AK782" s="1">
        <v>10</v>
      </c>
      <c r="AL782" s="1">
        <v>972</v>
      </c>
    </row>
    <row r="783" spans="4:38" x14ac:dyDescent="0.3">
      <c r="D783" s="2">
        <f t="shared" si="48"/>
        <v>2007</v>
      </c>
      <c r="E783" s="2">
        <f t="shared" si="49"/>
        <v>3</v>
      </c>
      <c r="F783" s="3" t="s">
        <v>175</v>
      </c>
      <c r="G783" s="4">
        <v>39149</v>
      </c>
      <c r="J783" s="1" t="s">
        <v>193</v>
      </c>
      <c r="K783" s="1"/>
      <c r="L783" s="1" t="str">
        <f t="shared" si="50"/>
        <v xml:space="preserve">Översjön </v>
      </c>
      <c r="M783" s="1" t="s">
        <v>197</v>
      </c>
      <c r="Q783" s="1">
        <v>2.2999999999999998</v>
      </c>
      <c r="R783" s="1">
        <v>10.4</v>
      </c>
      <c r="S783" s="1">
        <v>76</v>
      </c>
    </row>
    <row r="784" spans="4:38" x14ac:dyDescent="0.3">
      <c r="D784" s="2">
        <f t="shared" si="48"/>
        <v>2007</v>
      </c>
      <c r="E784" s="2">
        <f t="shared" si="49"/>
        <v>3</v>
      </c>
      <c r="F784" s="3" t="s">
        <v>175</v>
      </c>
      <c r="G784" s="4">
        <v>39149</v>
      </c>
      <c r="J784" s="1" t="s">
        <v>193</v>
      </c>
      <c r="K784" s="1"/>
      <c r="L784" s="1" t="str">
        <f t="shared" si="50"/>
        <v xml:space="preserve">Översjön </v>
      </c>
      <c r="M784" s="1" t="s">
        <v>194</v>
      </c>
      <c r="Q784" s="1">
        <v>2.1</v>
      </c>
      <c r="R784" s="1">
        <v>12.3</v>
      </c>
      <c r="S784" s="1">
        <v>89</v>
      </c>
    </row>
    <row r="785" spans="4:67" x14ac:dyDescent="0.3">
      <c r="D785" s="2">
        <f t="shared" si="48"/>
        <v>2007</v>
      </c>
      <c r="E785" s="2">
        <f t="shared" si="49"/>
        <v>3</v>
      </c>
      <c r="F785" s="3" t="s">
        <v>175</v>
      </c>
      <c r="G785" s="4">
        <v>39162</v>
      </c>
      <c r="H785" s="1">
        <v>6606238</v>
      </c>
      <c r="I785" s="1">
        <v>661152</v>
      </c>
      <c r="J785" s="5" t="s">
        <v>176</v>
      </c>
      <c r="K785" s="1"/>
      <c r="L785" s="1" t="str">
        <f t="shared" si="50"/>
        <v xml:space="preserve">Oxundaån </v>
      </c>
      <c r="M785" s="1" t="s">
        <v>177</v>
      </c>
      <c r="N785" s="1">
        <v>0.5</v>
      </c>
      <c r="O785" s="1">
        <v>0.5</v>
      </c>
      <c r="Q785" s="1">
        <v>2.5</v>
      </c>
      <c r="T785" s="1">
        <v>45.1</v>
      </c>
      <c r="V785" s="1">
        <v>2.028</v>
      </c>
      <c r="W785" s="1">
        <v>13</v>
      </c>
      <c r="X785" s="1">
        <f t="shared" ref="X785:X794" si="51">W785 * (1/((10^((0.0901821 + (2729.92 /(273.15 + Q785)))-AE785)+1)))</f>
        <v>2.395448774326308E-2</v>
      </c>
      <c r="Y785" s="1">
        <v>6.6000000000000003E-2</v>
      </c>
      <c r="Z785" s="1">
        <v>17</v>
      </c>
      <c r="AD785" s="1">
        <v>991</v>
      </c>
      <c r="AE785" s="1">
        <v>7.26</v>
      </c>
      <c r="AG785" s="1">
        <v>7.7</v>
      </c>
      <c r="AI785" s="1">
        <v>10.9</v>
      </c>
      <c r="AK785" s="1">
        <v>57</v>
      </c>
      <c r="AL785" s="1">
        <v>2184</v>
      </c>
      <c r="AR785" s="1">
        <v>51</v>
      </c>
      <c r="AS785" s="1">
        <v>0.65</v>
      </c>
      <c r="AT785" s="1">
        <v>5.4349000000000007</v>
      </c>
      <c r="AU785" s="1">
        <v>9.3412000000000006</v>
      </c>
      <c r="AV785" s="1">
        <v>35.520900000000005</v>
      </c>
      <c r="AW785" s="1">
        <v>24.476980000000001</v>
      </c>
      <c r="AX785" s="1">
        <v>63.041599999999995</v>
      </c>
      <c r="AY785" s="1">
        <v>10.59</v>
      </c>
      <c r="BC785" s="1">
        <v>2.9000000000000001E-2</v>
      </c>
      <c r="BE785" s="1">
        <v>0.95</v>
      </c>
      <c r="BF785" s="1">
        <v>5.7</v>
      </c>
      <c r="BJ785" s="1">
        <v>7.2</v>
      </c>
      <c r="BL785" s="1">
        <v>0.92</v>
      </c>
      <c r="BO785" s="1">
        <v>17</v>
      </c>
    </row>
    <row r="786" spans="4:67" x14ac:dyDescent="0.3">
      <c r="D786" s="2">
        <f t="shared" si="48"/>
        <v>2007</v>
      </c>
      <c r="E786" s="2">
        <f t="shared" si="49"/>
        <v>4</v>
      </c>
      <c r="F786" s="3" t="s">
        <v>178</v>
      </c>
      <c r="G786" s="4">
        <v>39190</v>
      </c>
      <c r="H786" s="1">
        <v>6606238</v>
      </c>
      <c r="I786" s="1">
        <v>661152</v>
      </c>
      <c r="J786" s="5" t="s">
        <v>176</v>
      </c>
      <c r="K786" s="1"/>
      <c r="L786" s="1" t="str">
        <f t="shared" si="50"/>
        <v xml:space="preserve">Oxundaån </v>
      </c>
      <c r="M786" s="1" t="s">
        <v>177</v>
      </c>
      <c r="N786" s="1">
        <v>0.5</v>
      </c>
      <c r="O786" s="1">
        <v>0.5</v>
      </c>
      <c r="Q786" s="1">
        <v>8.4</v>
      </c>
      <c r="T786" s="1">
        <v>44.9</v>
      </c>
      <c r="V786" s="1">
        <v>2.1680000000000001</v>
      </c>
      <c r="W786" s="1">
        <v>24</v>
      </c>
      <c r="X786" s="1">
        <f t="shared" si="51"/>
        <v>0.21878231255552258</v>
      </c>
      <c r="Y786" s="1">
        <v>5.2999999999999999E-2</v>
      </c>
      <c r="Z786" s="1">
        <v>6</v>
      </c>
      <c r="AD786" s="1">
        <v>826</v>
      </c>
      <c r="AE786" s="1">
        <v>7.75</v>
      </c>
      <c r="AG786" s="1">
        <v>4.2</v>
      </c>
      <c r="AI786" s="1">
        <v>10.3</v>
      </c>
      <c r="AK786" s="1">
        <v>25</v>
      </c>
      <c r="AL786" s="1">
        <v>1465</v>
      </c>
      <c r="AR786" s="1">
        <v>52.460000000000008</v>
      </c>
      <c r="AS786" s="1">
        <v>0.16</v>
      </c>
      <c r="AT786" s="1">
        <v>5.2003000000000004</v>
      </c>
      <c r="AU786" s="1">
        <v>9.3048999999999999</v>
      </c>
      <c r="AV786" s="1">
        <v>36.584400000000002</v>
      </c>
      <c r="AW786" s="1">
        <v>23.83466</v>
      </c>
      <c r="AX786" s="1">
        <v>63.041599999999995</v>
      </c>
      <c r="AY786" s="1">
        <v>6.31</v>
      </c>
      <c r="BC786" s="1">
        <v>1.9E-2</v>
      </c>
      <c r="BE786" s="1">
        <v>0.34</v>
      </c>
      <c r="BF786" s="1">
        <v>2.8</v>
      </c>
      <c r="BJ786" s="1">
        <v>6.3</v>
      </c>
      <c r="BL786" s="1">
        <v>0.21</v>
      </c>
      <c r="BO786" s="1">
        <v>3.3</v>
      </c>
    </row>
    <row r="787" spans="4:67" x14ac:dyDescent="0.3">
      <c r="D787" s="2">
        <f t="shared" si="48"/>
        <v>2007</v>
      </c>
      <c r="E787" s="2">
        <f t="shared" si="49"/>
        <v>5</v>
      </c>
      <c r="F787" s="3" t="s">
        <v>178</v>
      </c>
      <c r="G787" s="4">
        <v>39210</v>
      </c>
      <c r="J787" s="1" t="s">
        <v>181</v>
      </c>
      <c r="K787" s="1"/>
      <c r="L787" s="1" t="str">
        <f t="shared" si="50"/>
        <v xml:space="preserve">Fysingen </v>
      </c>
      <c r="M787" s="1" t="s">
        <v>177</v>
      </c>
      <c r="P787" s="1">
        <v>1</v>
      </c>
      <c r="Q787" s="1">
        <v>12.6</v>
      </c>
      <c r="V787" s="1">
        <v>1.8029999999999999</v>
      </c>
      <c r="W787" s="1">
        <v>18</v>
      </c>
      <c r="X787" s="1">
        <f t="shared" si="51"/>
        <v>0.37364114847495611</v>
      </c>
      <c r="Y787" s="1">
        <v>4.2000000000000003E-2</v>
      </c>
      <c r="Z787" s="1">
        <v>8</v>
      </c>
      <c r="AB787" s="1">
        <v>9.4</v>
      </c>
      <c r="AC787" s="1">
        <v>50.5</v>
      </c>
      <c r="AD787" s="1">
        <v>1167</v>
      </c>
      <c r="AE787" s="1">
        <v>7.97</v>
      </c>
      <c r="AI787" s="1">
        <v>8.4</v>
      </c>
      <c r="AK787" s="1">
        <v>34</v>
      </c>
      <c r="AL787" s="1">
        <v>1544</v>
      </c>
      <c r="AV787" s="1">
        <v>32.649450000000002</v>
      </c>
      <c r="AX787" s="1">
        <v>106.62294999999999</v>
      </c>
      <c r="AY787" s="1">
        <v>6.09</v>
      </c>
    </row>
    <row r="788" spans="4:67" x14ac:dyDescent="0.3">
      <c r="D788" s="2">
        <f t="shared" si="48"/>
        <v>2007</v>
      </c>
      <c r="E788" s="2">
        <f t="shared" si="49"/>
        <v>5</v>
      </c>
      <c r="F788" s="3" t="s">
        <v>178</v>
      </c>
      <c r="G788" s="4">
        <v>39216</v>
      </c>
      <c r="H788" s="1">
        <v>6606238</v>
      </c>
      <c r="I788" s="1">
        <v>661152</v>
      </c>
      <c r="J788" s="5" t="s">
        <v>176</v>
      </c>
      <c r="K788" s="1"/>
      <c r="L788" s="1" t="str">
        <f t="shared" si="50"/>
        <v xml:space="preserve">Oxundaån </v>
      </c>
      <c r="M788" s="1" t="s">
        <v>177</v>
      </c>
      <c r="N788" s="1">
        <v>0.5</v>
      </c>
      <c r="O788" s="1">
        <v>0.5</v>
      </c>
      <c r="Q788" s="1">
        <v>11</v>
      </c>
      <c r="T788" s="1">
        <v>47.2</v>
      </c>
      <c r="V788" s="1">
        <v>2.2570000000000001</v>
      </c>
      <c r="W788" s="1">
        <v>38</v>
      </c>
      <c r="X788" s="1">
        <f t="shared" si="51"/>
        <v>0.81814240996628762</v>
      </c>
      <c r="Y788" s="1">
        <v>5.1999999999999998E-2</v>
      </c>
      <c r="Z788" s="1">
        <v>5</v>
      </c>
      <c r="AD788" s="1">
        <v>418</v>
      </c>
      <c r="AE788" s="1">
        <v>8.0399999999999991</v>
      </c>
      <c r="AG788" s="1">
        <v>8.6999999999999993</v>
      </c>
      <c r="AI788" s="1">
        <v>10.3</v>
      </c>
      <c r="AK788" s="1">
        <v>33</v>
      </c>
      <c r="AL788" s="1">
        <v>1041</v>
      </c>
      <c r="AR788" s="1">
        <v>53.38</v>
      </c>
      <c r="AS788" s="1">
        <v>0.13</v>
      </c>
      <c r="AT788" s="1">
        <v>5.5130999999999997</v>
      </c>
      <c r="AU788" s="1">
        <v>9.68</v>
      </c>
      <c r="AV788" s="1">
        <v>38.640500000000003</v>
      </c>
      <c r="AW788" s="1">
        <v>25.302820000000001</v>
      </c>
      <c r="AX788" s="1">
        <v>65.540199999999999</v>
      </c>
      <c r="AY788" s="1">
        <v>3.73</v>
      </c>
      <c r="BC788" s="1">
        <v>2.1000000000000001E-2</v>
      </c>
      <c r="BE788" s="1">
        <v>0.4</v>
      </c>
      <c r="BF788" s="1">
        <v>2.9</v>
      </c>
      <c r="BJ788" s="1">
        <v>5.9</v>
      </c>
      <c r="BL788" s="1">
        <v>0.27</v>
      </c>
      <c r="BO788" s="1">
        <v>3.4</v>
      </c>
    </row>
    <row r="789" spans="4:67" x14ac:dyDescent="0.3">
      <c r="D789" s="2">
        <f t="shared" si="48"/>
        <v>2007</v>
      </c>
      <c r="E789" s="2">
        <f t="shared" si="49"/>
        <v>6</v>
      </c>
      <c r="F789" s="3"/>
      <c r="G789" s="4">
        <v>39252</v>
      </c>
      <c r="H789" s="1">
        <v>6606238</v>
      </c>
      <c r="I789" s="1">
        <v>661152</v>
      </c>
      <c r="J789" s="5" t="s">
        <v>176</v>
      </c>
      <c r="K789" s="1"/>
      <c r="L789" s="1" t="str">
        <f t="shared" si="50"/>
        <v xml:space="preserve">Oxundaån </v>
      </c>
      <c r="M789" s="1" t="s">
        <v>177</v>
      </c>
      <c r="N789" s="1">
        <v>0.5</v>
      </c>
      <c r="O789" s="1">
        <v>0.5</v>
      </c>
      <c r="Q789" s="1">
        <v>19.5</v>
      </c>
      <c r="T789" s="1">
        <v>48.9</v>
      </c>
      <c r="V789" s="1">
        <v>2.3330000000000002</v>
      </c>
      <c r="W789" s="1">
        <v>106</v>
      </c>
      <c r="X789" s="1">
        <f t="shared" si="51"/>
        <v>2.0808340915477372</v>
      </c>
      <c r="Y789" s="1">
        <v>0.05</v>
      </c>
      <c r="Z789" s="1">
        <v>17</v>
      </c>
      <c r="AD789" s="1">
        <v>17</v>
      </c>
      <c r="AE789" s="1">
        <v>7.72</v>
      </c>
      <c r="AG789" s="1">
        <v>6.2</v>
      </c>
      <c r="AI789" s="1">
        <v>10.3</v>
      </c>
      <c r="AK789" s="1">
        <v>39</v>
      </c>
      <c r="AL789" s="1">
        <v>754</v>
      </c>
      <c r="AR789" s="1">
        <v>54.800000000000004</v>
      </c>
      <c r="AS789" s="1">
        <v>0.11</v>
      </c>
      <c r="AT789" s="1">
        <v>5.8258999999999999</v>
      </c>
      <c r="AU789" s="1">
        <v>9.7042000000000002</v>
      </c>
      <c r="AV789" s="1">
        <v>37.116149999999998</v>
      </c>
      <c r="AW789" s="1">
        <v>25.463400000000004</v>
      </c>
      <c r="AX789" s="1">
        <v>68.327099999999987</v>
      </c>
      <c r="AY789" s="1">
        <v>2.52</v>
      </c>
      <c r="BC789" s="1">
        <v>0.02</v>
      </c>
      <c r="BE789" s="1">
        <v>0.41</v>
      </c>
      <c r="BF789" s="1">
        <v>3.2</v>
      </c>
      <c r="BJ789" s="1">
        <v>6.3</v>
      </c>
      <c r="BL789" s="1">
        <v>0.47</v>
      </c>
      <c r="BO789" s="1">
        <v>3.8</v>
      </c>
    </row>
    <row r="790" spans="4:67" x14ac:dyDescent="0.3">
      <c r="D790" s="2">
        <f t="shared" si="48"/>
        <v>2007</v>
      </c>
      <c r="E790" s="2">
        <f t="shared" si="49"/>
        <v>7</v>
      </c>
      <c r="F790" s="3" t="s">
        <v>179</v>
      </c>
      <c r="G790" s="4">
        <v>39280</v>
      </c>
      <c r="H790" s="1">
        <v>6606238</v>
      </c>
      <c r="I790" s="1">
        <v>661152</v>
      </c>
      <c r="J790" s="5" t="s">
        <v>176</v>
      </c>
      <c r="K790" s="1"/>
      <c r="L790" s="1" t="str">
        <f t="shared" si="50"/>
        <v xml:space="preserve">Oxundaån </v>
      </c>
      <c r="M790" s="1" t="s">
        <v>177</v>
      </c>
      <c r="N790" s="1">
        <v>0.5</v>
      </c>
      <c r="O790" s="1">
        <v>0.5</v>
      </c>
      <c r="Q790" s="1">
        <v>21</v>
      </c>
      <c r="T790" s="1">
        <v>48.7</v>
      </c>
      <c r="V790" s="1">
        <v>2.3679999999999999</v>
      </c>
      <c r="W790" s="1">
        <v>33</v>
      </c>
      <c r="X790" s="1">
        <f t="shared" si="51"/>
        <v>0.94410159384048897</v>
      </c>
      <c r="Y790" s="1">
        <v>3.5999999999999997E-2</v>
      </c>
      <c r="Z790" s="1">
        <v>27</v>
      </c>
      <c r="AD790" s="1">
        <v>1</v>
      </c>
      <c r="AE790" s="1">
        <v>7.84</v>
      </c>
      <c r="AG790" s="1">
        <v>6.5</v>
      </c>
      <c r="AI790" s="1">
        <v>9.1999999999999993</v>
      </c>
      <c r="AK790" s="1">
        <v>51</v>
      </c>
      <c r="AL790" s="1">
        <v>682</v>
      </c>
      <c r="AR790" s="1">
        <v>54.44</v>
      </c>
      <c r="AS790" s="1">
        <v>0.14000000000000001</v>
      </c>
      <c r="AT790" s="1">
        <v>5.8258999999999999</v>
      </c>
      <c r="AU790" s="1">
        <v>10.042999999999999</v>
      </c>
      <c r="AV790" s="1">
        <v>40.873850000000004</v>
      </c>
      <c r="AW790" s="1">
        <v>26.79392</v>
      </c>
      <c r="AX790" s="1">
        <v>63.570149999999991</v>
      </c>
      <c r="AY790" s="1">
        <v>1.63</v>
      </c>
      <c r="BC790" s="1">
        <v>1.7000000000000001E-2</v>
      </c>
      <c r="BE790" s="1">
        <v>0.52</v>
      </c>
      <c r="BF790" s="1">
        <v>3.4</v>
      </c>
      <c r="BJ790" s="1">
        <v>5.8</v>
      </c>
      <c r="BL790" s="1">
        <v>0.7</v>
      </c>
      <c r="BO790" s="1">
        <v>5.6</v>
      </c>
    </row>
    <row r="791" spans="4:67" x14ac:dyDescent="0.3">
      <c r="D791" s="2">
        <f t="shared" si="48"/>
        <v>2007</v>
      </c>
      <c r="E791" s="2">
        <f t="shared" si="49"/>
        <v>8</v>
      </c>
      <c r="F791" s="3" t="s">
        <v>179</v>
      </c>
      <c r="G791" s="4">
        <v>39300</v>
      </c>
      <c r="J791" s="1" t="s">
        <v>186</v>
      </c>
      <c r="K791" s="1">
        <v>1</v>
      </c>
      <c r="L791" s="1" t="str">
        <f t="shared" si="50"/>
        <v>Norrviken 1</v>
      </c>
      <c r="M791" s="1" t="s">
        <v>177</v>
      </c>
      <c r="P791" s="1">
        <v>1</v>
      </c>
      <c r="Q791" s="1">
        <v>23.5</v>
      </c>
      <c r="R791" s="1">
        <v>10.1</v>
      </c>
      <c r="S791" s="1">
        <v>118</v>
      </c>
      <c r="W791" s="1">
        <v>5</v>
      </c>
      <c r="X791" s="1">
        <f t="shared" si="51"/>
        <v>0.4712994989407116</v>
      </c>
      <c r="Y791" s="1">
        <v>0.06</v>
      </c>
      <c r="Z791" s="1">
        <v>5</v>
      </c>
      <c r="AB791" s="1">
        <v>14.3931085714286</v>
      </c>
      <c r="AC791" s="1">
        <v>47.8</v>
      </c>
      <c r="AD791" s="1">
        <v>0.1</v>
      </c>
      <c r="AE791" s="1">
        <v>8.31</v>
      </c>
      <c r="AI791" s="1">
        <v>11</v>
      </c>
      <c r="AK791" s="1">
        <v>64</v>
      </c>
      <c r="AL791" s="1">
        <v>707</v>
      </c>
    </row>
    <row r="792" spans="4:67" x14ac:dyDescent="0.3">
      <c r="D792" s="2">
        <f t="shared" si="48"/>
        <v>2007</v>
      </c>
      <c r="E792" s="2">
        <f t="shared" si="49"/>
        <v>8</v>
      </c>
      <c r="F792" s="3" t="s">
        <v>179</v>
      </c>
      <c r="G792" s="4">
        <v>39300</v>
      </c>
      <c r="J792" s="1" t="s">
        <v>186</v>
      </c>
      <c r="K792" s="1">
        <v>4</v>
      </c>
      <c r="L792" s="1" t="str">
        <f t="shared" si="50"/>
        <v>Norrviken 4</v>
      </c>
      <c r="M792" s="1" t="s">
        <v>177</v>
      </c>
      <c r="P792" s="1">
        <v>1.9</v>
      </c>
      <c r="Q792" s="1">
        <v>24.4</v>
      </c>
      <c r="R792" s="1">
        <v>9.6999999999999993</v>
      </c>
      <c r="S792" s="1">
        <v>115</v>
      </c>
      <c r="W792" s="1">
        <v>5</v>
      </c>
      <c r="X792" s="1">
        <f t="shared" si="51"/>
        <v>0.62532270901778619</v>
      </c>
      <c r="Y792" s="1">
        <v>3.5999999999999997E-2</v>
      </c>
      <c r="Z792" s="1">
        <v>4</v>
      </c>
      <c r="AB792" s="1">
        <v>4.1513142857142897</v>
      </c>
      <c r="AC792" s="1">
        <v>47.8</v>
      </c>
      <c r="AD792" s="1">
        <v>0.1</v>
      </c>
      <c r="AE792" s="1">
        <v>8.42</v>
      </c>
      <c r="AI792" s="1">
        <v>10</v>
      </c>
      <c r="AK792" s="1">
        <v>33</v>
      </c>
      <c r="AL792" s="1">
        <v>737</v>
      </c>
    </row>
    <row r="793" spans="4:67" x14ac:dyDescent="0.3">
      <c r="D793" s="2">
        <f t="shared" si="48"/>
        <v>2007</v>
      </c>
      <c r="E793" s="2">
        <f t="shared" si="49"/>
        <v>8</v>
      </c>
      <c r="F793" s="3" t="s">
        <v>179</v>
      </c>
      <c r="G793" s="4">
        <v>39300</v>
      </c>
      <c r="J793" s="1" t="s">
        <v>186</v>
      </c>
      <c r="K793" s="1">
        <v>2</v>
      </c>
      <c r="L793" s="1" t="str">
        <f t="shared" si="50"/>
        <v>Norrviken 2</v>
      </c>
      <c r="M793" s="1" t="s">
        <v>177</v>
      </c>
      <c r="P793" s="1">
        <v>2.2000000000000002</v>
      </c>
      <c r="Q793" s="1">
        <v>22.6</v>
      </c>
      <c r="R793" s="1">
        <v>10.4</v>
      </c>
      <c r="S793" s="1">
        <v>118</v>
      </c>
      <c r="W793" s="1">
        <v>7</v>
      </c>
      <c r="X793" s="1">
        <f t="shared" si="51"/>
        <v>0.91896077211200555</v>
      </c>
      <c r="Y793" s="1">
        <v>3.5000000000000003E-2</v>
      </c>
      <c r="Z793" s="1">
        <v>3</v>
      </c>
      <c r="AB793" s="1">
        <v>7.9479614285714302</v>
      </c>
      <c r="AC793" s="1">
        <v>47.5</v>
      </c>
      <c r="AD793" s="1">
        <v>0.1</v>
      </c>
      <c r="AE793" s="1">
        <v>8.5</v>
      </c>
      <c r="AI793" s="1">
        <v>9.9</v>
      </c>
      <c r="AK793" s="1">
        <v>41</v>
      </c>
      <c r="AL793" s="1">
        <v>728</v>
      </c>
    </row>
    <row r="794" spans="4:67" x14ac:dyDescent="0.3">
      <c r="D794" s="2">
        <f t="shared" si="48"/>
        <v>2007</v>
      </c>
      <c r="E794" s="2">
        <f t="shared" si="49"/>
        <v>8</v>
      </c>
      <c r="F794" s="3" t="s">
        <v>179</v>
      </c>
      <c r="G794" s="4">
        <v>39300</v>
      </c>
      <c r="J794" s="1" t="s">
        <v>186</v>
      </c>
      <c r="K794" s="1">
        <v>3</v>
      </c>
      <c r="L794" s="1" t="str">
        <f t="shared" si="50"/>
        <v>Norrviken 3</v>
      </c>
      <c r="M794" s="1" t="s">
        <v>177</v>
      </c>
      <c r="P794" s="1">
        <v>2</v>
      </c>
      <c r="Q794" s="1">
        <v>23.6</v>
      </c>
      <c r="R794" s="1">
        <v>10.3</v>
      </c>
      <c r="S794" s="1">
        <v>121</v>
      </c>
      <c r="W794" s="1">
        <v>4</v>
      </c>
      <c r="X794" s="1">
        <f t="shared" si="51"/>
        <v>0.62842968633369545</v>
      </c>
      <c r="Y794" s="1">
        <v>4.1000000000000002E-2</v>
      </c>
      <c r="Z794" s="1">
        <v>4</v>
      </c>
      <c r="AB794" s="1">
        <v>12.6736257142857</v>
      </c>
      <c r="AC794" s="1">
        <v>47.8</v>
      </c>
      <c r="AD794" s="1">
        <v>0.1</v>
      </c>
      <c r="AE794" s="1">
        <v>8.56</v>
      </c>
      <c r="AI794" s="1">
        <v>10</v>
      </c>
      <c r="AK794" s="1">
        <v>65</v>
      </c>
      <c r="AL794" s="1">
        <v>735</v>
      </c>
    </row>
    <row r="795" spans="4:67" x14ac:dyDescent="0.3">
      <c r="D795" s="2">
        <f t="shared" si="48"/>
        <v>2007</v>
      </c>
      <c r="E795" s="2">
        <f t="shared" si="49"/>
        <v>8</v>
      </c>
      <c r="F795" s="3" t="s">
        <v>179</v>
      </c>
      <c r="G795" s="4">
        <v>39300</v>
      </c>
      <c r="J795" s="1" t="s">
        <v>186</v>
      </c>
      <c r="K795" s="1">
        <v>1</v>
      </c>
      <c r="L795" s="1" t="str">
        <f t="shared" si="50"/>
        <v>Norrviken 1</v>
      </c>
      <c r="M795" s="1" t="s">
        <v>184</v>
      </c>
      <c r="Q795" s="1">
        <v>20.5</v>
      </c>
      <c r="R795" s="1">
        <v>8.1999999999999993</v>
      </c>
      <c r="S795" s="1">
        <v>90</v>
      </c>
    </row>
    <row r="796" spans="4:67" x14ac:dyDescent="0.3">
      <c r="D796" s="2">
        <f t="shared" si="48"/>
        <v>2007</v>
      </c>
      <c r="E796" s="2">
        <f t="shared" si="49"/>
        <v>8</v>
      </c>
      <c r="F796" s="3" t="s">
        <v>179</v>
      </c>
      <c r="G796" s="4">
        <v>39300</v>
      </c>
      <c r="J796" s="1" t="s">
        <v>186</v>
      </c>
      <c r="K796" s="1">
        <v>4</v>
      </c>
      <c r="L796" s="1" t="str">
        <f t="shared" si="50"/>
        <v>Norrviken 4</v>
      </c>
      <c r="M796" s="1" t="s">
        <v>184</v>
      </c>
      <c r="Q796" s="1">
        <v>20.2</v>
      </c>
      <c r="R796" s="1">
        <v>8.9</v>
      </c>
      <c r="S796" s="1">
        <v>97</v>
      </c>
    </row>
    <row r="797" spans="4:67" x14ac:dyDescent="0.3">
      <c r="D797" s="2">
        <f t="shared" si="48"/>
        <v>2007</v>
      </c>
      <c r="E797" s="2">
        <f t="shared" si="49"/>
        <v>8</v>
      </c>
      <c r="F797" s="3" t="s">
        <v>179</v>
      </c>
      <c r="G797" s="4">
        <v>39300</v>
      </c>
      <c r="J797" s="1" t="s">
        <v>186</v>
      </c>
      <c r="K797" s="1">
        <v>2</v>
      </c>
      <c r="L797" s="1" t="str">
        <f t="shared" si="50"/>
        <v>Norrviken 2</v>
      </c>
      <c r="M797" s="1" t="s">
        <v>184</v>
      </c>
      <c r="Q797" s="1">
        <v>15</v>
      </c>
      <c r="R797" s="1">
        <v>0</v>
      </c>
      <c r="S797" s="1">
        <v>0</v>
      </c>
      <c r="W797" s="1">
        <v>328</v>
      </c>
      <c r="X797" s="1">
        <f>W797 * (1/((10^((0.0901821 + (2729.92 /(273.15 + Q797)))-AE797)+1)))</f>
        <v>3.6052647281565298</v>
      </c>
      <c r="Y797" s="1">
        <v>4.7E-2</v>
      </c>
      <c r="Z797" s="1">
        <v>146</v>
      </c>
      <c r="AC797" s="1">
        <v>49.3</v>
      </c>
      <c r="AD797" s="1">
        <v>0.1</v>
      </c>
      <c r="AE797" s="1">
        <v>7.61</v>
      </c>
      <c r="AF797" s="1">
        <v>2.5000000000000001E-2</v>
      </c>
      <c r="AI797" s="1">
        <v>10</v>
      </c>
      <c r="AK797" s="1">
        <v>199</v>
      </c>
      <c r="AL797" s="1">
        <v>1165</v>
      </c>
    </row>
    <row r="798" spans="4:67" x14ac:dyDescent="0.3">
      <c r="D798" s="2">
        <f t="shared" si="48"/>
        <v>2007</v>
      </c>
      <c r="E798" s="2">
        <f t="shared" si="49"/>
        <v>8</v>
      </c>
      <c r="F798" s="3" t="s">
        <v>179</v>
      </c>
      <c r="G798" s="4">
        <v>39300</v>
      </c>
      <c r="J798" s="1" t="s">
        <v>186</v>
      </c>
      <c r="K798" s="1">
        <v>3</v>
      </c>
      <c r="L798" s="1" t="str">
        <f t="shared" si="50"/>
        <v>Norrviken 3</v>
      </c>
      <c r="M798" s="1" t="s">
        <v>184</v>
      </c>
      <c r="Q798" s="1">
        <v>11.8</v>
      </c>
      <c r="R798" s="1">
        <v>0</v>
      </c>
      <c r="S798" s="1">
        <v>0</v>
      </c>
      <c r="W798" s="1">
        <v>1816</v>
      </c>
      <c r="X798" s="1">
        <f>W798 * (1/((10^((0.0901821 + (2729.92 /(273.15 + Q798)))-AE798)+1)))</f>
        <v>8.8403000108345537</v>
      </c>
      <c r="Y798" s="1">
        <v>6.4000000000000001E-2</v>
      </c>
      <c r="Z798" s="1">
        <v>729</v>
      </c>
      <c r="AC798" s="1">
        <v>52.1</v>
      </c>
      <c r="AD798" s="1">
        <v>0.1</v>
      </c>
      <c r="AE798" s="1">
        <v>7.36</v>
      </c>
      <c r="AF798" s="1">
        <v>0.93</v>
      </c>
      <c r="AI798" s="1">
        <v>12</v>
      </c>
      <c r="AK798" s="1">
        <v>720</v>
      </c>
      <c r="AL798" s="1">
        <v>2697</v>
      </c>
    </row>
    <row r="799" spans="4:67" x14ac:dyDescent="0.3">
      <c r="D799" s="2">
        <f t="shared" si="48"/>
        <v>2007</v>
      </c>
      <c r="E799" s="2">
        <f t="shared" si="49"/>
        <v>8</v>
      </c>
      <c r="F799" s="3" t="s">
        <v>179</v>
      </c>
      <c r="G799" s="4">
        <v>39300</v>
      </c>
      <c r="J799" s="1" t="s">
        <v>186</v>
      </c>
      <c r="K799" s="1">
        <v>3</v>
      </c>
      <c r="L799" s="1" t="str">
        <f t="shared" si="50"/>
        <v>Norrviken 3</v>
      </c>
      <c r="M799" s="1">
        <v>10</v>
      </c>
      <c r="Q799" s="1">
        <v>12.2</v>
      </c>
      <c r="R799" s="1">
        <v>0.1</v>
      </c>
      <c r="S799" s="1">
        <v>1</v>
      </c>
    </row>
    <row r="800" spans="4:67" x14ac:dyDescent="0.3">
      <c r="D800" s="2">
        <f t="shared" si="48"/>
        <v>2007</v>
      </c>
      <c r="E800" s="2">
        <f t="shared" si="49"/>
        <v>8</v>
      </c>
      <c r="F800" s="3" t="s">
        <v>179</v>
      </c>
      <c r="G800" s="4">
        <v>39300</v>
      </c>
      <c r="J800" s="1" t="s">
        <v>186</v>
      </c>
      <c r="K800" s="1">
        <v>3</v>
      </c>
      <c r="L800" s="1" t="str">
        <f t="shared" si="50"/>
        <v>Norrviken 3</v>
      </c>
      <c r="M800" s="1">
        <v>9</v>
      </c>
      <c r="Q800" s="1">
        <v>13.6</v>
      </c>
      <c r="R800" s="1">
        <v>0.1</v>
      </c>
      <c r="S800" s="1">
        <v>1</v>
      </c>
    </row>
    <row r="801" spans="4:19" x14ac:dyDescent="0.3">
      <c r="D801" s="2">
        <f t="shared" si="48"/>
        <v>2007</v>
      </c>
      <c r="E801" s="2">
        <f t="shared" si="49"/>
        <v>8</v>
      </c>
      <c r="F801" s="3" t="s">
        <v>179</v>
      </c>
      <c r="G801" s="4">
        <v>39300</v>
      </c>
      <c r="J801" s="1" t="s">
        <v>186</v>
      </c>
      <c r="K801" s="1">
        <v>2</v>
      </c>
      <c r="L801" s="1" t="str">
        <f t="shared" si="50"/>
        <v>Norrviken 2</v>
      </c>
      <c r="M801" s="1">
        <v>8</v>
      </c>
      <c r="Q801" s="1">
        <v>16.3</v>
      </c>
      <c r="R801" s="1">
        <v>0.1</v>
      </c>
      <c r="S801" s="1">
        <v>1</v>
      </c>
    </row>
    <row r="802" spans="4:19" x14ac:dyDescent="0.3">
      <c r="D802" s="2">
        <f t="shared" si="48"/>
        <v>2007</v>
      </c>
      <c r="E802" s="2">
        <f t="shared" si="49"/>
        <v>8</v>
      </c>
      <c r="F802" s="3" t="s">
        <v>179</v>
      </c>
      <c r="G802" s="4">
        <v>39300</v>
      </c>
      <c r="J802" s="1" t="s">
        <v>186</v>
      </c>
      <c r="K802" s="1">
        <v>3</v>
      </c>
      <c r="L802" s="1" t="str">
        <f t="shared" si="50"/>
        <v>Norrviken 3</v>
      </c>
      <c r="M802" s="1">
        <v>8</v>
      </c>
      <c r="Q802" s="1">
        <v>16.100000000000001</v>
      </c>
      <c r="R802" s="1">
        <v>0.1</v>
      </c>
      <c r="S802" s="1">
        <v>1</v>
      </c>
    </row>
    <row r="803" spans="4:19" x14ac:dyDescent="0.3">
      <c r="D803" s="2">
        <f t="shared" si="48"/>
        <v>2007</v>
      </c>
      <c r="E803" s="2">
        <f t="shared" si="49"/>
        <v>8</v>
      </c>
      <c r="F803" s="3" t="s">
        <v>179</v>
      </c>
      <c r="G803" s="4">
        <v>39300</v>
      </c>
      <c r="J803" s="1" t="s">
        <v>186</v>
      </c>
      <c r="K803" s="1">
        <v>2</v>
      </c>
      <c r="L803" s="1" t="str">
        <f t="shared" si="50"/>
        <v>Norrviken 2</v>
      </c>
      <c r="M803" s="1">
        <v>7</v>
      </c>
      <c r="Q803" s="1">
        <v>18.5</v>
      </c>
      <c r="R803" s="1">
        <v>3.2</v>
      </c>
      <c r="S803" s="1">
        <v>33</v>
      </c>
    </row>
    <row r="804" spans="4:19" x14ac:dyDescent="0.3">
      <c r="D804" s="2">
        <f t="shared" si="48"/>
        <v>2007</v>
      </c>
      <c r="E804" s="2">
        <f t="shared" si="49"/>
        <v>8</v>
      </c>
      <c r="F804" s="3" t="s">
        <v>179</v>
      </c>
      <c r="G804" s="4">
        <v>39300</v>
      </c>
      <c r="J804" s="1" t="s">
        <v>186</v>
      </c>
      <c r="K804" s="1">
        <v>3</v>
      </c>
      <c r="L804" s="1" t="str">
        <f t="shared" si="50"/>
        <v>Norrviken 3</v>
      </c>
      <c r="M804" s="1">
        <v>7</v>
      </c>
      <c r="Q804" s="1">
        <v>18.3</v>
      </c>
      <c r="R804" s="1">
        <v>2.2000000000000002</v>
      </c>
      <c r="S804" s="1">
        <v>23</v>
      </c>
    </row>
    <row r="805" spans="4:19" x14ac:dyDescent="0.3">
      <c r="D805" s="2">
        <f t="shared" si="48"/>
        <v>2007</v>
      </c>
      <c r="E805" s="2">
        <f t="shared" si="49"/>
        <v>8</v>
      </c>
      <c r="F805" s="3" t="s">
        <v>179</v>
      </c>
      <c r="G805" s="4">
        <v>39300</v>
      </c>
      <c r="J805" s="1" t="s">
        <v>186</v>
      </c>
      <c r="K805" s="1">
        <v>2</v>
      </c>
      <c r="L805" s="1" t="str">
        <f t="shared" si="50"/>
        <v>Norrviken 2</v>
      </c>
      <c r="M805" s="1">
        <v>6</v>
      </c>
      <c r="Q805" s="1">
        <v>18.600000000000001</v>
      </c>
      <c r="R805" s="1">
        <v>4.3</v>
      </c>
      <c r="S805" s="1">
        <v>44</v>
      </c>
    </row>
    <row r="806" spans="4:19" x14ac:dyDescent="0.3">
      <c r="D806" s="2">
        <f t="shared" si="48"/>
        <v>2007</v>
      </c>
      <c r="E806" s="2">
        <f t="shared" si="49"/>
        <v>8</v>
      </c>
      <c r="F806" s="3" t="s">
        <v>179</v>
      </c>
      <c r="G806" s="4">
        <v>39300</v>
      </c>
      <c r="J806" s="1" t="s">
        <v>186</v>
      </c>
      <c r="K806" s="1">
        <v>3</v>
      </c>
      <c r="L806" s="1" t="str">
        <f t="shared" si="50"/>
        <v>Norrviken 3</v>
      </c>
      <c r="M806" s="1">
        <v>6</v>
      </c>
      <c r="Q806" s="1">
        <v>18.7</v>
      </c>
      <c r="R806" s="1">
        <v>5.2</v>
      </c>
      <c r="S806" s="1">
        <v>55</v>
      </c>
    </row>
    <row r="807" spans="4:19" x14ac:dyDescent="0.3">
      <c r="D807" s="2">
        <f t="shared" si="48"/>
        <v>2007</v>
      </c>
      <c r="E807" s="2">
        <f t="shared" si="49"/>
        <v>8</v>
      </c>
      <c r="F807" s="3" t="s">
        <v>179</v>
      </c>
      <c r="G807" s="4">
        <v>39300</v>
      </c>
      <c r="J807" s="1" t="s">
        <v>186</v>
      </c>
      <c r="K807" s="1">
        <v>2</v>
      </c>
      <c r="L807" s="1" t="str">
        <f t="shared" si="50"/>
        <v>Norrviken 2</v>
      </c>
      <c r="M807" s="1">
        <v>5</v>
      </c>
      <c r="Q807" s="1">
        <v>18.899999999999999</v>
      </c>
      <c r="R807" s="1">
        <v>7.1</v>
      </c>
      <c r="S807" s="1">
        <v>76</v>
      </c>
    </row>
    <row r="808" spans="4:19" x14ac:dyDescent="0.3">
      <c r="D808" s="2">
        <f t="shared" si="48"/>
        <v>2007</v>
      </c>
      <c r="E808" s="2">
        <f t="shared" si="49"/>
        <v>8</v>
      </c>
      <c r="F808" s="3" t="s">
        <v>179</v>
      </c>
      <c r="G808" s="4">
        <v>39300</v>
      </c>
      <c r="J808" s="1" t="s">
        <v>186</v>
      </c>
      <c r="K808" s="1">
        <v>3</v>
      </c>
      <c r="L808" s="1" t="str">
        <f t="shared" si="50"/>
        <v>Norrviken 3</v>
      </c>
      <c r="M808" s="1">
        <v>5</v>
      </c>
      <c r="Q808" s="1">
        <v>19</v>
      </c>
      <c r="R808" s="1">
        <v>7.4</v>
      </c>
      <c r="S808" s="1">
        <v>79</v>
      </c>
    </row>
    <row r="809" spans="4:19" x14ac:dyDescent="0.3">
      <c r="D809" s="2">
        <f t="shared" si="48"/>
        <v>2007</v>
      </c>
      <c r="E809" s="2">
        <f t="shared" si="49"/>
        <v>8</v>
      </c>
      <c r="F809" s="3" t="s">
        <v>179</v>
      </c>
      <c r="G809" s="4">
        <v>39300</v>
      </c>
      <c r="J809" s="1" t="s">
        <v>186</v>
      </c>
      <c r="K809" s="1">
        <v>2</v>
      </c>
      <c r="L809" s="1" t="str">
        <f t="shared" si="50"/>
        <v>Norrviken 2</v>
      </c>
      <c r="M809" s="1">
        <v>4</v>
      </c>
      <c r="Q809" s="1">
        <v>19.3</v>
      </c>
      <c r="R809" s="1">
        <v>8.6999999999999993</v>
      </c>
      <c r="S809" s="1">
        <v>94</v>
      </c>
    </row>
    <row r="810" spans="4:19" x14ac:dyDescent="0.3">
      <c r="D810" s="2">
        <f t="shared" si="48"/>
        <v>2007</v>
      </c>
      <c r="E810" s="2">
        <f t="shared" si="49"/>
        <v>8</v>
      </c>
      <c r="F810" s="3" t="s">
        <v>179</v>
      </c>
      <c r="G810" s="4">
        <v>39300</v>
      </c>
      <c r="J810" s="1" t="s">
        <v>186</v>
      </c>
      <c r="K810" s="1">
        <v>3</v>
      </c>
      <c r="L810" s="1" t="str">
        <f t="shared" si="50"/>
        <v>Norrviken 3</v>
      </c>
      <c r="M810" s="1">
        <v>4</v>
      </c>
      <c r="Q810" s="1">
        <v>19.100000000000001</v>
      </c>
      <c r="R810" s="1">
        <v>8.3000000000000007</v>
      </c>
      <c r="S810" s="1">
        <v>89</v>
      </c>
    </row>
    <row r="811" spans="4:19" x14ac:dyDescent="0.3">
      <c r="D811" s="2">
        <f t="shared" si="48"/>
        <v>2007</v>
      </c>
      <c r="E811" s="2">
        <f t="shared" si="49"/>
        <v>8</v>
      </c>
      <c r="F811" s="3" t="s">
        <v>179</v>
      </c>
      <c r="G811" s="4">
        <v>39300</v>
      </c>
      <c r="J811" s="1" t="s">
        <v>186</v>
      </c>
      <c r="K811" s="1">
        <v>2</v>
      </c>
      <c r="L811" s="1" t="str">
        <f t="shared" si="50"/>
        <v>Norrviken 2</v>
      </c>
      <c r="M811" s="1">
        <v>3</v>
      </c>
      <c r="Q811" s="1">
        <v>19.7</v>
      </c>
      <c r="R811" s="1">
        <v>8.6999999999999993</v>
      </c>
      <c r="S811" s="1">
        <v>95</v>
      </c>
    </row>
    <row r="812" spans="4:19" x14ac:dyDescent="0.3">
      <c r="D812" s="2">
        <f t="shared" si="48"/>
        <v>2007</v>
      </c>
      <c r="E812" s="2">
        <f t="shared" si="49"/>
        <v>8</v>
      </c>
      <c r="F812" s="3" t="s">
        <v>179</v>
      </c>
      <c r="G812" s="4">
        <v>39300</v>
      </c>
      <c r="J812" s="1" t="s">
        <v>186</v>
      </c>
      <c r="K812" s="1">
        <v>3</v>
      </c>
      <c r="L812" s="1" t="str">
        <f t="shared" si="50"/>
        <v>Norrviken 3</v>
      </c>
      <c r="M812" s="1">
        <v>3</v>
      </c>
      <c r="Q812" s="1">
        <v>19.899999999999999</v>
      </c>
      <c r="R812" s="1">
        <v>10.5</v>
      </c>
      <c r="S812" s="1">
        <v>114</v>
      </c>
    </row>
    <row r="813" spans="4:19" x14ac:dyDescent="0.3">
      <c r="D813" s="2">
        <f t="shared" si="48"/>
        <v>2007</v>
      </c>
      <c r="E813" s="2">
        <f t="shared" si="49"/>
        <v>8</v>
      </c>
      <c r="F813" s="3" t="s">
        <v>179</v>
      </c>
      <c r="G813" s="4">
        <v>39300</v>
      </c>
      <c r="J813" s="1" t="s">
        <v>186</v>
      </c>
      <c r="K813" s="1">
        <v>2</v>
      </c>
      <c r="L813" s="1" t="str">
        <f t="shared" si="50"/>
        <v>Norrviken 2</v>
      </c>
      <c r="M813" s="1">
        <v>2</v>
      </c>
      <c r="Q813" s="1">
        <v>20.100000000000001</v>
      </c>
      <c r="R813" s="1">
        <v>10.4</v>
      </c>
      <c r="S813" s="1">
        <v>113</v>
      </c>
    </row>
    <row r="814" spans="4:19" x14ac:dyDescent="0.3">
      <c r="D814" s="2">
        <f t="shared" si="48"/>
        <v>2007</v>
      </c>
      <c r="E814" s="2">
        <f t="shared" si="49"/>
        <v>8</v>
      </c>
      <c r="F814" s="3" t="s">
        <v>179</v>
      </c>
      <c r="G814" s="4">
        <v>39300</v>
      </c>
      <c r="J814" s="1" t="s">
        <v>186</v>
      </c>
      <c r="K814" s="1">
        <v>3</v>
      </c>
      <c r="L814" s="1" t="str">
        <f t="shared" si="50"/>
        <v>Norrviken 3</v>
      </c>
      <c r="M814" s="1">
        <v>2</v>
      </c>
      <c r="Q814" s="1">
        <v>20.5</v>
      </c>
      <c r="R814" s="1">
        <v>10.9</v>
      </c>
      <c r="S814" s="1">
        <v>119</v>
      </c>
    </row>
    <row r="815" spans="4:19" x14ac:dyDescent="0.3">
      <c r="D815" s="2">
        <f t="shared" si="48"/>
        <v>2007</v>
      </c>
      <c r="E815" s="2">
        <f t="shared" si="49"/>
        <v>8</v>
      </c>
      <c r="F815" s="3" t="s">
        <v>179</v>
      </c>
      <c r="G815" s="4">
        <v>39300</v>
      </c>
      <c r="J815" s="1" t="s">
        <v>186</v>
      </c>
      <c r="K815" s="1">
        <v>1</v>
      </c>
      <c r="L815" s="1" t="str">
        <f t="shared" si="50"/>
        <v>Norrviken 1</v>
      </c>
      <c r="M815" s="1">
        <v>1</v>
      </c>
      <c r="Q815" s="1">
        <v>21.1</v>
      </c>
      <c r="R815" s="1">
        <v>8.6</v>
      </c>
      <c r="S815" s="1">
        <v>96</v>
      </c>
    </row>
    <row r="816" spans="4:19" x14ac:dyDescent="0.3">
      <c r="D816" s="2">
        <f t="shared" si="48"/>
        <v>2007</v>
      </c>
      <c r="E816" s="2">
        <f t="shared" si="49"/>
        <v>8</v>
      </c>
      <c r="F816" s="3" t="s">
        <v>179</v>
      </c>
      <c r="G816" s="4">
        <v>39300</v>
      </c>
      <c r="J816" s="1" t="s">
        <v>186</v>
      </c>
      <c r="K816" s="1">
        <v>4</v>
      </c>
      <c r="L816" s="1" t="str">
        <f t="shared" si="50"/>
        <v>Norrviken 4</v>
      </c>
      <c r="M816" s="1">
        <v>1</v>
      </c>
      <c r="Q816" s="1">
        <v>21.1</v>
      </c>
      <c r="R816" s="1">
        <v>10.3</v>
      </c>
      <c r="S816" s="1">
        <v>116</v>
      </c>
    </row>
    <row r="817" spans="4:38" x14ac:dyDescent="0.3">
      <c r="D817" s="2">
        <f t="shared" si="48"/>
        <v>2007</v>
      </c>
      <c r="E817" s="2">
        <f t="shared" si="49"/>
        <v>8</v>
      </c>
      <c r="F817" s="3" t="s">
        <v>179</v>
      </c>
      <c r="G817" s="4">
        <v>39300</v>
      </c>
      <c r="J817" s="1" t="s">
        <v>186</v>
      </c>
      <c r="K817" s="1">
        <v>2</v>
      </c>
      <c r="L817" s="1" t="str">
        <f t="shared" si="50"/>
        <v>Norrviken 2</v>
      </c>
      <c r="M817" s="1">
        <v>1</v>
      </c>
      <c r="Q817" s="1">
        <v>21</v>
      </c>
      <c r="R817" s="1">
        <v>10.8</v>
      </c>
      <c r="S817" s="1">
        <v>120</v>
      </c>
    </row>
    <row r="818" spans="4:38" x14ac:dyDescent="0.3">
      <c r="D818" s="2">
        <f t="shared" si="48"/>
        <v>2007</v>
      </c>
      <c r="E818" s="2">
        <f t="shared" si="49"/>
        <v>8</v>
      </c>
      <c r="F818" s="3" t="s">
        <v>179</v>
      </c>
      <c r="G818" s="4">
        <v>39300</v>
      </c>
      <c r="J818" s="1" t="s">
        <v>186</v>
      </c>
      <c r="K818" s="1">
        <v>3</v>
      </c>
      <c r="L818" s="1" t="str">
        <f t="shared" si="50"/>
        <v>Norrviken 3</v>
      </c>
      <c r="M818" s="1">
        <v>1</v>
      </c>
      <c r="Q818" s="1">
        <v>21.3</v>
      </c>
      <c r="R818" s="1">
        <v>11.1</v>
      </c>
      <c r="S818" s="1">
        <v>124</v>
      </c>
    </row>
    <row r="819" spans="4:38" x14ac:dyDescent="0.3">
      <c r="D819" s="2">
        <f t="shared" si="48"/>
        <v>2007</v>
      </c>
      <c r="E819" s="2">
        <f t="shared" si="49"/>
        <v>8</v>
      </c>
      <c r="F819" s="3" t="s">
        <v>179</v>
      </c>
      <c r="G819" s="4">
        <v>39300</v>
      </c>
      <c r="J819" s="1" t="s">
        <v>188</v>
      </c>
      <c r="K819" s="1"/>
      <c r="L819" s="1" t="str">
        <f t="shared" si="50"/>
        <v xml:space="preserve">Ravalen </v>
      </c>
      <c r="M819" s="1" t="s">
        <v>177</v>
      </c>
      <c r="P819" s="1">
        <v>1.5</v>
      </c>
      <c r="Q819" s="1">
        <v>24.4</v>
      </c>
      <c r="R819" s="1">
        <v>15.6</v>
      </c>
      <c r="S819" s="1">
        <v>180</v>
      </c>
      <c r="W819" s="1">
        <v>7</v>
      </c>
      <c r="X819" s="1">
        <f>W819 * (1/((10^((0.0901821 + (2729.92 /(273.15 + Q819)))-AE819)+1)))</f>
        <v>2.8048346422497406</v>
      </c>
      <c r="Y819" s="1">
        <v>0.05</v>
      </c>
      <c r="Z819" s="1">
        <v>0.1</v>
      </c>
      <c r="AB819" s="1">
        <v>12.96852</v>
      </c>
      <c r="AC819" s="1">
        <v>47.8</v>
      </c>
      <c r="AD819" s="1">
        <v>0.1</v>
      </c>
      <c r="AE819" s="1">
        <v>9.09</v>
      </c>
      <c r="AI819" s="1">
        <v>11</v>
      </c>
      <c r="AK819" s="1">
        <v>33</v>
      </c>
      <c r="AL819" s="1">
        <v>866</v>
      </c>
    </row>
    <row r="820" spans="4:38" x14ac:dyDescent="0.3">
      <c r="D820" s="2">
        <f t="shared" si="48"/>
        <v>2007</v>
      </c>
      <c r="E820" s="2">
        <f t="shared" si="49"/>
        <v>8</v>
      </c>
      <c r="F820" s="3" t="s">
        <v>179</v>
      </c>
      <c r="G820" s="4">
        <v>39300</v>
      </c>
      <c r="J820" s="1" t="s">
        <v>188</v>
      </c>
      <c r="K820" s="1"/>
      <c r="L820" s="1" t="str">
        <f t="shared" si="50"/>
        <v xml:space="preserve">Ravalen </v>
      </c>
      <c r="M820" s="1" t="s">
        <v>184</v>
      </c>
      <c r="Q820" s="1">
        <v>23.1</v>
      </c>
      <c r="R820" s="1">
        <v>17.600000000000001</v>
      </c>
      <c r="S820" s="1">
        <v>204</v>
      </c>
      <c r="W820" s="1">
        <v>10</v>
      </c>
      <c r="X820" s="1">
        <f>W820 * (1/((10^((0.0901821 + (2729.92 /(273.15 + Q820)))-AE820)+1)))</f>
        <v>5.430082504180537</v>
      </c>
      <c r="Y820" s="1">
        <v>5.3999999999999999E-2</v>
      </c>
      <c r="Z820" s="1">
        <v>1</v>
      </c>
      <c r="AC820" s="1">
        <v>46.8</v>
      </c>
      <c r="AD820" s="1">
        <v>0.1</v>
      </c>
      <c r="AE820" s="1">
        <v>9.3800000000000008</v>
      </c>
      <c r="AI820" s="1">
        <v>11</v>
      </c>
      <c r="AK820" s="1">
        <v>26</v>
      </c>
      <c r="AL820" s="1">
        <v>895</v>
      </c>
    </row>
    <row r="821" spans="4:38" x14ac:dyDescent="0.3">
      <c r="D821" s="2">
        <f t="shared" si="48"/>
        <v>2007</v>
      </c>
      <c r="E821" s="2">
        <f t="shared" si="49"/>
        <v>8</v>
      </c>
      <c r="F821" s="3" t="s">
        <v>179</v>
      </c>
      <c r="G821" s="4">
        <v>39302</v>
      </c>
      <c r="J821" s="1" t="s">
        <v>182</v>
      </c>
      <c r="K821" s="1"/>
      <c r="L821" s="1" t="str">
        <f t="shared" si="50"/>
        <v xml:space="preserve">Edssjön </v>
      </c>
      <c r="M821" s="1" t="s">
        <v>177</v>
      </c>
      <c r="P821" s="1">
        <v>1.6</v>
      </c>
      <c r="Q821" s="1">
        <v>22.5</v>
      </c>
      <c r="R821" s="1">
        <v>10.5</v>
      </c>
      <c r="S821" s="1">
        <v>120</v>
      </c>
      <c r="W821" s="1">
        <v>4</v>
      </c>
      <c r="X821" s="1">
        <f>W821 * (1/((10^((0.0901821 + (2729.92 /(273.15 + Q821)))-AE821)+1)))</f>
        <v>0.3387122666334052</v>
      </c>
      <c r="Y821" s="1">
        <v>4.1000000000000002E-2</v>
      </c>
      <c r="Z821" s="1">
        <v>34</v>
      </c>
      <c r="AB821" s="1">
        <v>10.915464</v>
      </c>
      <c r="AC821" s="1">
        <v>51.1</v>
      </c>
      <c r="AD821" s="1">
        <v>0.1</v>
      </c>
      <c r="AE821" s="1">
        <v>8.2899999999999991</v>
      </c>
      <c r="AI821" s="1">
        <v>11</v>
      </c>
      <c r="AK821" s="1">
        <v>117</v>
      </c>
      <c r="AL821" s="1">
        <v>689</v>
      </c>
    </row>
    <row r="822" spans="4:38" x14ac:dyDescent="0.3">
      <c r="D822" s="2">
        <f t="shared" si="48"/>
        <v>2007</v>
      </c>
      <c r="E822" s="2">
        <f t="shared" si="49"/>
        <v>8</v>
      </c>
      <c r="F822" s="3" t="s">
        <v>179</v>
      </c>
      <c r="G822" s="4">
        <v>39302</v>
      </c>
      <c r="J822" s="1" t="s">
        <v>182</v>
      </c>
      <c r="K822" s="1"/>
      <c r="L822" s="1" t="str">
        <f t="shared" si="50"/>
        <v xml:space="preserve">Edssjön </v>
      </c>
      <c r="M822" s="1" t="s">
        <v>184</v>
      </c>
      <c r="Q822" s="1">
        <v>18.3</v>
      </c>
      <c r="R822" s="1">
        <v>0.1</v>
      </c>
      <c r="S822" s="1">
        <v>1</v>
      </c>
      <c r="W822" s="1">
        <v>9</v>
      </c>
      <c r="X822" s="1">
        <f>W822 * (1/((10^((0.0901821 + (2729.92 /(273.15 + Q822)))-AE822)+1)))</f>
        <v>7.8267823978673337E-2</v>
      </c>
      <c r="Y822" s="1">
        <v>4.2999999999999997E-2</v>
      </c>
      <c r="Z822" s="1">
        <v>69</v>
      </c>
      <c r="AC822" s="1">
        <v>51.6</v>
      </c>
      <c r="AD822" s="1">
        <v>0.1</v>
      </c>
      <c r="AE822" s="1">
        <v>7.4</v>
      </c>
      <c r="AF822" s="1">
        <v>2.5000000000000001E-2</v>
      </c>
      <c r="AI822" s="1">
        <v>11</v>
      </c>
      <c r="AK822" s="1">
        <v>167</v>
      </c>
      <c r="AL822" s="1">
        <v>802</v>
      </c>
    </row>
    <row r="823" spans="4:38" x14ac:dyDescent="0.3">
      <c r="D823" s="2">
        <f t="shared" si="48"/>
        <v>2007</v>
      </c>
      <c r="E823" s="2">
        <f t="shared" si="49"/>
        <v>8</v>
      </c>
      <c r="F823" s="3" t="s">
        <v>179</v>
      </c>
      <c r="G823" s="4">
        <v>39302</v>
      </c>
      <c r="J823" s="1" t="s">
        <v>182</v>
      </c>
      <c r="K823" s="1"/>
      <c r="L823" s="1" t="str">
        <f t="shared" si="50"/>
        <v xml:space="preserve">Edssjön </v>
      </c>
      <c r="M823" s="1" t="s">
        <v>195</v>
      </c>
      <c r="Q823" s="1">
        <v>19.3</v>
      </c>
      <c r="R823" s="1">
        <v>1.1000000000000001</v>
      </c>
      <c r="S823" s="1">
        <v>12</v>
      </c>
    </row>
    <row r="824" spans="4:38" x14ac:dyDescent="0.3">
      <c r="D824" s="2">
        <f t="shared" si="48"/>
        <v>2007</v>
      </c>
      <c r="E824" s="2">
        <f t="shared" si="49"/>
        <v>8</v>
      </c>
      <c r="F824" s="3" t="s">
        <v>179</v>
      </c>
      <c r="G824" s="4">
        <v>39302</v>
      </c>
      <c r="J824" s="1" t="s">
        <v>182</v>
      </c>
      <c r="K824" s="1"/>
      <c r="L824" s="1" t="str">
        <f t="shared" si="50"/>
        <v xml:space="preserve">Edssjön </v>
      </c>
      <c r="M824" s="1" t="s">
        <v>196</v>
      </c>
      <c r="Q824" s="1">
        <v>20</v>
      </c>
      <c r="R824" s="1">
        <v>6.2</v>
      </c>
      <c r="S824" s="1">
        <v>68</v>
      </c>
    </row>
    <row r="825" spans="4:38" x14ac:dyDescent="0.3">
      <c r="D825" s="2">
        <f t="shared" si="48"/>
        <v>2007</v>
      </c>
      <c r="E825" s="2">
        <f t="shared" si="49"/>
        <v>8</v>
      </c>
      <c r="F825" s="3" t="s">
        <v>179</v>
      </c>
      <c r="G825" s="4">
        <v>39302</v>
      </c>
      <c r="J825" s="1" t="s">
        <v>182</v>
      </c>
      <c r="K825" s="1"/>
      <c r="L825" s="1" t="str">
        <f t="shared" si="50"/>
        <v xml:space="preserve">Edssjön </v>
      </c>
      <c r="M825" s="1" t="s">
        <v>197</v>
      </c>
      <c r="Q825" s="1">
        <v>22.4</v>
      </c>
      <c r="R825" s="1">
        <v>10.4</v>
      </c>
      <c r="S825" s="1">
        <v>120</v>
      </c>
    </row>
    <row r="826" spans="4:38" x14ac:dyDescent="0.3">
      <c r="D826" s="2">
        <f t="shared" si="48"/>
        <v>2007</v>
      </c>
      <c r="E826" s="2">
        <f t="shared" si="49"/>
        <v>8</v>
      </c>
      <c r="F826" s="3" t="s">
        <v>179</v>
      </c>
      <c r="G826" s="4">
        <v>39302</v>
      </c>
      <c r="J826" s="1" t="s">
        <v>182</v>
      </c>
      <c r="K826" s="1"/>
      <c r="L826" s="1" t="str">
        <f t="shared" si="50"/>
        <v xml:space="preserve">Edssjön </v>
      </c>
      <c r="M826" s="1" t="s">
        <v>194</v>
      </c>
      <c r="Q826" s="1">
        <v>22.5</v>
      </c>
      <c r="R826" s="1">
        <v>10.4</v>
      </c>
      <c r="S826" s="1">
        <v>120</v>
      </c>
    </row>
    <row r="827" spans="4:38" x14ac:dyDescent="0.3">
      <c r="D827" s="2">
        <f t="shared" si="48"/>
        <v>2007</v>
      </c>
      <c r="E827" s="2">
        <f t="shared" si="49"/>
        <v>8</v>
      </c>
      <c r="F827" s="3" t="s">
        <v>179</v>
      </c>
      <c r="G827" s="4">
        <v>39302</v>
      </c>
      <c r="J827" s="1" t="s">
        <v>183</v>
      </c>
      <c r="K827" s="1"/>
      <c r="L827" s="1" t="str">
        <f t="shared" si="50"/>
        <v xml:space="preserve">Fjäturen </v>
      </c>
      <c r="M827" s="1" t="s">
        <v>177</v>
      </c>
      <c r="P827" s="1">
        <v>3.1</v>
      </c>
      <c r="Q827" s="1">
        <v>22</v>
      </c>
      <c r="R827" s="1">
        <v>9</v>
      </c>
      <c r="S827" s="1">
        <v>102</v>
      </c>
      <c r="W827" s="1">
        <v>13</v>
      </c>
      <c r="X827" s="1">
        <f>W827 * (1/((10^((0.0901821 + (2729.92 /(273.15 + Q827)))-AE827)+1)))</f>
        <v>0.62120260503232994</v>
      </c>
      <c r="Y827" s="1">
        <v>0.108</v>
      </c>
      <c r="Z827" s="1">
        <v>1</v>
      </c>
      <c r="AB827" s="1">
        <v>3.313752</v>
      </c>
      <c r="AC827" s="1">
        <v>34.6</v>
      </c>
      <c r="AD827" s="1">
        <v>0.1</v>
      </c>
      <c r="AE827" s="1">
        <v>8.0399999999999991</v>
      </c>
      <c r="AI827" s="1">
        <v>11</v>
      </c>
      <c r="AK827" s="1">
        <v>16</v>
      </c>
      <c r="AL827" s="1">
        <v>559</v>
      </c>
    </row>
    <row r="828" spans="4:38" x14ac:dyDescent="0.3">
      <c r="D828" s="2">
        <f t="shared" si="48"/>
        <v>2007</v>
      </c>
      <c r="E828" s="2">
        <f t="shared" si="49"/>
        <v>8</v>
      </c>
      <c r="F828" s="3" t="s">
        <v>179</v>
      </c>
      <c r="G828" s="4">
        <v>39302</v>
      </c>
      <c r="J828" s="1" t="s">
        <v>183</v>
      </c>
      <c r="K828" s="1"/>
      <c r="L828" s="1" t="str">
        <f t="shared" si="50"/>
        <v xml:space="preserve">Fjäturen </v>
      </c>
      <c r="M828" s="1" t="s">
        <v>184</v>
      </c>
      <c r="Q828" s="1">
        <v>11.6</v>
      </c>
      <c r="R828" s="1">
        <v>0.1</v>
      </c>
      <c r="S828" s="1">
        <v>1</v>
      </c>
      <c r="W828" s="1">
        <v>1497</v>
      </c>
      <c r="X828" s="1">
        <f>W828 * (1/((10^((0.0901821 + (2729.92 /(273.15 + Q828)))-AE828)+1)))</f>
        <v>9.4452720178287208</v>
      </c>
      <c r="Y828" s="1">
        <v>0.114</v>
      </c>
      <c r="Z828" s="1">
        <v>543</v>
      </c>
      <c r="AC828" s="1">
        <v>38.700000000000003</v>
      </c>
      <c r="AD828" s="1">
        <v>0.1</v>
      </c>
      <c r="AE828" s="1">
        <v>7.48</v>
      </c>
      <c r="AF828" s="1">
        <v>2.5000000000000001E-2</v>
      </c>
      <c r="AI828" s="1">
        <v>14</v>
      </c>
      <c r="AK828" s="1">
        <v>588</v>
      </c>
      <c r="AL828" s="1">
        <v>1866</v>
      </c>
    </row>
    <row r="829" spans="4:38" x14ac:dyDescent="0.3">
      <c r="D829" s="2">
        <f t="shared" si="48"/>
        <v>2007</v>
      </c>
      <c r="E829" s="2">
        <f t="shared" si="49"/>
        <v>8</v>
      </c>
      <c r="F829" s="3" t="s">
        <v>179</v>
      </c>
      <c r="G829" s="4">
        <v>39302</v>
      </c>
      <c r="J829" s="1" t="s">
        <v>183</v>
      </c>
      <c r="K829" s="1"/>
      <c r="L829" s="1" t="str">
        <f t="shared" si="50"/>
        <v xml:space="preserve">Fjäturen </v>
      </c>
      <c r="M829" s="1" t="s">
        <v>198</v>
      </c>
      <c r="Q829" s="1">
        <v>12.5</v>
      </c>
      <c r="R829" s="1">
        <v>0.1</v>
      </c>
      <c r="S829" s="1">
        <v>1</v>
      </c>
    </row>
    <row r="830" spans="4:38" x14ac:dyDescent="0.3">
      <c r="D830" s="2">
        <f t="shared" si="48"/>
        <v>2007</v>
      </c>
      <c r="E830" s="2">
        <f t="shared" si="49"/>
        <v>8</v>
      </c>
      <c r="F830" s="3" t="s">
        <v>179</v>
      </c>
      <c r="G830" s="4">
        <v>39302</v>
      </c>
      <c r="J830" s="1" t="s">
        <v>183</v>
      </c>
      <c r="K830" s="1"/>
      <c r="L830" s="1" t="str">
        <f t="shared" si="50"/>
        <v xml:space="preserve">Fjäturen </v>
      </c>
      <c r="M830" s="1" t="s">
        <v>199</v>
      </c>
      <c r="Q830" s="1">
        <v>13.6</v>
      </c>
      <c r="R830" s="1">
        <v>0.1</v>
      </c>
      <c r="S830" s="1">
        <v>1</v>
      </c>
    </row>
    <row r="831" spans="4:38" x14ac:dyDescent="0.3">
      <c r="D831" s="2">
        <f t="shared" si="48"/>
        <v>2007</v>
      </c>
      <c r="E831" s="2">
        <f t="shared" si="49"/>
        <v>8</v>
      </c>
      <c r="F831" s="3" t="s">
        <v>179</v>
      </c>
      <c r="G831" s="4">
        <v>39302</v>
      </c>
      <c r="J831" s="1" t="s">
        <v>183</v>
      </c>
      <c r="K831" s="1"/>
      <c r="L831" s="1" t="str">
        <f t="shared" si="50"/>
        <v xml:space="preserve">Fjäturen </v>
      </c>
      <c r="M831" s="1" t="s">
        <v>200</v>
      </c>
      <c r="Q831" s="1">
        <v>17.899999999999999</v>
      </c>
      <c r="R831" s="1">
        <v>0.2</v>
      </c>
      <c r="S831" s="1">
        <v>2</v>
      </c>
    </row>
    <row r="832" spans="4:38" x14ac:dyDescent="0.3">
      <c r="D832" s="2">
        <f t="shared" si="48"/>
        <v>2007</v>
      </c>
      <c r="E832" s="2">
        <f t="shared" si="49"/>
        <v>8</v>
      </c>
      <c r="F832" s="3" t="s">
        <v>179</v>
      </c>
      <c r="G832" s="4">
        <v>39302</v>
      </c>
      <c r="J832" s="1" t="s">
        <v>183</v>
      </c>
      <c r="K832" s="1"/>
      <c r="L832" s="1" t="str">
        <f t="shared" si="50"/>
        <v xml:space="preserve">Fjäturen </v>
      </c>
      <c r="M832" s="1" t="s">
        <v>195</v>
      </c>
      <c r="Q832" s="1">
        <v>19.7</v>
      </c>
      <c r="R832" s="1">
        <v>7</v>
      </c>
      <c r="S832" s="1">
        <v>70</v>
      </c>
    </row>
    <row r="833" spans="4:38" x14ac:dyDescent="0.3">
      <c r="D833" s="2">
        <f t="shared" si="48"/>
        <v>2007</v>
      </c>
      <c r="E833" s="2">
        <f t="shared" si="49"/>
        <v>8</v>
      </c>
      <c r="F833" s="3" t="s">
        <v>179</v>
      </c>
      <c r="G833" s="4">
        <v>39302</v>
      </c>
      <c r="J833" s="1" t="s">
        <v>183</v>
      </c>
      <c r="K833" s="1"/>
      <c r="L833" s="1" t="str">
        <f t="shared" si="50"/>
        <v xml:space="preserve">Fjäturen </v>
      </c>
      <c r="M833" s="1" t="s">
        <v>196</v>
      </c>
      <c r="Q833" s="1">
        <v>20.5</v>
      </c>
      <c r="R833" s="1">
        <v>8.6999999999999993</v>
      </c>
      <c r="S833" s="1">
        <v>96</v>
      </c>
    </row>
    <row r="834" spans="4:38" x14ac:dyDescent="0.3">
      <c r="D834" s="2">
        <f t="shared" ref="D834:D897" si="52">YEAR(G834)</f>
        <v>2007</v>
      </c>
      <c r="E834" s="2">
        <f t="shared" ref="E834:E897" si="53">MONTH(G834)</f>
        <v>8</v>
      </c>
      <c r="F834" s="3" t="s">
        <v>179</v>
      </c>
      <c r="G834" s="4">
        <v>39302</v>
      </c>
      <c r="J834" s="1" t="s">
        <v>183</v>
      </c>
      <c r="K834" s="1"/>
      <c r="L834" s="1" t="str">
        <f t="shared" ref="L834:L897" si="54">CONCATENATE(J834," ",K834)</f>
        <v xml:space="preserve">Fjäturen </v>
      </c>
      <c r="M834" s="1" t="s">
        <v>197</v>
      </c>
      <c r="Q834" s="1">
        <v>21.9</v>
      </c>
      <c r="R834" s="1">
        <v>8.6999999999999993</v>
      </c>
      <c r="S834" s="1">
        <v>99</v>
      </c>
    </row>
    <row r="835" spans="4:38" x14ac:dyDescent="0.3">
      <c r="D835" s="2">
        <f t="shared" si="52"/>
        <v>2007</v>
      </c>
      <c r="E835" s="2">
        <f t="shared" si="53"/>
        <v>8</v>
      </c>
      <c r="F835" s="3" t="s">
        <v>179</v>
      </c>
      <c r="G835" s="4">
        <v>39302</v>
      </c>
      <c r="J835" s="1" t="s">
        <v>183</v>
      </c>
      <c r="K835" s="1"/>
      <c r="L835" s="1" t="str">
        <f t="shared" si="54"/>
        <v xml:space="preserve">Fjäturen </v>
      </c>
      <c r="M835" s="1" t="s">
        <v>194</v>
      </c>
      <c r="Q835" s="1">
        <v>22</v>
      </c>
      <c r="R835" s="1">
        <v>9</v>
      </c>
      <c r="S835" s="1">
        <v>102</v>
      </c>
    </row>
    <row r="836" spans="4:38" x14ac:dyDescent="0.3">
      <c r="D836" s="2">
        <f t="shared" si="52"/>
        <v>2007</v>
      </c>
      <c r="E836" s="2">
        <f t="shared" si="53"/>
        <v>8</v>
      </c>
      <c r="F836" s="3" t="s">
        <v>179</v>
      </c>
      <c r="G836" s="4">
        <v>39302</v>
      </c>
      <c r="J836" s="1" t="s">
        <v>185</v>
      </c>
      <c r="K836" s="1"/>
      <c r="L836" s="1" t="str">
        <f t="shared" si="54"/>
        <v xml:space="preserve">Gullsjön </v>
      </c>
      <c r="M836" s="1" t="s">
        <v>177</v>
      </c>
      <c r="P836" s="1">
        <v>1.5</v>
      </c>
      <c r="Q836" s="1">
        <v>20</v>
      </c>
      <c r="R836" s="1">
        <v>5.5</v>
      </c>
      <c r="S836" s="1">
        <v>60</v>
      </c>
      <c r="W836" s="1">
        <v>5</v>
      </c>
      <c r="X836" s="1">
        <f>W836 * (1/((10^((0.0901821 + (2729.92 /(273.15 + Q836)))-AE836)+1)))</f>
        <v>5.1513916555626725E-2</v>
      </c>
      <c r="Y836" s="1">
        <v>0.14699999999999999</v>
      </c>
      <c r="Z836" s="1">
        <v>3</v>
      </c>
      <c r="AB836" s="1">
        <v>4.2846071428571397</v>
      </c>
      <c r="AC836" s="1">
        <v>45.1</v>
      </c>
      <c r="AD836" s="1">
        <v>0.1</v>
      </c>
      <c r="AE836" s="1">
        <v>7.42</v>
      </c>
      <c r="AI836" s="1">
        <v>16</v>
      </c>
      <c r="AK836" s="1">
        <v>17</v>
      </c>
      <c r="AL836" s="1">
        <v>616</v>
      </c>
    </row>
    <row r="837" spans="4:38" x14ac:dyDescent="0.3">
      <c r="D837" s="2">
        <f t="shared" si="52"/>
        <v>2007</v>
      </c>
      <c r="E837" s="2">
        <f t="shared" si="53"/>
        <v>8</v>
      </c>
      <c r="F837" s="3" t="s">
        <v>179</v>
      </c>
      <c r="G837" s="4">
        <v>39302</v>
      </c>
      <c r="J837" s="1" t="s">
        <v>185</v>
      </c>
      <c r="K837" s="1"/>
      <c r="L837" s="1" t="str">
        <f t="shared" si="54"/>
        <v xml:space="preserve">Gullsjön </v>
      </c>
      <c r="M837" s="1" t="s">
        <v>184</v>
      </c>
      <c r="Q837" s="1">
        <v>17.399999999999999</v>
      </c>
      <c r="R837" s="1">
        <v>0.1</v>
      </c>
      <c r="S837" s="1">
        <v>1</v>
      </c>
      <c r="W837" s="1">
        <v>7</v>
      </c>
      <c r="X837" s="1">
        <f>W837 * (1/((10^((0.0901821 + (2729.92 /(273.15 + Q837)))-AE837)+1)))</f>
        <v>2.1770346604758808E-2</v>
      </c>
      <c r="Y837" s="1">
        <v>0.156</v>
      </c>
      <c r="Z837" s="1">
        <v>1</v>
      </c>
      <c r="AC837" s="1">
        <v>43.8</v>
      </c>
      <c r="AD837" s="1">
        <v>0.1</v>
      </c>
      <c r="AE837" s="1">
        <v>6.98</v>
      </c>
      <c r="AF837" s="1">
        <v>2.5000000000000001E-2</v>
      </c>
      <c r="AI837" s="1">
        <v>16</v>
      </c>
      <c r="AK837" s="1">
        <v>18</v>
      </c>
      <c r="AL837" s="1">
        <v>659</v>
      </c>
    </row>
    <row r="838" spans="4:38" x14ac:dyDescent="0.3">
      <c r="D838" s="2">
        <f t="shared" si="52"/>
        <v>2007</v>
      </c>
      <c r="E838" s="2">
        <f t="shared" si="53"/>
        <v>8</v>
      </c>
      <c r="F838" s="3" t="s">
        <v>179</v>
      </c>
      <c r="G838" s="4">
        <v>39302</v>
      </c>
      <c r="J838" s="1" t="s">
        <v>185</v>
      </c>
      <c r="K838" s="1"/>
      <c r="L838" s="1" t="str">
        <f t="shared" si="54"/>
        <v xml:space="preserve">Gullsjön </v>
      </c>
      <c r="M838" s="1" t="s">
        <v>194</v>
      </c>
      <c r="Q838" s="1">
        <v>19.3</v>
      </c>
      <c r="R838" s="1">
        <v>1.8</v>
      </c>
      <c r="S838" s="1">
        <v>20</v>
      </c>
    </row>
    <row r="839" spans="4:38" x14ac:dyDescent="0.3">
      <c r="D839" s="2">
        <f t="shared" si="52"/>
        <v>2007</v>
      </c>
      <c r="E839" s="2">
        <f t="shared" si="53"/>
        <v>8</v>
      </c>
      <c r="F839" s="3" t="s">
        <v>179</v>
      </c>
      <c r="G839" s="4">
        <v>39302</v>
      </c>
      <c r="J839" s="1" t="s">
        <v>201</v>
      </c>
      <c r="K839" s="1"/>
      <c r="L839" s="1" t="str">
        <f t="shared" si="54"/>
        <v xml:space="preserve">Mörtsjön </v>
      </c>
      <c r="M839" s="1" t="s">
        <v>177</v>
      </c>
      <c r="P839" s="1">
        <v>1.8</v>
      </c>
      <c r="Q839" s="1">
        <v>22</v>
      </c>
      <c r="R839" s="1">
        <v>9.5</v>
      </c>
      <c r="S839" s="1">
        <v>108</v>
      </c>
      <c r="W839" s="1">
        <v>6</v>
      </c>
      <c r="X839" s="1">
        <f>W839 * (1/((10^((0.0901821 + (2729.92 /(273.15 + Q839)))-AE839)+1)))</f>
        <v>0.21047370411872529</v>
      </c>
      <c r="Y839" s="1">
        <v>0.153</v>
      </c>
      <c r="Z839" s="1">
        <v>0.1</v>
      </c>
      <c r="AB839" s="1">
        <v>11.3327114285714</v>
      </c>
      <c r="AC839" s="1">
        <v>34.299999999999997</v>
      </c>
      <c r="AD839" s="1">
        <v>0.1</v>
      </c>
      <c r="AE839" s="1">
        <v>7.9</v>
      </c>
      <c r="AI839" s="1">
        <v>15</v>
      </c>
      <c r="AK839" s="1">
        <v>28</v>
      </c>
      <c r="AL839" s="1">
        <v>685</v>
      </c>
    </row>
    <row r="840" spans="4:38" x14ac:dyDescent="0.3">
      <c r="D840" s="2">
        <f t="shared" si="52"/>
        <v>2007</v>
      </c>
      <c r="E840" s="2">
        <f t="shared" si="53"/>
        <v>8</v>
      </c>
      <c r="F840" s="3" t="s">
        <v>179</v>
      </c>
      <c r="G840" s="4">
        <v>39302</v>
      </c>
      <c r="J840" s="1" t="s">
        <v>201</v>
      </c>
      <c r="K840" s="1"/>
      <c r="L840" s="1" t="str">
        <f t="shared" si="54"/>
        <v xml:space="preserve">Mörtsjön </v>
      </c>
      <c r="M840" s="1" t="s">
        <v>184</v>
      </c>
      <c r="Q840" s="1">
        <v>13.9</v>
      </c>
      <c r="R840" s="1">
        <v>0.1</v>
      </c>
      <c r="S840" s="1">
        <v>1</v>
      </c>
      <c r="W840" s="1">
        <v>18</v>
      </c>
      <c r="X840" s="1">
        <f>W840 * (1/((10^((0.0901821 + (2729.92 /(273.15 + Q840)))-AE840)+1)))</f>
        <v>5.5397759375304147E-2</v>
      </c>
      <c r="Y840" s="1">
        <v>0.17299999999999999</v>
      </c>
      <c r="Z840" s="1">
        <v>7</v>
      </c>
      <c r="AC840" s="1">
        <v>36.1</v>
      </c>
      <c r="AD840" s="1">
        <v>0.1</v>
      </c>
      <c r="AE840" s="1">
        <v>7.09</v>
      </c>
      <c r="AF840" s="1">
        <v>2.5000000000000001E-2</v>
      </c>
      <c r="AI840" s="1">
        <v>18</v>
      </c>
      <c r="AK840" s="1">
        <v>79</v>
      </c>
      <c r="AL840" s="1">
        <v>958</v>
      </c>
    </row>
    <row r="841" spans="4:38" x14ac:dyDescent="0.3">
      <c r="D841" s="2">
        <f t="shared" si="52"/>
        <v>2007</v>
      </c>
      <c r="E841" s="2">
        <f t="shared" si="53"/>
        <v>8</v>
      </c>
      <c r="F841" s="3" t="s">
        <v>179</v>
      </c>
      <c r="G841" s="4">
        <v>39302</v>
      </c>
      <c r="J841" s="1" t="s">
        <v>201</v>
      </c>
      <c r="K841" s="1"/>
      <c r="L841" s="1" t="str">
        <f t="shared" si="54"/>
        <v xml:space="preserve">Mörtsjön </v>
      </c>
      <c r="M841" s="1" t="s">
        <v>196</v>
      </c>
      <c r="Q841" s="1">
        <v>18</v>
      </c>
      <c r="R841" s="1">
        <v>0.2</v>
      </c>
      <c r="S841" s="1">
        <v>2</v>
      </c>
    </row>
    <row r="842" spans="4:38" x14ac:dyDescent="0.3">
      <c r="D842" s="2">
        <f t="shared" si="52"/>
        <v>2007</v>
      </c>
      <c r="E842" s="2">
        <f t="shared" si="53"/>
        <v>8</v>
      </c>
      <c r="F842" s="3" t="s">
        <v>179</v>
      </c>
      <c r="G842" s="4">
        <v>39302</v>
      </c>
      <c r="J842" s="1" t="s">
        <v>201</v>
      </c>
      <c r="K842" s="1"/>
      <c r="L842" s="1" t="str">
        <f t="shared" si="54"/>
        <v xml:space="preserve">Mörtsjön </v>
      </c>
      <c r="M842" s="1" t="s">
        <v>197</v>
      </c>
      <c r="Q842" s="1">
        <v>20.100000000000001</v>
      </c>
      <c r="R842" s="1">
        <v>8.1</v>
      </c>
      <c r="S842" s="1">
        <v>89</v>
      </c>
    </row>
    <row r="843" spans="4:38" x14ac:dyDescent="0.3">
      <c r="D843" s="2">
        <f t="shared" si="52"/>
        <v>2007</v>
      </c>
      <c r="E843" s="2">
        <f t="shared" si="53"/>
        <v>8</v>
      </c>
      <c r="F843" s="3" t="s">
        <v>179</v>
      </c>
      <c r="G843" s="4">
        <v>39302</v>
      </c>
      <c r="J843" s="1" t="s">
        <v>201</v>
      </c>
      <c r="K843" s="1"/>
      <c r="L843" s="1" t="str">
        <f t="shared" si="54"/>
        <v xml:space="preserve">Mörtsjön </v>
      </c>
      <c r="M843" s="1" t="s">
        <v>194</v>
      </c>
      <c r="Q843" s="1">
        <v>21.6</v>
      </c>
      <c r="R843" s="1">
        <v>9.1999999999999993</v>
      </c>
      <c r="S843" s="1">
        <v>103</v>
      </c>
    </row>
    <row r="844" spans="4:38" x14ac:dyDescent="0.3">
      <c r="D844" s="2">
        <f t="shared" si="52"/>
        <v>2007</v>
      </c>
      <c r="E844" s="2">
        <f t="shared" si="53"/>
        <v>8</v>
      </c>
      <c r="F844" s="3" t="s">
        <v>179</v>
      </c>
      <c r="G844" s="4">
        <v>39302</v>
      </c>
      <c r="J844" s="1" t="s">
        <v>187</v>
      </c>
      <c r="K844" s="1"/>
      <c r="L844" s="1" t="str">
        <f t="shared" si="54"/>
        <v xml:space="preserve">Oxundasjön </v>
      </c>
      <c r="M844" s="1" t="s">
        <v>177</v>
      </c>
      <c r="P844" s="1">
        <v>1.6</v>
      </c>
      <c r="Q844" s="1">
        <v>22.7</v>
      </c>
      <c r="R844" s="1">
        <v>10.8</v>
      </c>
      <c r="S844" s="1">
        <v>125</v>
      </c>
      <c r="W844" s="1">
        <v>4</v>
      </c>
      <c r="X844" s="1">
        <f>W844 * (1/((10^((0.0901821 + (2729.92 /(273.15 + Q844)))-AE844)+1)))</f>
        <v>0.30225668915358067</v>
      </c>
      <c r="Y844" s="1">
        <v>4.5999999999999999E-2</v>
      </c>
      <c r="Z844" s="1">
        <v>65</v>
      </c>
      <c r="AB844" s="1">
        <v>13.9137514285714</v>
      </c>
      <c r="AC844" s="1">
        <v>48.8</v>
      </c>
      <c r="AD844" s="1">
        <v>0.1</v>
      </c>
      <c r="AE844" s="1">
        <v>8.23</v>
      </c>
      <c r="AI844" s="1">
        <v>10</v>
      </c>
      <c r="AK844" s="1">
        <v>83</v>
      </c>
      <c r="AL844" s="1">
        <v>781</v>
      </c>
    </row>
    <row r="845" spans="4:38" x14ac:dyDescent="0.3">
      <c r="D845" s="2">
        <f t="shared" si="52"/>
        <v>2007</v>
      </c>
      <c r="E845" s="2">
        <f t="shared" si="53"/>
        <v>8</v>
      </c>
      <c r="F845" s="3" t="s">
        <v>179</v>
      </c>
      <c r="G845" s="4">
        <v>39302</v>
      </c>
      <c r="J845" s="1" t="s">
        <v>187</v>
      </c>
      <c r="K845" s="1"/>
      <c r="L845" s="1" t="str">
        <f t="shared" si="54"/>
        <v xml:space="preserve">Oxundasjön </v>
      </c>
      <c r="M845" s="1" t="s">
        <v>184</v>
      </c>
      <c r="Q845" s="1">
        <v>19.2</v>
      </c>
      <c r="R845" s="1">
        <v>0.2</v>
      </c>
      <c r="S845" s="1">
        <v>2</v>
      </c>
      <c r="W845" s="1">
        <v>6</v>
      </c>
      <c r="X845" s="1">
        <f>W845 * (1/((10^((0.0901821 + (2729.92 /(273.15 + Q845)))-AE845)+1)))</f>
        <v>6.5367706300621164E-2</v>
      </c>
      <c r="Y845" s="1">
        <v>4.4999999999999998E-2</v>
      </c>
      <c r="Z845" s="1">
        <v>107</v>
      </c>
      <c r="AC845" s="1">
        <v>49.3</v>
      </c>
      <c r="AD845" s="1">
        <v>0.1</v>
      </c>
      <c r="AE845" s="1">
        <v>7.47</v>
      </c>
      <c r="AF845" s="1">
        <v>2.5000000000000001E-2</v>
      </c>
      <c r="AI845" s="1">
        <v>9.8000000000000007</v>
      </c>
      <c r="AK845" s="1">
        <v>119</v>
      </c>
      <c r="AL845" s="1">
        <v>762</v>
      </c>
    </row>
    <row r="846" spans="4:38" x14ac:dyDescent="0.3">
      <c r="D846" s="2">
        <f t="shared" si="52"/>
        <v>2007</v>
      </c>
      <c r="E846" s="2">
        <f t="shared" si="53"/>
        <v>8</v>
      </c>
      <c r="F846" s="3" t="s">
        <v>179</v>
      </c>
      <c r="G846" s="4">
        <v>39302</v>
      </c>
      <c r="J846" s="1" t="s">
        <v>187</v>
      </c>
      <c r="K846" s="1"/>
      <c r="L846" s="1" t="str">
        <f t="shared" si="54"/>
        <v xml:space="preserve">Oxundasjön </v>
      </c>
      <c r="M846" s="1" t="s">
        <v>200</v>
      </c>
      <c r="Q846" s="1">
        <v>19.399999999999999</v>
      </c>
      <c r="R846" s="1">
        <v>1.6</v>
      </c>
      <c r="S846" s="1">
        <v>18</v>
      </c>
    </row>
    <row r="847" spans="4:38" x14ac:dyDescent="0.3">
      <c r="D847" s="2">
        <f t="shared" si="52"/>
        <v>2007</v>
      </c>
      <c r="E847" s="2">
        <f t="shared" si="53"/>
        <v>8</v>
      </c>
      <c r="F847" s="3" t="s">
        <v>179</v>
      </c>
      <c r="G847" s="4">
        <v>39302</v>
      </c>
      <c r="J847" s="1" t="s">
        <v>187</v>
      </c>
      <c r="K847" s="1"/>
      <c r="L847" s="1" t="str">
        <f t="shared" si="54"/>
        <v xml:space="preserve">Oxundasjön </v>
      </c>
      <c r="M847" s="1" t="s">
        <v>195</v>
      </c>
      <c r="Q847" s="1">
        <v>20.399999999999999</v>
      </c>
      <c r="R847" s="1">
        <v>3.9</v>
      </c>
      <c r="S847" s="1">
        <v>43</v>
      </c>
    </row>
    <row r="848" spans="4:38" x14ac:dyDescent="0.3">
      <c r="D848" s="2">
        <f t="shared" si="52"/>
        <v>2007</v>
      </c>
      <c r="E848" s="2">
        <f t="shared" si="53"/>
        <v>8</v>
      </c>
      <c r="F848" s="3" t="s">
        <v>179</v>
      </c>
      <c r="G848" s="4">
        <v>39302</v>
      </c>
      <c r="J848" s="1" t="s">
        <v>187</v>
      </c>
      <c r="K848" s="1"/>
      <c r="L848" s="1" t="str">
        <f t="shared" si="54"/>
        <v xml:space="preserve">Oxundasjön </v>
      </c>
      <c r="M848" s="1" t="s">
        <v>196</v>
      </c>
      <c r="Q848" s="1">
        <v>22.4</v>
      </c>
      <c r="R848" s="1">
        <v>10.1</v>
      </c>
      <c r="S848" s="1">
        <v>116</v>
      </c>
    </row>
    <row r="849" spans="4:38" x14ac:dyDescent="0.3">
      <c r="D849" s="2">
        <f t="shared" si="52"/>
        <v>2007</v>
      </c>
      <c r="E849" s="2">
        <f t="shared" si="53"/>
        <v>8</v>
      </c>
      <c r="F849" s="3" t="s">
        <v>179</v>
      </c>
      <c r="G849" s="4">
        <v>39302</v>
      </c>
      <c r="J849" s="1" t="s">
        <v>187</v>
      </c>
      <c r="K849" s="1"/>
      <c r="L849" s="1" t="str">
        <f t="shared" si="54"/>
        <v xml:space="preserve">Oxundasjön </v>
      </c>
      <c r="M849" s="1" t="s">
        <v>197</v>
      </c>
      <c r="Q849" s="1">
        <v>22.7</v>
      </c>
      <c r="R849" s="1">
        <v>10.6</v>
      </c>
      <c r="S849" s="1">
        <v>121</v>
      </c>
    </row>
    <row r="850" spans="4:38" x14ac:dyDescent="0.3">
      <c r="D850" s="2">
        <f t="shared" si="52"/>
        <v>2007</v>
      </c>
      <c r="E850" s="2">
        <f t="shared" si="53"/>
        <v>8</v>
      </c>
      <c r="F850" s="3" t="s">
        <v>179</v>
      </c>
      <c r="G850" s="4">
        <v>39302</v>
      </c>
      <c r="J850" s="1" t="s">
        <v>187</v>
      </c>
      <c r="K850" s="1"/>
      <c r="L850" s="1" t="str">
        <f t="shared" si="54"/>
        <v xml:space="preserve">Oxundasjön </v>
      </c>
      <c r="M850" s="1" t="s">
        <v>194</v>
      </c>
      <c r="Q850" s="1">
        <v>22.8</v>
      </c>
      <c r="R850" s="1">
        <v>10.7</v>
      </c>
      <c r="S850" s="1">
        <v>124</v>
      </c>
    </row>
    <row r="851" spans="4:38" x14ac:dyDescent="0.3">
      <c r="D851" s="2">
        <f t="shared" si="52"/>
        <v>2007</v>
      </c>
      <c r="E851" s="2">
        <f t="shared" si="53"/>
        <v>8</v>
      </c>
      <c r="F851" s="3" t="s">
        <v>179</v>
      </c>
      <c r="G851" s="4">
        <v>39302</v>
      </c>
      <c r="J851" s="1" t="s">
        <v>189</v>
      </c>
      <c r="K851" s="1"/>
      <c r="L851" s="1" t="str">
        <f t="shared" si="54"/>
        <v xml:space="preserve">Rösjön </v>
      </c>
      <c r="M851" s="1" t="s">
        <v>177</v>
      </c>
      <c r="Q851" s="1">
        <v>22.4</v>
      </c>
      <c r="R851" s="1">
        <v>9.4</v>
      </c>
      <c r="S851" s="1">
        <v>108</v>
      </c>
      <c r="W851" s="1">
        <v>6</v>
      </c>
      <c r="X851" s="1">
        <f>W851 * (1/((10^((0.0901821 + (2729.92 /(273.15 + Q851)))-AE851)+1)))</f>
        <v>0.28204201470540946</v>
      </c>
      <c r="Y851" s="1">
        <v>2.4E-2</v>
      </c>
      <c r="Z851" s="1">
        <v>1</v>
      </c>
      <c r="AB851" s="1">
        <v>3.3000880000000001</v>
      </c>
      <c r="AC851" s="1">
        <v>27.5</v>
      </c>
      <c r="AD851" s="1">
        <v>0.1</v>
      </c>
      <c r="AE851" s="1">
        <v>8.02</v>
      </c>
      <c r="AI851" s="1">
        <v>9.1</v>
      </c>
      <c r="AK851" s="1">
        <v>15</v>
      </c>
      <c r="AL851" s="1">
        <v>528</v>
      </c>
    </row>
    <row r="852" spans="4:38" x14ac:dyDescent="0.3">
      <c r="D852" s="2">
        <f t="shared" si="52"/>
        <v>2007</v>
      </c>
      <c r="E852" s="2">
        <f t="shared" si="53"/>
        <v>8</v>
      </c>
      <c r="F852" s="3" t="s">
        <v>179</v>
      </c>
      <c r="G852" s="4">
        <v>39302</v>
      </c>
      <c r="J852" s="1" t="s">
        <v>189</v>
      </c>
      <c r="K852" s="1"/>
      <c r="L852" s="1" t="str">
        <f t="shared" si="54"/>
        <v xml:space="preserve">Rösjön </v>
      </c>
      <c r="M852" s="1" t="s">
        <v>184</v>
      </c>
      <c r="Q852" s="1">
        <v>18</v>
      </c>
      <c r="R852" s="1">
        <v>0.1</v>
      </c>
      <c r="S852" s="1">
        <v>1</v>
      </c>
      <c r="W852" s="1">
        <v>33</v>
      </c>
      <c r="X852" s="1">
        <f>W852 * (1/((10^((0.0901821 + (2729.92 /(273.15 + Q852)))-AE852)+1)))</f>
        <v>0.21833016826766913</v>
      </c>
      <c r="Y852" s="1">
        <v>3.3000000000000002E-2</v>
      </c>
      <c r="Z852" s="1">
        <v>4</v>
      </c>
      <c r="AC852" s="1">
        <v>27.9</v>
      </c>
      <c r="AD852" s="1">
        <v>0.1</v>
      </c>
      <c r="AE852" s="1">
        <v>7.29</v>
      </c>
      <c r="AF852" s="1">
        <v>2.5000000000000001E-2</v>
      </c>
      <c r="AI852" s="1">
        <v>8.9</v>
      </c>
      <c r="AK852" s="1">
        <v>28</v>
      </c>
      <c r="AL852" s="1">
        <v>584</v>
      </c>
    </row>
    <row r="853" spans="4:38" x14ac:dyDescent="0.3">
      <c r="D853" s="2">
        <f t="shared" si="52"/>
        <v>2007</v>
      </c>
      <c r="E853" s="2">
        <f t="shared" si="53"/>
        <v>8</v>
      </c>
      <c r="F853" s="3" t="s">
        <v>179</v>
      </c>
      <c r="G853" s="4">
        <v>39302</v>
      </c>
      <c r="J853" s="1" t="s">
        <v>189</v>
      </c>
      <c r="K853" s="1"/>
      <c r="L853" s="1" t="str">
        <f t="shared" si="54"/>
        <v xml:space="preserve">Rösjön </v>
      </c>
      <c r="M853" s="1" t="s">
        <v>199</v>
      </c>
      <c r="Q853" s="1">
        <v>19.100000000000001</v>
      </c>
      <c r="R853" s="1">
        <v>1.7</v>
      </c>
      <c r="S853" s="1">
        <v>19</v>
      </c>
    </row>
    <row r="854" spans="4:38" x14ac:dyDescent="0.3">
      <c r="D854" s="2">
        <f t="shared" si="52"/>
        <v>2007</v>
      </c>
      <c r="E854" s="2">
        <f t="shared" si="53"/>
        <v>8</v>
      </c>
      <c r="F854" s="3" t="s">
        <v>179</v>
      </c>
      <c r="G854" s="4">
        <v>39302</v>
      </c>
      <c r="J854" s="1" t="s">
        <v>189</v>
      </c>
      <c r="K854" s="1"/>
      <c r="L854" s="1" t="str">
        <f t="shared" si="54"/>
        <v xml:space="preserve">Rösjön </v>
      </c>
      <c r="M854" s="1" t="s">
        <v>200</v>
      </c>
      <c r="Q854" s="1">
        <v>19.8</v>
      </c>
      <c r="R854" s="1">
        <v>5.2</v>
      </c>
      <c r="S854" s="1">
        <v>57</v>
      </c>
    </row>
    <row r="855" spans="4:38" x14ac:dyDescent="0.3">
      <c r="D855" s="2">
        <f t="shared" si="52"/>
        <v>2007</v>
      </c>
      <c r="E855" s="2">
        <f t="shared" si="53"/>
        <v>8</v>
      </c>
      <c r="F855" s="3" t="s">
        <v>179</v>
      </c>
      <c r="G855" s="4">
        <v>39302</v>
      </c>
      <c r="J855" s="1" t="s">
        <v>189</v>
      </c>
      <c r="K855" s="1"/>
      <c r="L855" s="1" t="str">
        <f t="shared" si="54"/>
        <v xml:space="preserve">Rösjön </v>
      </c>
      <c r="M855" s="1" t="s">
        <v>195</v>
      </c>
      <c r="Q855" s="1">
        <v>20.399999999999999</v>
      </c>
      <c r="R855" s="1">
        <v>8.6</v>
      </c>
      <c r="S855" s="1">
        <v>95</v>
      </c>
    </row>
    <row r="856" spans="4:38" x14ac:dyDescent="0.3">
      <c r="D856" s="2">
        <f t="shared" si="52"/>
        <v>2007</v>
      </c>
      <c r="E856" s="2">
        <f t="shared" si="53"/>
        <v>8</v>
      </c>
      <c r="F856" s="3" t="s">
        <v>179</v>
      </c>
      <c r="G856" s="4">
        <v>39302</v>
      </c>
      <c r="J856" s="1" t="s">
        <v>189</v>
      </c>
      <c r="K856" s="1"/>
      <c r="L856" s="1" t="str">
        <f t="shared" si="54"/>
        <v xml:space="preserve">Rösjön </v>
      </c>
      <c r="M856" s="1" t="s">
        <v>196</v>
      </c>
      <c r="Q856" s="1">
        <v>21</v>
      </c>
      <c r="R856" s="1">
        <v>9.4</v>
      </c>
      <c r="S856" s="1">
        <v>105</v>
      </c>
    </row>
    <row r="857" spans="4:38" x14ac:dyDescent="0.3">
      <c r="D857" s="2">
        <f t="shared" si="52"/>
        <v>2007</v>
      </c>
      <c r="E857" s="2">
        <f t="shared" si="53"/>
        <v>8</v>
      </c>
      <c r="F857" s="3" t="s">
        <v>179</v>
      </c>
      <c r="G857" s="4">
        <v>39302</v>
      </c>
      <c r="J857" s="1" t="s">
        <v>189</v>
      </c>
      <c r="K857" s="1"/>
      <c r="L857" s="1" t="str">
        <f t="shared" si="54"/>
        <v xml:space="preserve">Rösjön </v>
      </c>
      <c r="M857" s="1" t="s">
        <v>197</v>
      </c>
      <c r="Q857" s="1">
        <v>21.8</v>
      </c>
      <c r="R857" s="1">
        <v>9.4</v>
      </c>
      <c r="S857" s="1">
        <v>106</v>
      </c>
    </row>
    <row r="858" spans="4:38" x14ac:dyDescent="0.3">
      <c r="D858" s="2">
        <f t="shared" si="52"/>
        <v>2007</v>
      </c>
      <c r="E858" s="2">
        <f t="shared" si="53"/>
        <v>8</v>
      </c>
      <c r="F858" s="3" t="s">
        <v>179</v>
      </c>
      <c r="G858" s="4">
        <v>39302</v>
      </c>
      <c r="J858" s="1" t="s">
        <v>189</v>
      </c>
      <c r="K858" s="1"/>
      <c r="L858" s="1" t="str">
        <f t="shared" si="54"/>
        <v xml:space="preserve">Rösjön </v>
      </c>
      <c r="M858" s="1" t="s">
        <v>194</v>
      </c>
      <c r="Q858" s="1">
        <v>22.1</v>
      </c>
      <c r="R858" s="1">
        <v>9.4</v>
      </c>
      <c r="S858" s="1">
        <v>107</v>
      </c>
    </row>
    <row r="859" spans="4:38" x14ac:dyDescent="0.3">
      <c r="D859" s="2">
        <f t="shared" si="52"/>
        <v>2007</v>
      </c>
      <c r="E859" s="2">
        <f t="shared" si="53"/>
        <v>8</v>
      </c>
      <c r="F859" s="3" t="s">
        <v>179</v>
      </c>
      <c r="G859" s="4">
        <v>39302</v>
      </c>
      <c r="J859" s="1" t="s">
        <v>190</v>
      </c>
      <c r="K859" s="1"/>
      <c r="L859" s="1" t="str">
        <f t="shared" si="54"/>
        <v xml:space="preserve">Snuggan </v>
      </c>
      <c r="M859" s="1" t="s">
        <v>177</v>
      </c>
      <c r="P859" s="1">
        <v>0.6</v>
      </c>
      <c r="Q859" s="1">
        <v>22.6</v>
      </c>
      <c r="R859" s="1">
        <v>9.1</v>
      </c>
      <c r="S859" s="1">
        <v>105</v>
      </c>
      <c r="V859" s="1">
        <v>7.15102040816325E-2</v>
      </c>
      <c r="W859" s="1">
        <v>4</v>
      </c>
      <c r="X859" s="1">
        <f>W859 * (1/((10^((0.0901821 + (2729.92 /(273.15 + Q859)))-AE859)+1)))</f>
        <v>2.3503032620846905E-3</v>
      </c>
      <c r="Y859" s="1">
        <v>0.48799999999999999</v>
      </c>
      <c r="Z859" s="1">
        <v>5</v>
      </c>
      <c r="AB859" s="1">
        <v>54.389800000000001</v>
      </c>
      <c r="AC859" s="1">
        <v>4.95</v>
      </c>
      <c r="AD859" s="1">
        <v>0.1</v>
      </c>
      <c r="AE859" s="1">
        <v>6.09</v>
      </c>
      <c r="AI859" s="1">
        <v>27</v>
      </c>
      <c r="AK859" s="1">
        <v>29</v>
      </c>
      <c r="AL859" s="1">
        <v>873</v>
      </c>
    </row>
    <row r="860" spans="4:38" x14ac:dyDescent="0.3">
      <c r="D860" s="2">
        <f t="shared" si="52"/>
        <v>2007</v>
      </c>
      <c r="E860" s="2">
        <f t="shared" si="53"/>
        <v>8</v>
      </c>
      <c r="F860" s="3" t="s">
        <v>179</v>
      </c>
      <c r="G860" s="4">
        <v>39302</v>
      </c>
      <c r="J860" s="1" t="s">
        <v>190</v>
      </c>
      <c r="K860" s="1"/>
      <c r="L860" s="1" t="str">
        <f t="shared" si="54"/>
        <v xml:space="preserve">Snuggan </v>
      </c>
      <c r="M860" s="1" t="s">
        <v>184</v>
      </c>
      <c r="Q860" s="1">
        <v>12.7</v>
      </c>
      <c r="R860" s="1">
        <v>0.1</v>
      </c>
      <c r="S860" s="1">
        <v>1</v>
      </c>
      <c r="V860" s="1">
        <v>0.19450775510203999</v>
      </c>
      <c r="W860" s="1">
        <v>9</v>
      </c>
      <c r="X860" s="1">
        <f>W860 * (1/((10^((0.0901821 + (2729.92 /(273.15 + Q860)))-AE860)+1)))</f>
        <v>8.3914353301796113E-4</v>
      </c>
      <c r="Y860" s="1">
        <v>0.81699999999999995</v>
      </c>
      <c r="Z860" s="1">
        <v>3</v>
      </c>
      <c r="AC860" s="1">
        <v>6.42</v>
      </c>
      <c r="AD860" s="1">
        <v>3</v>
      </c>
      <c r="AE860" s="1">
        <v>5.61</v>
      </c>
      <c r="AF860" s="1">
        <v>2.5000000000000001E-2</v>
      </c>
      <c r="AI860" s="1">
        <v>34</v>
      </c>
      <c r="AK860" s="1">
        <v>48</v>
      </c>
      <c r="AL860" s="1">
        <v>983</v>
      </c>
    </row>
    <row r="861" spans="4:38" x14ac:dyDescent="0.3">
      <c r="D861" s="2">
        <f t="shared" si="52"/>
        <v>2007</v>
      </c>
      <c r="E861" s="2">
        <f t="shared" si="53"/>
        <v>8</v>
      </c>
      <c r="F861" s="3" t="s">
        <v>179</v>
      </c>
      <c r="G861" s="4">
        <v>39302</v>
      </c>
      <c r="J861" s="1" t="s">
        <v>190</v>
      </c>
      <c r="K861" s="1"/>
      <c r="L861" s="1" t="str">
        <f t="shared" si="54"/>
        <v xml:space="preserve">Snuggan </v>
      </c>
      <c r="M861" s="1" t="s">
        <v>197</v>
      </c>
      <c r="Q861" s="1">
        <v>15.2</v>
      </c>
      <c r="R861" s="1">
        <v>0.1</v>
      </c>
      <c r="S861" s="1">
        <v>1</v>
      </c>
    </row>
    <row r="862" spans="4:38" x14ac:dyDescent="0.3">
      <c r="D862" s="2">
        <f t="shared" si="52"/>
        <v>2007</v>
      </c>
      <c r="E862" s="2">
        <f t="shared" si="53"/>
        <v>8</v>
      </c>
      <c r="F862" s="3" t="s">
        <v>179</v>
      </c>
      <c r="G862" s="4">
        <v>39302</v>
      </c>
      <c r="J862" s="1" t="s">
        <v>190</v>
      </c>
      <c r="K862" s="1"/>
      <c r="L862" s="1" t="str">
        <f t="shared" si="54"/>
        <v xml:space="preserve">Snuggan </v>
      </c>
      <c r="M862" s="1" t="s">
        <v>194</v>
      </c>
      <c r="Q862" s="1">
        <v>21.2</v>
      </c>
      <c r="R862" s="1">
        <v>8.6999999999999993</v>
      </c>
      <c r="S862" s="1">
        <v>97</v>
      </c>
    </row>
    <row r="863" spans="4:38" x14ac:dyDescent="0.3">
      <c r="D863" s="2">
        <f t="shared" si="52"/>
        <v>2007</v>
      </c>
      <c r="E863" s="2">
        <f t="shared" si="53"/>
        <v>8</v>
      </c>
      <c r="F863" s="3" t="s">
        <v>179</v>
      </c>
      <c r="G863" s="4">
        <v>39302</v>
      </c>
      <c r="J863" s="1" t="s">
        <v>192</v>
      </c>
      <c r="K863" s="1"/>
      <c r="L863" s="1" t="str">
        <f t="shared" si="54"/>
        <v xml:space="preserve">Väsjön </v>
      </c>
      <c r="M863" s="1" t="s">
        <v>177</v>
      </c>
      <c r="P863" s="1">
        <v>2</v>
      </c>
      <c r="Q863" s="1">
        <v>21</v>
      </c>
      <c r="R863" s="1">
        <v>10.3</v>
      </c>
      <c r="S863" s="1">
        <v>117</v>
      </c>
      <c r="W863" s="1">
        <v>0.1</v>
      </c>
      <c r="X863" s="1">
        <f>W863 * (1/((10^((0.0901821 + (2729.92 /(273.15 + Q863)))-AE863)+1)))</f>
        <v>6.0533014320179133E-3</v>
      </c>
      <c r="Y863" s="1">
        <v>5.0999999999999997E-2</v>
      </c>
      <c r="Z863" s="1">
        <v>2</v>
      </c>
      <c r="AB863" s="1">
        <v>5.4760799999999996</v>
      </c>
      <c r="AC863" s="1">
        <v>49.5</v>
      </c>
      <c r="AD863" s="1">
        <v>0.1</v>
      </c>
      <c r="AE863" s="1">
        <v>8.18</v>
      </c>
      <c r="AI863" s="1">
        <v>14</v>
      </c>
      <c r="AK863" s="1">
        <v>17</v>
      </c>
      <c r="AL863" s="1">
        <v>595</v>
      </c>
    </row>
    <row r="864" spans="4:38" x14ac:dyDescent="0.3">
      <c r="D864" s="2">
        <f t="shared" si="52"/>
        <v>2007</v>
      </c>
      <c r="E864" s="2">
        <f t="shared" si="53"/>
        <v>8</v>
      </c>
      <c r="F864" s="3" t="s">
        <v>179</v>
      </c>
      <c r="G864" s="4">
        <v>39302</v>
      </c>
      <c r="J864" s="1" t="s">
        <v>192</v>
      </c>
      <c r="K864" s="1"/>
      <c r="L864" s="1" t="str">
        <f t="shared" si="54"/>
        <v xml:space="preserve">Väsjön </v>
      </c>
      <c r="M864" s="1" t="s">
        <v>184</v>
      </c>
      <c r="Q864" s="1">
        <v>20.100000000000001</v>
      </c>
      <c r="R864" s="1">
        <v>3.8</v>
      </c>
      <c r="S864" s="1">
        <v>42</v>
      </c>
      <c r="W864" s="1">
        <v>13</v>
      </c>
      <c r="X864" s="1">
        <f>W864 * (1/((10^((0.0901821 + (2729.92 /(273.15 + Q864)))-AE864)+1)))</f>
        <v>0.34120864872120416</v>
      </c>
      <c r="Y864" s="1">
        <v>0.06</v>
      </c>
      <c r="Z864" s="1">
        <v>0.1</v>
      </c>
      <c r="AC864" s="1">
        <v>49.4</v>
      </c>
      <c r="AD864" s="1">
        <v>0.1</v>
      </c>
      <c r="AE864" s="1">
        <v>7.83</v>
      </c>
      <c r="AI864" s="1">
        <v>14</v>
      </c>
      <c r="AK864" s="1">
        <v>19</v>
      </c>
      <c r="AL864" s="1">
        <v>722</v>
      </c>
    </row>
    <row r="865" spans="4:67" x14ac:dyDescent="0.3">
      <c r="D865" s="2">
        <f t="shared" si="52"/>
        <v>2007</v>
      </c>
      <c r="E865" s="2">
        <f t="shared" si="53"/>
        <v>8</v>
      </c>
      <c r="F865" s="3" t="s">
        <v>179</v>
      </c>
      <c r="G865" s="4">
        <v>39302</v>
      </c>
      <c r="J865" s="1" t="s">
        <v>192</v>
      </c>
      <c r="K865" s="1"/>
      <c r="L865" s="1" t="str">
        <f t="shared" si="54"/>
        <v xml:space="preserve">Väsjön </v>
      </c>
      <c r="M865" s="1" t="s">
        <v>194</v>
      </c>
      <c r="Q865" s="1">
        <v>21.1</v>
      </c>
      <c r="R865" s="1">
        <v>10</v>
      </c>
      <c r="S865" s="1">
        <v>111</v>
      </c>
    </row>
    <row r="866" spans="4:67" x14ac:dyDescent="0.3">
      <c r="D866" s="2">
        <f t="shared" si="52"/>
        <v>2007</v>
      </c>
      <c r="E866" s="2">
        <f t="shared" si="53"/>
        <v>8</v>
      </c>
      <c r="F866" s="3" t="s">
        <v>179</v>
      </c>
      <c r="G866" s="4">
        <v>39302</v>
      </c>
      <c r="J866" s="1" t="s">
        <v>193</v>
      </c>
      <c r="K866" s="1"/>
      <c r="L866" s="1" t="str">
        <f t="shared" si="54"/>
        <v xml:space="preserve">Översjön </v>
      </c>
      <c r="M866" s="1" t="s">
        <v>177</v>
      </c>
      <c r="P866" s="1">
        <v>2.4</v>
      </c>
      <c r="Q866" s="1">
        <v>22</v>
      </c>
      <c r="R866" s="1">
        <v>9.6</v>
      </c>
      <c r="S866" s="1">
        <v>112</v>
      </c>
      <c r="W866" s="1">
        <v>13</v>
      </c>
      <c r="X866" s="1">
        <f>W866 * (1/((10^((0.0901821 + (2729.92 /(273.15 + Q866)))-AE866)+1)))</f>
        <v>0.48741820168808614</v>
      </c>
      <c r="Y866" s="1">
        <v>4.1000000000000002E-2</v>
      </c>
      <c r="Z866" s="1">
        <v>2</v>
      </c>
      <c r="AB866" s="1">
        <v>3.8536649999999999</v>
      </c>
      <c r="AC866" s="1">
        <v>42.4</v>
      </c>
      <c r="AD866" s="1">
        <v>0.1</v>
      </c>
      <c r="AE866" s="1">
        <v>7.93</v>
      </c>
      <c r="AI866" s="1">
        <v>12</v>
      </c>
      <c r="AK866" s="1">
        <v>22</v>
      </c>
      <c r="AL866" s="1">
        <v>711</v>
      </c>
    </row>
    <row r="867" spans="4:67" x14ac:dyDescent="0.3">
      <c r="D867" s="2">
        <f t="shared" si="52"/>
        <v>2007</v>
      </c>
      <c r="E867" s="2">
        <f t="shared" si="53"/>
        <v>8</v>
      </c>
      <c r="F867" s="3" t="s">
        <v>179</v>
      </c>
      <c r="G867" s="4">
        <v>39302</v>
      </c>
      <c r="J867" s="1" t="s">
        <v>193</v>
      </c>
      <c r="K867" s="1"/>
      <c r="L867" s="1" t="str">
        <f t="shared" si="54"/>
        <v xml:space="preserve">Översjön </v>
      </c>
      <c r="M867" s="1" t="s">
        <v>184</v>
      </c>
      <c r="Q867" s="1">
        <v>20.2</v>
      </c>
      <c r="R867" s="1">
        <v>6</v>
      </c>
      <c r="S867" s="1">
        <v>66</v>
      </c>
      <c r="W867" s="1">
        <v>7</v>
      </c>
      <c r="X867" s="1">
        <f>W867 * (1/((10^((0.0901821 + (2729.92 /(273.15 + Q867)))-AE867)+1)))</f>
        <v>7.6581135841280332E-2</v>
      </c>
      <c r="Y867" s="1">
        <v>4.9000000000000002E-2</v>
      </c>
      <c r="Z867" s="1">
        <v>2</v>
      </c>
      <c r="AC867" s="1">
        <v>42.8</v>
      </c>
      <c r="AD867" s="1">
        <v>0.1</v>
      </c>
      <c r="AE867" s="1">
        <v>7.44</v>
      </c>
      <c r="AI867" s="1">
        <v>13</v>
      </c>
      <c r="AK867" s="1">
        <v>38</v>
      </c>
      <c r="AL867" s="1">
        <v>801</v>
      </c>
    </row>
    <row r="868" spans="4:67" x14ac:dyDescent="0.3">
      <c r="D868" s="2">
        <f t="shared" si="52"/>
        <v>2007</v>
      </c>
      <c r="E868" s="2">
        <f t="shared" si="53"/>
        <v>8</v>
      </c>
      <c r="F868" s="3" t="s">
        <v>179</v>
      </c>
      <c r="G868" s="4">
        <v>39302</v>
      </c>
      <c r="J868" s="1" t="s">
        <v>193</v>
      </c>
      <c r="K868" s="1"/>
      <c r="L868" s="1" t="str">
        <f t="shared" si="54"/>
        <v xml:space="preserve">Översjön </v>
      </c>
      <c r="M868" s="1" t="s">
        <v>197</v>
      </c>
      <c r="Q868" s="1">
        <v>20.8</v>
      </c>
      <c r="R868" s="1">
        <v>8.8000000000000007</v>
      </c>
      <c r="S868" s="1">
        <v>97</v>
      </c>
    </row>
    <row r="869" spans="4:67" x14ac:dyDescent="0.3">
      <c r="D869" s="2">
        <f t="shared" si="52"/>
        <v>2007</v>
      </c>
      <c r="E869" s="2">
        <f t="shared" si="53"/>
        <v>8</v>
      </c>
      <c r="F869" s="3" t="s">
        <v>179</v>
      </c>
      <c r="G869" s="4">
        <v>39302</v>
      </c>
      <c r="J869" s="1" t="s">
        <v>193</v>
      </c>
      <c r="K869" s="1"/>
      <c r="L869" s="1" t="str">
        <f t="shared" si="54"/>
        <v xml:space="preserve">Översjön </v>
      </c>
      <c r="M869" s="1" t="s">
        <v>194</v>
      </c>
      <c r="Q869" s="1">
        <v>21.9</v>
      </c>
      <c r="R869" s="1">
        <v>9.8000000000000007</v>
      </c>
      <c r="S869" s="1">
        <v>111</v>
      </c>
    </row>
    <row r="870" spans="4:67" x14ac:dyDescent="0.3">
      <c r="D870" s="2">
        <f t="shared" si="52"/>
        <v>2007</v>
      </c>
      <c r="E870" s="2">
        <f t="shared" si="53"/>
        <v>8</v>
      </c>
      <c r="F870" s="3" t="s">
        <v>179</v>
      </c>
      <c r="G870" s="4">
        <v>39315</v>
      </c>
      <c r="H870" s="1">
        <v>6606238</v>
      </c>
      <c r="I870" s="1">
        <v>661152</v>
      </c>
      <c r="J870" s="5" t="s">
        <v>176</v>
      </c>
      <c r="K870" s="1"/>
      <c r="L870" s="1" t="str">
        <f t="shared" si="54"/>
        <v xml:space="preserve">Oxundaån </v>
      </c>
      <c r="M870" s="1" t="s">
        <v>177</v>
      </c>
      <c r="N870" s="1">
        <v>0.5</v>
      </c>
      <c r="O870" s="1">
        <v>0.5</v>
      </c>
      <c r="T870" s="1">
        <v>48.9</v>
      </c>
      <c r="V870" s="1">
        <v>2.411</v>
      </c>
      <c r="W870" s="1">
        <v>59</v>
      </c>
      <c r="Y870" s="1">
        <v>3.2000000000000001E-2</v>
      </c>
      <c r="Z870" s="1">
        <v>69</v>
      </c>
      <c r="AD870" s="1">
        <v>1</v>
      </c>
      <c r="AE870" s="1">
        <v>7.68</v>
      </c>
      <c r="AG870" s="1">
        <v>3</v>
      </c>
      <c r="AI870" s="1">
        <v>10.3</v>
      </c>
      <c r="AK870" s="1">
        <v>113</v>
      </c>
      <c r="AL870" s="1">
        <v>782</v>
      </c>
      <c r="AR870" s="1">
        <v>53.26</v>
      </c>
      <c r="AS870" s="1">
        <v>5.0999999999999997E-2</v>
      </c>
      <c r="AT870" s="1">
        <v>5.9823000000000004</v>
      </c>
      <c r="AU870" s="1">
        <v>9.9703999999999997</v>
      </c>
      <c r="AV870" s="1">
        <v>40.625700000000002</v>
      </c>
      <c r="AW870" s="1">
        <v>26.656279999999999</v>
      </c>
      <c r="AX870" s="1">
        <v>61.600099999999998</v>
      </c>
      <c r="AY870" s="1">
        <v>7.27</v>
      </c>
      <c r="BC870" s="1">
        <v>1.2E-2</v>
      </c>
      <c r="BE870" s="1">
        <v>0.24</v>
      </c>
      <c r="BF870" s="1">
        <v>2.2999999999999998</v>
      </c>
      <c r="BJ870" s="1">
        <v>5.4</v>
      </c>
      <c r="BL870" s="1">
        <v>0.56000000000000005</v>
      </c>
      <c r="BO870" s="1">
        <v>2.4</v>
      </c>
    </row>
    <row r="871" spans="4:67" x14ac:dyDescent="0.3">
      <c r="D871" s="2">
        <f t="shared" si="52"/>
        <v>2007</v>
      </c>
      <c r="E871" s="2">
        <f t="shared" si="53"/>
        <v>8</v>
      </c>
      <c r="F871" s="3" t="s">
        <v>179</v>
      </c>
      <c r="G871" s="4">
        <v>39317</v>
      </c>
      <c r="J871" s="1" t="s">
        <v>181</v>
      </c>
      <c r="K871" s="1"/>
      <c r="L871" s="1" t="str">
        <f t="shared" si="54"/>
        <v xml:space="preserve">Fysingen </v>
      </c>
      <c r="M871" s="1" t="s">
        <v>177</v>
      </c>
      <c r="P871" s="1">
        <v>1.6</v>
      </c>
      <c r="Q871" s="1">
        <v>19</v>
      </c>
      <c r="V871" s="1">
        <v>2.2850000000000001</v>
      </c>
      <c r="W871" s="1">
        <v>4</v>
      </c>
      <c r="X871" s="1">
        <f t="shared" ref="X871:X878" si="55">W871 * (1/((10^((0.0901821 + (2729.92 /(273.15 + Q871)))-AE871)+1)))</f>
        <v>0.2351396153563165</v>
      </c>
      <c r="Y871" s="1">
        <v>4.0000000000000001E-3</v>
      </c>
      <c r="Z871" s="1">
        <v>4</v>
      </c>
      <c r="AB871" s="1">
        <v>8.4</v>
      </c>
      <c r="AC871" s="1">
        <v>56.1</v>
      </c>
      <c r="AD871" s="1">
        <v>1</v>
      </c>
      <c r="AE871" s="1">
        <v>8.23</v>
      </c>
      <c r="AI871" s="1">
        <v>9.5</v>
      </c>
      <c r="AK871" s="1">
        <v>25</v>
      </c>
      <c r="AL871" s="1">
        <v>520</v>
      </c>
      <c r="AV871" s="1">
        <v>39.420400000000008</v>
      </c>
      <c r="AX871" s="1">
        <v>104.98925</v>
      </c>
      <c r="AY871" s="1">
        <v>0.23</v>
      </c>
    </row>
    <row r="872" spans="4:67" x14ac:dyDescent="0.3">
      <c r="D872" s="2">
        <f t="shared" si="52"/>
        <v>2007</v>
      </c>
      <c r="E872" s="2">
        <f t="shared" si="53"/>
        <v>9</v>
      </c>
      <c r="F872" s="3"/>
      <c r="G872" s="4">
        <v>39344</v>
      </c>
      <c r="H872" s="1">
        <v>6606238</v>
      </c>
      <c r="I872" s="1">
        <v>661152</v>
      </c>
      <c r="J872" s="5" t="s">
        <v>176</v>
      </c>
      <c r="K872" s="1"/>
      <c r="L872" s="1" t="str">
        <f t="shared" si="54"/>
        <v xml:space="preserve">Oxundaån </v>
      </c>
      <c r="M872" s="1" t="s">
        <v>177</v>
      </c>
      <c r="N872" s="1">
        <v>0.5</v>
      </c>
      <c r="O872" s="1">
        <v>0.5</v>
      </c>
      <c r="Q872" s="1">
        <v>12.5</v>
      </c>
      <c r="T872" s="1">
        <v>49</v>
      </c>
      <c r="V872" s="1">
        <v>2.3759999999999999</v>
      </c>
      <c r="W872" s="1">
        <v>45</v>
      </c>
      <c r="X872" s="1">
        <f t="shared" si="55"/>
        <v>0.5894322974930134</v>
      </c>
      <c r="Y872" s="1">
        <v>3.2000000000000001E-2</v>
      </c>
      <c r="Z872" s="1">
        <v>52</v>
      </c>
      <c r="AD872" s="1">
        <v>1</v>
      </c>
      <c r="AE872" s="1">
        <v>7.77</v>
      </c>
      <c r="AG872" s="1">
        <v>1.7</v>
      </c>
      <c r="AI872" s="1">
        <v>9.4</v>
      </c>
      <c r="AK872" s="1">
        <v>60</v>
      </c>
      <c r="AL872" s="1">
        <v>643</v>
      </c>
      <c r="AR872" s="1">
        <v>53.14</v>
      </c>
      <c r="AS872" s="1">
        <v>2.5999999999999999E-2</v>
      </c>
      <c r="AT872" s="1">
        <v>5.9432</v>
      </c>
      <c r="AU872" s="1">
        <v>10.212399999999999</v>
      </c>
      <c r="AV872" s="1">
        <v>37.009800000000006</v>
      </c>
      <c r="AW872" s="1">
        <v>26.954500000000003</v>
      </c>
      <c r="AX872" s="1">
        <v>64.43504999999999</v>
      </c>
      <c r="AY872" s="1">
        <v>2.2799999999999998</v>
      </c>
      <c r="BC872" s="1">
        <v>2.1000000000000001E-2</v>
      </c>
      <c r="BE872" s="1">
        <v>0.23</v>
      </c>
      <c r="BF872" s="1">
        <v>2.5</v>
      </c>
      <c r="BJ872" s="1">
        <v>5.5</v>
      </c>
      <c r="BL872" s="1">
        <v>0.59</v>
      </c>
      <c r="BO872" s="1">
        <v>3.1</v>
      </c>
    </row>
    <row r="873" spans="4:67" x14ac:dyDescent="0.3">
      <c r="D873" s="2">
        <f t="shared" si="52"/>
        <v>2007</v>
      </c>
      <c r="E873" s="2">
        <f t="shared" si="53"/>
        <v>10</v>
      </c>
      <c r="F873" s="3" t="s">
        <v>180</v>
      </c>
      <c r="G873" s="4">
        <v>39370</v>
      </c>
      <c r="J873" s="1" t="s">
        <v>181</v>
      </c>
      <c r="K873" s="1"/>
      <c r="L873" s="1" t="str">
        <f t="shared" si="54"/>
        <v xml:space="preserve">Fysingen </v>
      </c>
      <c r="M873" s="1" t="s">
        <v>177</v>
      </c>
      <c r="P873" s="1">
        <v>3</v>
      </c>
      <c r="Q873" s="1">
        <v>8.1999999999999993</v>
      </c>
      <c r="V873" s="1">
        <v>2.395</v>
      </c>
      <c r="W873" s="1">
        <v>22</v>
      </c>
      <c r="X873" s="1">
        <f t="shared" si="55"/>
        <v>0.32570955416672043</v>
      </c>
      <c r="Y873" s="1">
        <v>0.03</v>
      </c>
      <c r="Z873" s="1">
        <v>1</v>
      </c>
      <c r="AB873" s="1">
        <v>2.8</v>
      </c>
      <c r="AC873" s="1">
        <v>57.5</v>
      </c>
      <c r="AD873" s="1">
        <v>17</v>
      </c>
      <c r="AE873" s="1">
        <v>7.97</v>
      </c>
      <c r="AI873" s="1">
        <v>8.1999999999999993</v>
      </c>
      <c r="AK873" s="1">
        <v>10</v>
      </c>
      <c r="AL873" s="1">
        <v>563</v>
      </c>
      <c r="AV873" s="1">
        <v>44.737900000000003</v>
      </c>
      <c r="AX873" s="1">
        <v>101.6738</v>
      </c>
      <c r="AY873" s="1">
        <v>0.11</v>
      </c>
    </row>
    <row r="874" spans="4:67" x14ac:dyDescent="0.3">
      <c r="D874" s="2">
        <f t="shared" si="52"/>
        <v>2007</v>
      </c>
      <c r="E874" s="2">
        <f t="shared" si="53"/>
        <v>10</v>
      </c>
      <c r="F874" s="3" t="s">
        <v>180</v>
      </c>
      <c r="G874" s="4">
        <v>39372</v>
      </c>
      <c r="H874" s="1">
        <v>6606238</v>
      </c>
      <c r="I874" s="1">
        <v>661152</v>
      </c>
      <c r="J874" s="5" t="s">
        <v>176</v>
      </c>
      <c r="K874" s="1"/>
      <c r="L874" s="1" t="str">
        <f t="shared" si="54"/>
        <v xml:space="preserve">Oxundaån </v>
      </c>
      <c r="M874" s="1" t="s">
        <v>177</v>
      </c>
      <c r="N874" s="1">
        <v>0.5</v>
      </c>
      <c r="O874" s="1">
        <v>0.5</v>
      </c>
      <c r="Q874" s="1">
        <v>10.5</v>
      </c>
      <c r="T874" s="1">
        <v>38.4</v>
      </c>
      <c r="V874" s="1">
        <v>2.2040000000000002</v>
      </c>
      <c r="W874" s="1">
        <v>40</v>
      </c>
      <c r="X874" s="1">
        <f t="shared" si="55"/>
        <v>0.41979828407207742</v>
      </c>
      <c r="Y874" s="1">
        <v>7.1999999999999995E-2</v>
      </c>
      <c r="Z874" s="1">
        <v>31</v>
      </c>
      <c r="AD874" s="1">
        <v>644</v>
      </c>
      <c r="AE874" s="1">
        <v>7.74</v>
      </c>
      <c r="AG874" s="1">
        <v>1.6</v>
      </c>
      <c r="AI874" s="1">
        <v>12.7</v>
      </c>
      <c r="AK874" s="1">
        <v>42</v>
      </c>
      <c r="AL874" s="1">
        <v>1146</v>
      </c>
      <c r="AR874" s="1">
        <v>48.52</v>
      </c>
      <c r="AS874" s="1">
        <v>6.5000000000000002E-2</v>
      </c>
      <c r="AT874" s="1">
        <v>4.1837</v>
      </c>
      <c r="AU874" s="1">
        <v>7.1026999999999996</v>
      </c>
      <c r="AV874" s="1">
        <v>25.453100000000003</v>
      </c>
      <c r="AW874" s="1">
        <v>16.9756</v>
      </c>
      <c r="AX874" s="1">
        <v>39.737349999999992</v>
      </c>
      <c r="AY874" s="1">
        <v>4.0599999999999996</v>
      </c>
      <c r="BC874" s="1">
        <v>1.2999999999999999E-2</v>
      </c>
      <c r="BE874" s="1">
        <v>0.22</v>
      </c>
      <c r="BF874" s="1">
        <v>6.6</v>
      </c>
      <c r="BJ874" s="1">
        <v>3.6</v>
      </c>
      <c r="BL874" s="1">
        <v>1</v>
      </c>
      <c r="BO874" s="1">
        <v>8.6</v>
      </c>
    </row>
    <row r="875" spans="4:67" x14ac:dyDescent="0.3">
      <c r="D875" s="2">
        <f t="shared" si="52"/>
        <v>2007</v>
      </c>
      <c r="E875" s="2">
        <f t="shared" si="53"/>
        <v>11</v>
      </c>
      <c r="F875" s="3" t="s">
        <v>180</v>
      </c>
      <c r="G875" s="4">
        <v>39406</v>
      </c>
      <c r="H875" s="1">
        <v>6606238</v>
      </c>
      <c r="I875" s="1">
        <v>661152</v>
      </c>
      <c r="J875" s="5" t="s">
        <v>176</v>
      </c>
      <c r="K875" s="1"/>
      <c r="L875" s="1" t="str">
        <f t="shared" si="54"/>
        <v xml:space="preserve">Oxundaån </v>
      </c>
      <c r="M875" s="1" t="s">
        <v>177</v>
      </c>
      <c r="N875" s="1">
        <v>0.5</v>
      </c>
      <c r="O875" s="1">
        <v>0.5</v>
      </c>
      <c r="Q875" s="1">
        <v>3.2</v>
      </c>
      <c r="T875" s="1">
        <v>48.8</v>
      </c>
      <c r="V875" s="1">
        <v>2.3199999999999998</v>
      </c>
      <c r="W875" s="1">
        <v>36</v>
      </c>
      <c r="X875" s="1">
        <f t="shared" si="55"/>
        <v>0.192885596511427</v>
      </c>
      <c r="Y875" s="1">
        <v>0.03</v>
      </c>
      <c r="Z875" s="1">
        <v>45</v>
      </c>
      <c r="AD875" s="1">
        <v>81</v>
      </c>
      <c r="AE875" s="1">
        <v>7.7</v>
      </c>
      <c r="AG875" s="1">
        <v>1.6</v>
      </c>
      <c r="AI875" s="1">
        <v>9</v>
      </c>
      <c r="AK875" s="1">
        <v>54</v>
      </c>
      <c r="AL875" s="1">
        <v>653</v>
      </c>
      <c r="AR875" s="1">
        <v>54.28</v>
      </c>
      <c r="AS875" s="1">
        <v>8.5999999999999993E-2</v>
      </c>
      <c r="AT875" s="1">
        <v>5.8258999999999999</v>
      </c>
      <c r="AU875" s="1">
        <v>10.224499999999999</v>
      </c>
      <c r="AV875" s="1">
        <v>34.989150000000002</v>
      </c>
      <c r="AW875" s="1">
        <v>27.000380000000003</v>
      </c>
      <c r="AX875" s="1">
        <v>67.366099999999989</v>
      </c>
      <c r="AY875" s="1">
        <v>1.9</v>
      </c>
      <c r="BC875" s="1">
        <v>0.02</v>
      </c>
      <c r="BE875" s="1">
        <v>0.28000000000000003</v>
      </c>
      <c r="BF875" s="1">
        <v>6.6</v>
      </c>
      <c r="BJ875" s="1">
        <v>5.2</v>
      </c>
      <c r="BL875" s="1">
        <v>1.2</v>
      </c>
      <c r="BO875" s="1">
        <v>12</v>
      </c>
    </row>
    <row r="876" spans="4:67" x14ac:dyDescent="0.3">
      <c r="D876" s="2">
        <f t="shared" si="52"/>
        <v>2007</v>
      </c>
      <c r="E876" s="2">
        <f t="shared" si="53"/>
        <v>12</v>
      </c>
      <c r="F876" s="3" t="s">
        <v>175</v>
      </c>
      <c r="G876" s="4">
        <v>39434</v>
      </c>
      <c r="H876" s="1">
        <v>6606238</v>
      </c>
      <c r="I876" s="1">
        <v>661152</v>
      </c>
      <c r="J876" s="5" t="s">
        <v>176</v>
      </c>
      <c r="K876" s="1"/>
      <c r="L876" s="1" t="str">
        <f t="shared" si="54"/>
        <v xml:space="preserve">Oxundaån </v>
      </c>
      <c r="M876" s="1" t="s">
        <v>177</v>
      </c>
      <c r="N876" s="1">
        <v>0.5</v>
      </c>
      <c r="O876" s="1">
        <v>0.5</v>
      </c>
      <c r="Q876" s="1">
        <v>1.4</v>
      </c>
      <c r="T876" s="1">
        <v>48.3</v>
      </c>
      <c r="V876" s="1">
        <v>2.3279999999999998</v>
      </c>
      <c r="W876" s="1">
        <v>63</v>
      </c>
      <c r="X876" s="1">
        <f t="shared" si="55"/>
        <v>0.20629154908698114</v>
      </c>
      <c r="Y876" s="1">
        <v>4.2000000000000003E-2</v>
      </c>
      <c r="Z876" s="1">
        <v>47</v>
      </c>
      <c r="AD876" s="1">
        <v>172</v>
      </c>
      <c r="AE876" s="1">
        <v>7.55</v>
      </c>
      <c r="AG876" s="1">
        <v>3.7</v>
      </c>
      <c r="AI876" s="1">
        <v>9.1</v>
      </c>
      <c r="AK876" s="1">
        <v>46</v>
      </c>
      <c r="AL876" s="1">
        <v>793</v>
      </c>
      <c r="AR876" s="1">
        <v>52.599999999999994</v>
      </c>
      <c r="AS876" s="1">
        <v>0.22</v>
      </c>
      <c r="AT876" s="1">
        <v>5.6303999999999998</v>
      </c>
      <c r="AU876" s="1">
        <v>10.030899999999999</v>
      </c>
      <c r="AV876" s="1">
        <v>39.597650000000002</v>
      </c>
      <c r="AW876" s="1">
        <v>27.344480000000001</v>
      </c>
      <c r="AX876" s="1">
        <v>60.0625</v>
      </c>
      <c r="AY876" s="1">
        <v>2.06</v>
      </c>
      <c r="BC876" s="1">
        <v>2.3E-2</v>
      </c>
      <c r="BE876" s="1">
        <v>0.53</v>
      </c>
      <c r="BF876" s="1">
        <v>6.7</v>
      </c>
      <c r="BJ876" s="1">
        <v>5.2</v>
      </c>
      <c r="BL876" s="1">
        <v>1.6</v>
      </c>
      <c r="BO876" s="1">
        <v>19</v>
      </c>
    </row>
    <row r="877" spans="4:67" x14ac:dyDescent="0.3">
      <c r="D877" s="2">
        <f t="shared" si="52"/>
        <v>2008</v>
      </c>
      <c r="E877" s="2">
        <f t="shared" si="53"/>
        <v>1</v>
      </c>
      <c r="F877" s="3" t="s">
        <v>175</v>
      </c>
      <c r="G877" s="4">
        <v>39462</v>
      </c>
      <c r="H877" s="1">
        <v>6606238</v>
      </c>
      <c r="I877" s="1">
        <v>661152</v>
      </c>
      <c r="J877" s="5" t="s">
        <v>176</v>
      </c>
      <c r="K877" s="1"/>
      <c r="L877" s="1" t="str">
        <f t="shared" si="54"/>
        <v xml:space="preserve">Oxundaån </v>
      </c>
      <c r="M877" s="1" t="s">
        <v>177</v>
      </c>
      <c r="N877" s="1">
        <v>0.5</v>
      </c>
      <c r="O877" s="1">
        <v>0.5</v>
      </c>
      <c r="Q877" s="1">
        <v>1.5</v>
      </c>
      <c r="T877" s="1">
        <v>48.9</v>
      </c>
      <c r="V877" s="1">
        <v>2.41</v>
      </c>
      <c r="W877" s="1">
        <v>68</v>
      </c>
      <c r="X877" s="1">
        <f t="shared" si="55"/>
        <v>0.24610470095466139</v>
      </c>
      <c r="Y877" s="1">
        <v>4.2000000000000003E-2</v>
      </c>
      <c r="Z877" s="1">
        <v>41</v>
      </c>
      <c r="AD877" s="1">
        <v>286</v>
      </c>
      <c r="AE877" s="1">
        <v>7.59</v>
      </c>
      <c r="AI877" s="1">
        <v>9.9</v>
      </c>
      <c r="AK877" s="1">
        <v>57</v>
      </c>
      <c r="AL877" s="1">
        <v>954</v>
      </c>
      <c r="AR877" s="1">
        <v>53.2</v>
      </c>
      <c r="AT877" s="1">
        <v>5.6303999999999998</v>
      </c>
      <c r="AU877" s="1">
        <v>10.042999999999999</v>
      </c>
      <c r="AV877" s="1">
        <v>38.250550000000004</v>
      </c>
      <c r="AW877" s="1">
        <v>27.963860000000004</v>
      </c>
      <c r="AX877" s="1">
        <v>54.104299999999995</v>
      </c>
      <c r="AY877" s="1">
        <v>2.62</v>
      </c>
    </row>
    <row r="878" spans="4:67" x14ac:dyDescent="0.3">
      <c r="D878" s="2">
        <f t="shared" si="52"/>
        <v>2008</v>
      </c>
      <c r="E878" s="2">
        <f t="shared" si="53"/>
        <v>2</v>
      </c>
      <c r="F878" s="3" t="s">
        <v>175</v>
      </c>
      <c r="G878" s="4">
        <v>39497</v>
      </c>
      <c r="H878" s="1">
        <v>6606238</v>
      </c>
      <c r="I878" s="1">
        <v>661152</v>
      </c>
      <c r="J878" s="5" t="s">
        <v>176</v>
      </c>
      <c r="K878" s="1"/>
      <c r="L878" s="1" t="str">
        <f t="shared" si="54"/>
        <v xml:space="preserve">Oxundaån </v>
      </c>
      <c r="M878" s="1" t="s">
        <v>177</v>
      </c>
      <c r="N878" s="1">
        <v>0.5</v>
      </c>
      <c r="O878" s="1">
        <v>0.5</v>
      </c>
      <c r="Q878" s="1">
        <v>1.8</v>
      </c>
      <c r="T878" s="1">
        <v>52.7</v>
      </c>
      <c r="V878" s="1">
        <v>2.1960000000000002</v>
      </c>
      <c r="W878" s="1">
        <v>11</v>
      </c>
      <c r="X878" s="1">
        <f t="shared" si="55"/>
        <v>3.9888327508024769E-2</v>
      </c>
      <c r="Y878" s="1">
        <v>5.0999999999999997E-2</v>
      </c>
      <c r="Z878" s="1">
        <v>16</v>
      </c>
      <c r="AD878" s="1">
        <v>1086</v>
      </c>
      <c r="AE878" s="1">
        <v>7.58</v>
      </c>
      <c r="AI878" s="1">
        <v>10.199999999999999</v>
      </c>
      <c r="AK878" s="1">
        <v>42</v>
      </c>
      <c r="AL878" s="1">
        <v>1648</v>
      </c>
      <c r="AR878" s="1">
        <v>60.16</v>
      </c>
      <c r="AT878" s="1">
        <v>6.0605000000000002</v>
      </c>
      <c r="AU878" s="1">
        <v>11.870099999999999</v>
      </c>
      <c r="AV878" s="1">
        <v>39.172250000000005</v>
      </c>
      <c r="AW878" s="1">
        <v>27.986800000000002</v>
      </c>
      <c r="AX878" s="1">
        <v>88.075649999999996</v>
      </c>
      <c r="AY878" s="1">
        <v>5.12</v>
      </c>
    </row>
    <row r="879" spans="4:67" x14ac:dyDescent="0.3">
      <c r="D879" s="2">
        <f t="shared" si="52"/>
        <v>2008</v>
      </c>
      <c r="E879" s="2">
        <f t="shared" si="53"/>
        <v>3</v>
      </c>
      <c r="F879" s="3" t="s">
        <v>175</v>
      </c>
      <c r="G879" s="4">
        <v>39511</v>
      </c>
      <c r="J879" s="1" t="s">
        <v>182</v>
      </c>
      <c r="K879" s="1"/>
      <c r="L879" s="1" t="str">
        <f t="shared" si="54"/>
        <v xml:space="preserve">Edssjön </v>
      </c>
      <c r="M879" s="1" t="s">
        <v>177</v>
      </c>
      <c r="P879" s="1">
        <v>1.7</v>
      </c>
      <c r="Q879" s="1">
        <v>2</v>
      </c>
      <c r="R879" s="1">
        <v>14.1</v>
      </c>
      <c r="S879" s="1">
        <v>103</v>
      </c>
      <c r="W879" s="1">
        <v>11</v>
      </c>
      <c r="Z879" s="1">
        <v>3</v>
      </c>
      <c r="AC879" s="1">
        <v>49.5</v>
      </c>
      <c r="AD879" s="1">
        <v>538</v>
      </c>
      <c r="AK879" s="1">
        <v>51</v>
      </c>
      <c r="AL879" s="1">
        <v>1332</v>
      </c>
    </row>
    <row r="880" spans="4:67" x14ac:dyDescent="0.3">
      <c r="D880" s="2">
        <f t="shared" si="52"/>
        <v>2008</v>
      </c>
      <c r="E880" s="2">
        <f t="shared" si="53"/>
        <v>3</v>
      </c>
      <c r="F880" s="3" t="s">
        <v>175</v>
      </c>
      <c r="G880" s="4">
        <v>39511</v>
      </c>
      <c r="J880" s="1" t="s">
        <v>182</v>
      </c>
      <c r="K880" s="1"/>
      <c r="L880" s="1" t="str">
        <f t="shared" si="54"/>
        <v xml:space="preserve">Edssjön </v>
      </c>
      <c r="M880" s="1" t="s">
        <v>184</v>
      </c>
      <c r="Q880" s="1">
        <v>2.1</v>
      </c>
      <c r="R880" s="1">
        <v>13.8</v>
      </c>
      <c r="S880" s="1">
        <v>100</v>
      </c>
      <c r="W880" s="1">
        <v>8</v>
      </c>
      <c r="Z880" s="1">
        <v>7</v>
      </c>
      <c r="AC880" s="1">
        <v>49.5</v>
      </c>
      <c r="AD880" s="1">
        <v>528</v>
      </c>
      <c r="AK880" s="1">
        <v>51</v>
      </c>
      <c r="AL880" s="1">
        <v>1319</v>
      </c>
    </row>
    <row r="881" spans="4:38" x14ac:dyDescent="0.3">
      <c r="D881" s="2">
        <f t="shared" si="52"/>
        <v>2008</v>
      </c>
      <c r="E881" s="2">
        <f t="shared" si="53"/>
        <v>3</v>
      </c>
      <c r="F881" s="3" t="s">
        <v>175</v>
      </c>
      <c r="G881" s="4">
        <v>39511</v>
      </c>
      <c r="J881" s="1" t="s">
        <v>182</v>
      </c>
      <c r="K881" s="1"/>
      <c r="L881" s="1" t="str">
        <f t="shared" si="54"/>
        <v xml:space="preserve">Edssjön </v>
      </c>
      <c r="M881" s="1" t="s">
        <v>200</v>
      </c>
      <c r="Q881" s="1">
        <v>2.1</v>
      </c>
      <c r="R881" s="1">
        <v>14</v>
      </c>
      <c r="S881" s="1">
        <v>102</v>
      </c>
      <c r="AC881" s="1">
        <v>49.5</v>
      </c>
    </row>
    <row r="882" spans="4:38" x14ac:dyDescent="0.3">
      <c r="D882" s="2">
        <f t="shared" si="52"/>
        <v>2008</v>
      </c>
      <c r="E882" s="2">
        <f t="shared" si="53"/>
        <v>3</v>
      </c>
      <c r="F882" s="3" t="s">
        <v>175</v>
      </c>
      <c r="G882" s="4">
        <v>39511</v>
      </c>
      <c r="J882" s="1" t="s">
        <v>182</v>
      </c>
      <c r="K882" s="1"/>
      <c r="L882" s="1" t="str">
        <f t="shared" si="54"/>
        <v xml:space="preserve">Edssjön </v>
      </c>
      <c r="M882" s="1" t="s">
        <v>195</v>
      </c>
      <c r="Q882" s="1">
        <v>2.1</v>
      </c>
      <c r="R882" s="1">
        <v>14.1</v>
      </c>
      <c r="S882" s="1">
        <v>103</v>
      </c>
      <c r="AC882" s="1">
        <v>49.5</v>
      </c>
    </row>
    <row r="883" spans="4:38" x14ac:dyDescent="0.3">
      <c r="D883" s="2">
        <f t="shared" si="52"/>
        <v>2008</v>
      </c>
      <c r="E883" s="2">
        <f t="shared" si="53"/>
        <v>3</v>
      </c>
      <c r="F883" s="3" t="s">
        <v>175</v>
      </c>
      <c r="G883" s="4">
        <v>39511</v>
      </c>
      <c r="J883" s="1" t="s">
        <v>182</v>
      </c>
      <c r="K883" s="1"/>
      <c r="L883" s="1" t="str">
        <f t="shared" si="54"/>
        <v xml:space="preserve">Edssjön </v>
      </c>
      <c r="M883" s="1" t="s">
        <v>196</v>
      </c>
      <c r="Q883" s="1">
        <v>2</v>
      </c>
      <c r="R883" s="1">
        <v>14.1</v>
      </c>
      <c r="S883" s="1">
        <v>103</v>
      </c>
      <c r="AC883" s="1">
        <v>49.5</v>
      </c>
    </row>
    <row r="884" spans="4:38" x14ac:dyDescent="0.3">
      <c r="D884" s="2">
        <f t="shared" si="52"/>
        <v>2008</v>
      </c>
      <c r="E884" s="2">
        <f t="shared" si="53"/>
        <v>3</v>
      </c>
      <c r="F884" s="3" t="s">
        <v>175</v>
      </c>
      <c r="G884" s="4">
        <v>39511</v>
      </c>
      <c r="J884" s="1" t="s">
        <v>182</v>
      </c>
      <c r="K884" s="1"/>
      <c r="L884" s="1" t="str">
        <f t="shared" si="54"/>
        <v xml:space="preserve">Edssjön </v>
      </c>
      <c r="M884" s="1" t="s">
        <v>197</v>
      </c>
      <c r="Q884" s="1">
        <v>2.1</v>
      </c>
      <c r="R884" s="1">
        <v>14.1</v>
      </c>
      <c r="S884" s="1">
        <v>103</v>
      </c>
      <c r="AC884" s="1">
        <v>49.5</v>
      </c>
    </row>
    <row r="885" spans="4:38" x14ac:dyDescent="0.3">
      <c r="D885" s="2">
        <f t="shared" si="52"/>
        <v>2008</v>
      </c>
      <c r="E885" s="2">
        <f t="shared" si="53"/>
        <v>3</v>
      </c>
      <c r="F885" s="3" t="s">
        <v>175</v>
      </c>
      <c r="G885" s="4">
        <v>39511</v>
      </c>
      <c r="J885" s="1" t="s">
        <v>182</v>
      </c>
      <c r="K885" s="1"/>
      <c r="L885" s="1" t="str">
        <f t="shared" si="54"/>
        <v xml:space="preserve">Edssjön </v>
      </c>
      <c r="M885" s="1" t="s">
        <v>194</v>
      </c>
      <c r="Q885" s="1">
        <v>2</v>
      </c>
      <c r="R885" s="1">
        <v>14.1</v>
      </c>
      <c r="S885" s="1">
        <v>103</v>
      </c>
      <c r="AC885" s="1">
        <v>49.5</v>
      </c>
    </row>
    <row r="886" spans="4:38" x14ac:dyDescent="0.3">
      <c r="D886" s="2">
        <f t="shared" si="52"/>
        <v>2008</v>
      </c>
      <c r="E886" s="2">
        <f t="shared" si="53"/>
        <v>3</v>
      </c>
      <c r="F886" s="3" t="s">
        <v>175</v>
      </c>
      <c r="G886" s="4">
        <v>39511</v>
      </c>
      <c r="J886" s="1" t="s">
        <v>183</v>
      </c>
      <c r="K886" s="1"/>
      <c r="L886" s="1" t="str">
        <f t="shared" si="54"/>
        <v xml:space="preserve">Fjäturen </v>
      </c>
      <c r="M886" s="1" t="s">
        <v>177</v>
      </c>
      <c r="P886" s="1">
        <v>2.1</v>
      </c>
      <c r="Q886" s="1">
        <v>2.2999999999999998</v>
      </c>
      <c r="R886" s="1">
        <v>13.6</v>
      </c>
      <c r="S886" s="1">
        <v>100</v>
      </c>
      <c r="W886" s="1">
        <v>7</v>
      </c>
      <c r="Z886" s="1">
        <v>0.1</v>
      </c>
      <c r="AC886" s="1">
        <v>33.4</v>
      </c>
      <c r="AD886" s="1">
        <v>250</v>
      </c>
      <c r="AK886" s="1">
        <v>19</v>
      </c>
      <c r="AL886" s="1">
        <v>791</v>
      </c>
    </row>
    <row r="887" spans="4:38" x14ac:dyDescent="0.3">
      <c r="D887" s="2">
        <f t="shared" si="52"/>
        <v>2008</v>
      </c>
      <c r="E887" s="2">
        <f t="shared" si="53"/>
        <v>3</v>
      </c>
      <c r="F887" s="3" t="s">
        <v>175</v>
      </c>
      <c r="G887" s="4">
        <v>39511</v>
      </c>
      <c r="J887" s="1" t="s">
        <v>183</v>
      </c>
      <c r="K887" s="1"/>
      <c r="L887" s="1" t="str">
        <f t="shared" si="54"/>
        <v xml:space="preserve">Fjäturen </v>
      </c>
      <c r="M887" s="1" t="s">
        <v>184</v>
      </c>
      <c r="Q887" s="1">
        <v>2.2999999999999998</v>
      </c>
      <c r="R887" s="1">
        <v>13.5</v>
      </c>
      <c r="S887" s="1">
        <v>99</v>
      </c>
      <c r="W887" s="1">
        <v>9</v>
      </c>
      <c r="Z887" s="1">
        <v>1</v>
      </c>
      <c r="AC887" s="1">
        <v>33.5</v>
      </c>
      <c r="AD887" s="1">
        <v>252</v>
      </c>
      <c r="AK887" s="1">
        <v>21</v>
      </c>
      <c r="AL887" s="1">
        <v>789</v>
      </c>
    </row>
    <row r="888" spans="4:38" x14ac:dyDescent="0.3">
      <c r="D888" s="2">
        <f t="shared" si="52"/>
        <v>2008</v>
      </c>
      <c r="E888" s="2">
        <f t="shared" si="53"/>
        <v>3</v>
      </c>
      <c r="F888" s="3" t="s">
        <v>175</v>
      </c>
      <c r="G888" s="4">
        <v>39511</v>
      </c>
      <c r="J888" s="1" t="s">
        <v>183</v>
      </c>
      <c r="K888" s="1"/>
      <c r="L888" s="1" t="str">
        <f t="shared" si="54"/>
        <v xml:space="preserve">Fjäturen </v>
      </c>
      <c r="M888" s="1" t="s">
        <v>198</v>
      </c>
      <c r="Q888" s="1">
        <v>2.2999999999999998</v>
      </c>
      <c r="R888" s="1">
        <v>13.6</v>
      </c>
      <c r="S888" s="1">
        <v>100</v>
      </c>
      <c r="AC888" s="1">
        <v>33.5</v>
      </c>
    </row>
    <row r="889" spans="4:38" x14ac:dyDescent="0.3">
      <c r="D889" s="2">
        <f t="shared" si="52"/>
        <v>2008</v>
      </c>
      <c r="E889" s="2">
        <f t="shared" si="53"/>
        <v>3</v>
      </c>
      <c r="F889" s="3" t="s">
        <v>175</v>
      </c>
      <c r="G889" s="4">
        <v>39511</v>
      </c>
      <c r="J889" s="1" t="s">
        <v>183</v>
      </c>
      <c r="K889" s="1"/>
      <c r="L889" s="1" t="str">
        <f t="shared" si="54"/>
        <v xml:space="preserve">Fjäturen </v>
      </c>
      <c r="M889" s="1" t="s">
        <v>199</v>
      </c>
      <c r="Q889" s="1">
        <v>2.2999999999999998</v>
      </c>
      <c r="R889" s="1">
        <v>13.6</v>
      </c>
      <c r="S889" s="1">
        <v>100</v>
      </c>
      <c r="AC889" s="1">
        <v>33.5</v>
      </c>
    </row>
    <row r="890" spans="4:38" x14ac:dyDescent="0.3">
      <c r="D890" s="2">
        <f t="shared" si="52"/>
        <v>2008</v>
      </c>
      <c r="E890" s="2">
        <f t="shared" si="53"/>
        <v>3</v>
      </c>
      <c r="F890" s="3" t="s">
        <v>175</v>
      </c>
      <c r="G890" s="4">
        <v>39511</v>
      </c>
      <c r="J890" s="1" t="s">
        <v>183</v>
      </c>
      <c r="K890" s="1"/>
      <c r="L890" s="1" t="str">
        <f t="shared" si="54"/>
        <v xml:space="preserve">Fjäturen </v>
      </c>
      <c r="M890" s="1" t="s">
        <v>200</v>
      </c>
      <c r="Q890" s="1">
        <v>2.2999999999999998</v>
      </c>
      <c r="R890" s="1">
        <v>13.5</v>
      </c>
      <c r="S890" s="1">
        <v>99</v>
      </c>
      <c r="AC890" s="1">
        <v>33.5</v>
      </c>
    </row>
    <row r="891" spans="4:38" x14ac:dyDescent="0.3">
      <c r="D891" s="2">
        <f t="shared" si="52"/>
        <v>2008</v>
      </c>
      <c r="E891" s="2">
        <f t="shared" si="53"/>
        <v>3</v>
      </c>
      <c r="F891" s="3" t="s">
        <v>175</v>
      </c>
      <c r="G891" s="4">
        <v>39511</v>
      </c>
      <c r="J891" s="1" t="s">
        <v>183</v>
      </c>
      <c r="K891" s="1"/>
      <c r="L891" s="1" t="str">
        <f t="shared" si="54"/>
        <v xml:space="preserve">Fjäturen </v>
      </c>
      <c r="M891" s="1" t="s">
        <v>195</v>
      </c>
      <c r="Q891" s="1">
        <v>2.2999999999999998</v>
      </c>
      <c r="R891" s="1">
        <v>13.5</v>
      </c>
      <c r="S891" s="1">
        <v>99</v>
      </c>
      <c r="AC891" s="1">
        <v>33.5</v>
      </c>
    </row>
    <row r="892" spans="4:38" x14ac:dyDescent="0.3">
      <c r="D892" s="2">
        <f t="shared" si="52"/>
        <v>2008</v>
      </c>
      <c r="E892" s="2">
        <f t="shared" si="53"/>
        <v>3</v>
      </c>
      <c r="F892" s="3" t="s">
        <v>175</v>
      </c>
      <c r="G892" s="4">
        <v>39511</v>
      </c>
      <c r="J892" s="1" t="s">
        <v>183</v>
      </c>
      <c r="K892" s="1"/>
      <c r="L892" s="1" t="str">
        <f t="shared" si="54"/>
        <v xml:space="preserve">Fjäturen </v>
      </c>
      <c r="M892" s="1" t="s">
        <v>196</v>
      </c>
      <c r="Q892" s="1">
        <v>2.2999999999999998</v>
      </c>
      <c r="R892" s="1">
        <v>13.5</v>
      </c>
      <c r="S892" s="1">
        <v>99</v>
      </c>
      <c r="AC892" s="1">
        <v>33.5</v>
      </c>
    </row>
    <row r="893" spans="4:38" x14ac:dyDescent="0.3">
      <c r="D893" s="2">
        <f t="shared" si="52"/>
        <v>2008</v>
      </c>
      <c r="E893" s="2">
        <f t="shared" si="53"/>
        <v>3</v>
      </c>
      <c r="F893" s="3" t="s">
        <v>175</v>
      </c>
      <c r="G893" s="4">
        <v>39511</v>
      </c>
      <c r="J893" s="1" t="s">
        <v>183</v>
      </c>
      <c r="K893" s="1"/>
      <c r="L893" s="1" t="str">
        <f t="shared" si="54"/>
        <v xml:space="preserve">Fjäturen </v>
      </c>
      <c r="M893" s="1" t="s">
        <v>197</v>
      </c>
      <c r="Q893" s="1">
        <v>2.2999999999999998</v>
      </c>
      <c r="R893" s="1">
        <v>13.5</v>
      </c>
      <c r="S893" s="1">
        <v>99</v>
      </c>
      <c r="AC893" s="1">
        <v>33.5</v>
      </c>
    </row>
    <row r="894" spans="4:38" x14ac:dyDescent="0.3">
      <c r="D894" s="2">
        <f t="shared" si="52"/>
        <v>2008</v>
      </c>
      <c r="E894" s="2">
        <f t="shared" si="53"/>
        <v>3</v>
      </c>
      <c r="F894" s="3" t="s">
        <v>175</v>
      </c>
      <c r="G894" s="4">
        <v>39511</v>
      </c>
      <c r="J894" s="1" t="s">
        <v>183</v>
      </c>
      <c r="K894" s="1"/>
      <c r="L894" s="1" t="str">
        <f t="shared" si="54"/>
        <v xml:space="preserve">Fjäturen </v>
      </c>
      <c r="M894" s="1" t="s">
        <v>194</v>
      </c>
      <c r="Q894" s="1">
        <v>2.2999999999999998</v>
      </c>
      <c r="R894" s="1">
        <v>13.6</v>
      </c>
      <c r="S894" s="1">
        <v>100</v>
      </c>
      <c r="AC894" s="1">
        <v>33.5</v>
      </c>
    </row>
    <row r="895" spans="4:38" x14ac:dyDescent="0.3">
      <c r="D895" s="2">
        <f t="shared" si="52"/>
        <v>2008</v>
      </c>
      <c r="E895" s="2">
        <f t="shared" si="53"/>
        <v>3</v>
      </c>
      <c r="F895" s="3" t="s">
        <v>175</v>
      </c>
      <c r="G895" s="4">
        <v>39511</v>
      </c>
      <c r="J895" s="1" t="s">
        <v>185</v>
      </c>
      <c r="K895" s="1"/>
      <c r="L895" s="1" t="str">
        <f t="shared" si="54"/>
        <v xml:space="preserve">Gullsjön </v>
      </c>
      <c r="M895" s="1" t="s">
        <v>177</v>
      </c>
      <c r="P895" s="1">
        <v>1.8</v>
      </c>
      <c r="Q895" s="1">
        <v>2.7</v>
      </c>
      <c r="R895" s="1">
        <v>8.5</v>
      </c>
      <c r="S895" s="1">
        <v>62</v>
      </c>
      <c r="W895" s="1">
        <v>28</v>
      </c>
      <c r="Z895" s="1">
        <v>0.1</v>
      </c>
      <c r="AC895" s="1">
        <v>42.1</v>
      </c>
      <c r="AD895" s="1">
        <v>58</v>
      </c>
      <c r="AK895" s="1">
        <v>19</v>
      </c>
      <c r="AL895" s="1">
        <v>697</v>
      </c>
    </row>
    <row r="896" spans="4:38" x14ac:dyDescent="0.3">
      <c r="D896" s="2">
        <f t="shared" si="52"/>
        <v>2008</v>
      </c>
      <c r="E896" s="2">
        <f t="shared" si="53"/>
        <v>3</v>
      </c>
      <c r="F896" s="3" t="s">
        <v>175</v>
      </c>
      <c r="G896" s="4">
        <v>39511</v>
      </c>
      <c r="J896" s="1" t="s">
        <v>185</v>
      </c>
      <c r="K896" s="1"/>
      <c r="L896" s="1" t="str">
        <f t="shared" si="54"/>
        <v xml:space="preserve">Gullsjön </v>
      </c>
      <c r="M896" s="1" t="s">
        <v>184</v>
      </c>
      <c r="Q896" s="1">
        <v>2.6</v>
      </c>
      <c r="R896" s="1">
        <v>8.1999999999999993</v>
      </c>
      <c r="S896" s="1">
        <v>61</v>
      </c>
      <c r="W896" s="1">
        <v>29</v>
      </c>
      <c r="Z896" s="1">
        <v>7</v>
      </c>
      <c r="AC896" s="1">
        <v>42.1</v>
      </c>
      <c r="AD896" s="1">
        <v>58</v>
      </c>
      <c r="AK896" s="1">
        <v>18</v>
      </c>
      <c r="AL896" s="1">
        <v>701</v>
      </c>
    </row>
    <row r="897" spans="4:38" x14ac:dyDescent="0.3">
      <c r="D897" s="2">
        <f t="shared" si="52"/>
        <v>2008</v>
      </c>
      <c r="E897" s="2">
        <f t="shared" si="53"/>
        <v>3</v>
      </c>
      <c r="F897" s="3" t="s">
        <v>175</v>
      </c>
      <c r="G897" s="4">
        <v>39511</v>
      </c>
      <c r="J897" s="1" t="s">
        <v>185</v>
      </c>
      <c r="K897" s="1"/>
      <c r="L897" s="1" t="str">
        <f t="shared" si="54"/>
        <v xml:space="preserve">Gullsjön </v>
      </c>
      <c r="M897" s="1" t="s">
        <v>194</v>
      </c>
      <c r="Q897" s="1">
        <v>2.6</v>
      </c>
      <c r="R897" s="1">
        <v>8.3000000000000007</v>
      </c>
      <c r="S897" s="1">
        <v>61</v>
      </c>
      <c r="AC897" s="1">
        <v>42.1</v>
      </c>
    </row>
    <row r="898" spans="4:38" x14ac:dyDescent="0.3">
      <c r="D898" s="2">
        <f t="shared" ref="D898:D961" si="56">YEAR(G898)</f>
        <v>2008</v>
      </c>
      <c r="E898" s="2">
        <f t="shared" ref="E898:E961" si="57">MONTH(G898)</f>
        <v>3</v>
      </c>
      <c r="F898" s="3" t="s">
        <v>175</v>
      </c>
      <c r="G898" s="4">
        <v>39511</v>
      </c>
      <c r="J898" s="1" t="s">
        <v>201</v>
      </c>
      <c r="K898" s="1"/>
      <c r="L898" s="1" t="str">
        <f t="shared" ref="L898:L961" si="58">CONCATENATE(J898," ",K898)</f>
        <v xml:space="preserve">Mörtsjön </v>
      </c>
      <c r="M898" s="1" t="s">
        <v>177</v>
      </c>
      <c r="P898" s="1">
        <v>2.5</v>
      </c>
      <c r="Q898" s="1">
        <v>3.8</v>
      </c>
      <c r="R898" s="1">
        <v>10.199999999999999</v>
      </c>
      <c r="S898" s="1">
        <v>78</v>
      </c>
      <c r="W898" s="1">
        <v>12</v>
      </c>
      <c r="Z898" s="1">
        <v>2</v>
      </c>
      <c r="AC898" s="1">
        <v>34</v>
      </c>
      <c r="AD898" s="1">
        <v>712</v>
      </c>
      <c r="AK898" s="1">
        <v>24</v>
      </c>
      <c r="AL898" s="1">
        <v>1407</v>
      </c>
    </row>
    <row r="899" spans="4:38" x14ac:dyDescent="0.3">
      <c r="D899" s="2">
        <f t="shared" si="56"/>
        <v>2008</v>
      </c>
      <c r="E899" s="2">
        <f t="shared" si="57"/>
        <v>3</v>
      </c>
      <c r="F899" s="3" t="s">
        <v>175</v>
      </c>
      <c r="G899" s="4">
        <v>39511</v>
      </c>
      <c r="J899" s="1" t="s">
        <v>201</v>
      </c>
      <c r="K899" s="1"/>
      <c r="L899" s="1" t="str">
        <f t="shared" si="58"/>
        <v xml:space="preserve">Mörtsjön </v>
      </c>
      <c r="M899" s="1" t="s">
        <v>184</v>
      </c>
      <c r="Q899" s="1">
        <v>3.6</v>
      </c>
      <c r="R899" s="1">
        <v>6.2</v>
      </c>
      <c r="S899" s="1">
        <v>47</v>
      </c>
      <c r="W899" s="1">
        <v>20</v>
      </c>
      <c r="Z899" s="1">
        <v>2</v>
      </c>
      <c r="AC899" s="1">
        <v>39.6</v>
      </c>
      <c r="AD899" s="1">
        <v>796</v>
      </c>
      <c r="AK899" s="1">
        <v>22</v>
      </c>
      <c r="AL899" s="1">
        <v>1444</v>
      </c>
    </row>
    <row r="900" spans="4:38" x14ac:dyDescent="0.3">
      <c r="D900" s="2">
        <f t="shared" si="56"/>
        <v>2008</v>
      </c>
      <c r="E900" s="2">
        <f t="shared" si="57"/>
        <v>3</v>
      </c>
      <c r="F900" s="3" t="s">
        <v>175</v>
      </c>
      <c r="G900" s="4">
        <v>39511</v>
      </c>
      <c r="J900" s="1" t="s">
        <v>201</v>
      </c>
      <c r="K900" s="1"/>
      <c r="L900" s="1" t="str">
        <f t="shared" si="58"/>
        <v xml:space="preserve">Mörtsjön </v>
      </c>
      <c r="M900" s="1" t="s">
        <v>196</v>
      </c>
      <c r="Q900" s="1">
        <v>3.7</v>
      </c>
      <c r="R900" s="1">
        <v>9.9</v>
      </c>
      <c r="S900" s="1">
        <v>76</v>
      </c>
      <c r="AC900" s="1">
        <v>34.4</v>
      </c>
    </row>
    <row r="901" spans="4:38" x14ac:dyDescent="0.3">
      <c r="D901" s="2">
        <f t="shared" si="56"/>
        <v>2008</v>
      </c>
      <c r="E901" s="2">
        <f t="shared" si="57"/>
        <v>3</v>
      </c>
      <c r="F901" s="3" t="s">
        <v>175</v>
      </c>
      <c r="G901" s="4">
        <v>39511</v>
      </c>
      <c r="J901" s="1" t="s">
        <v>201</v>
      </c>
      <c r="K901" s="1"/>
      <c r="L901" s="1" t="str">
        <f t="shared" si="58"/>
        <v xml:space="preserve">Mörtsjön </v>
      </c>
      <c r="M901" s="1" t="s">
        <v>197</v>
      </c>
      <c r="Q901" s="1">
        <v>3.7</v>
      </c>
      <c r="R901" s="1">
        <v>10.1</v>
      </c>
      <c r="S901" s="1">
        <v>77</v>
      </c>
      <c r="AC901" s="1">
        <v>34.1</v>
      </c>
    </row>
    <row r="902" spans="4:38" x14ac:dyDescent="0.3">
      <c r="D902" s="2">
        <f t="shared" si="56"/>
        <v>2008</v>
      </c>
      <c r="E902" s="2">
        <f t="shared" si="57"/>
        <v>3</v>
      </c>
      <c r="F902" s="3" t="s">
        <v>175</v>
      </c>
      <c r="G902" s="4">
        <v>39511</v>
      </c>
      <c r="J902" s="1" t="s">
        <v>201</v>
      </c>
      <c r="K902" s="1"/>
      <c r="L902" s="1" t="str">
        <f t="shared" si="58"/>
        <v xml:space="preserve">Mörtsjön </v>
      </c>
      <c r="M902" s="1" t="s">
        <v>194</v>
      </c>
      <c r="Q902" s="1">
        <v>3.7</v>
      </c>
      <c r="R902" s="1">
        <v>10.1</v>
      </c>
      <c r="S902" s="1">
        <v>78</v>
      </c>
      <c r="AC902" s="1">
        <v>34.1</v>
      </c>
    </row>
    <row r="903" spans="4:38" x14ac:dyDescent="0.3">
      <c r="D903" s="2">
        <f t="shared" si="56"/>
        <v>2008</v>
      </c>
      <c r="E903" s="2">
        <f t="shared" si="57"/>
        <v>3</v>
      </c>
      <c r="F903" s="3" t="s">
        <v>175</v>
      </c>
      <c r="G903" s="4">
        <v>39511</v>
      </c>
      <c r="J903" s="1" t="s">
        <v>187</v>
      </c>
      <c r="K903" s="1"/>
      <c r="L903" s="1" t="str">
        <f t="shared" si="58"/>
        <v xml:space="preserve">Oxundasjön </v>
      </c>
      <c r="M903" s="1" t="s">
        <v>177</v>
      </c>
      <c r="P903" s="1">
        <v>1.6</v>
      </c>
      <c r="Q903" s="1">
        <v>1.8</v>
      </c>
      <c r="R903" s="1">
        <v>14.7</v>
      </c>
      <c r="S903" s="1">
        <v>106</v>
      </c>
      <c r="W903" s="1">
        <v>0.1</v>
      </c>
      <c r="Z903" s="1">
        <v>22</v>
      </c>
      <c r="AC903" s="1">
        <v>52.4</v>
      </c>
      <c r="AD903" s="1">
        <v>973</v>
      </c>
      <c r="AK903" s="1">
        <v>37</v>
      </c>
      <c r="AL903" s="1">
        <v>1686</v>
      </c>
    </row>
    <row r="904" spans="4:38" x14ac:dyDescent="0.3">
      <c r="D904" s="2">
        <f t="shared" si="56"/>
        <v>2008</v>
      </c>
      <c r="E904" s="2">
        <f t="shared" si="57"/>
        <v>3</v>
      </c>
      <c r="F904" s="3" t="s">
        <v>175</v>
      </c>
      <c r="G904" s="4">
        <v>39511</v>
      </c>
      <c r="J904" s="1" t="s">
        <v>187</v>
      </c>
      <c r="K904" s="1"/>
      <c r="L904" s="1" t="str">
        <f t="shared" si="58"/>
        <v xml:space="preserve">Oxundasjön </v>
      </c>
      <c r="M904" s="1" t="s">
        <v>184</v>
      </c>
      <c r="Q904" s="1">
        <v>2.2000000000000002</v>
      </c>
      <c r="R904" s="1">
        <v>14.6</v>
      </c>
      <c r="S904" s="1">
        <v>105</v>
      </c>
      <c r="W904" s="1">
        <v>0.1</v>
      </c>
      <c r="Z904" s="1">
        <v>11</v>
      </c>
      <c r="AC904" s="1">
        <v>52.8</v>
      </c>
      <c r="AD904" s="1">
        <v>978</v>
      </c>
      <c r="AK904" s="1">
        <v>35</v>
      </c>
      <c r="AL904" s="1">
        <v>1654</v>
      </c>
    </row>
    <row r="905" spans="4:38" x14ac:dyDescent="0.3">
      <c r="D905" s="2">
        <f t="shared" si="56"/>
        <v>2008</v>
      </c>
      <c r="E905" s="2">
        <f t="shared" si="57"/>
        <v>3</v>
      </c>
      <c r="F905" s="3" t="s">
        <v>175</v>
      </c>
      <c r="G905" s="4">
        <v>39511</v>
      </c>
      <c r="J905" s="1" t="s">
        <v>187</v>
      </c>
      <c r="K905" s="1"/>
      <c r="L905" s="1" t="str">
        <f t="shared" si="58"/>
        <v xml:space="preserve">Oxundasjön </v>
      </c>
      <c r="M905" s="1" t="s">
        <v>200</v>
      </c>
      <c r="Q905" s="1">
        <v>2</v>
      </c>
      <c r="R905" s="1">
        <v>14.8</v>
      </c>
      <c r="S905" s="1">
        <v>107</v>
      </c>
      <c r="AC905" s="1">
        <v>52.8</v>
      </c>
    </row>
    <row r="906" spans="4:38" x14ac:dyDescent="0.3">
      <c r="D906" s="2">
        <f t="shared" si="56"/>
        <v>2008</v>
      </c>
      <c r="E906" s="2">
        <f t="shared" si="57"/>
        <v>3</v>
      </c>
      <c r="F906" s="3" t="s">
        <v>175</v>
      </c>
      <c r="G906" s="4">
        <v>39511</v>
      </c>
      <c r="J906" s="1" t="s">
        <v>187</v>
      </c>
      <c r="K906" s="1"/>
      <c r="L906" s="1" t="str">
        <f t="shared" si="58"/>
        <v xml:space="preserve">Oxundasjön </v>
      </c>
      <c r="M906" s="1" t="s">
        <v>195</v>
      </c>
      <c r="Q906" s="1">
        <v>2</v>
      </c>
      <c r="R906" s="1">
        <v>14.9</v>
      </c>
      <c r="S906" s="1">
        <v>107</v>
      </c>
      <c r="AC906" s="1">
        <v>52.8</v>
      </c>
    </row>
    <row r="907" spans="4:38" x14ac:dyDescent="0.3">
      <c r="D907" s="2">
        <f t="shared" si="56"/>
        <v>2008</v>
      </c>
      <c r="E907" s="2">
        <f t="shared" si="57"/>
        <v>3</v>
      </c>
      <c r="F907" s="3" t="s">
        <v>175</v>
      </c>
      <c r="G907" s="4">
        <v>39511</v>
      </c>
      <c r="J907" s="1" t="s">
        <v>187</v>
      </c>
      <c r="K907" s="1"/>
      <c r="L907" s="1" t="str">
        <f t="shared" si="58"/>
        <v xml:space="preserve">Oxundasjön </v>
      </c>
      <c r="M907" s="1" t="s">
        <v>196</v>
      </c>
      <c r="Q907" s="1">
        <v>1.8</v>
      </c>
      <c r="R907" s="1">
        <v>14.9</v>
      </c>
      <c r="S907" s="1">
        <v>107</v>
      </c>
      <c r="AC907" s="1">
        <v>52.8</v>
      </c>
    </row>
    <row r="908" spans="4:38" x14ac:dyDescent="0.3">
      <c r="D908" s="2">
        <f t="shared" si="56"/>
        <v>2008</v>
      </c>
      <c r="E908" s="2">
        <f t="shared" si="57"/>
        <v>3</v>
      </c>
      <c r="F908" s="3" t="s">
        <v>175</v>
      </c>
      <c r="G908" s="4">
        <v>39511</v>
      </c>
      <c r="J908" s="1" t="s">
        <v>187</v>
      </c>
      <c r="K908" s="1"/>
      <c r="L908" s="1" t="str">
        <f t="shared" si="58"/>
        <v xml:space="preserve">Oxundasjön </v>
      </c>
      <c r="M908" s="1" t="s">
        <v>197</v>
      </c>
      <c r="Q908" s="1">
        <v>1.8</v>
      </c>
      <c r="R908" s="1">
        <v>14.8</v>
      </c>
      <c r="S908" s="1">
        <v>107</v>
      </c>
      <c r="AC908" s="1">
        <v>52.9</v>
      </c>
    </row>
    <row r="909" spans="4:38" x14ac:dyDescent="0.3">
      <c r="D909" s="2">
        <f t="shared" si="56"/>
        <v>2008</v>
      </c>
      <c r="E909" s="2">
        <f t="shared" si="57"/>
        <v>3</v>
      </c>
      <c r="F909" s="3" t="s">
        <v>175</v>
      </c>
      <c r="G909" s="4">
        <v>39511</v>
      </c>
      <c r="J909" s="1" t="s">
        <v>187</v>
      </c>
      <c r="K909" s="1"/>
      <c r="L909" s="1" t="str">
        <f t="shared" si="58"/>
        <v xml:space="preserve">Oxundasjön </v>
      </c>
      <c r="M909" s="1" t="s">
        <v>194</v>
      </c>
      <c r="Q909" s="1">
        <v>1.8</v>
      </c>
      <c r="R909" s="1">
        <v>14.8</v>
      </c>
      <c r="S909" s="1">
        <v>107</v>
      </c>
      <c r="AC909" s="1">
        <v>52.9</v>
      </c>
    </row>
    <row r="910" spans="4:38" x14ac:dyDescent="0.3">
      <c r="D910" s="2">
        <f t="shared" si="56"/>
        <v>2008</v>
      </c>
      <c r="E910" s="2">
        <f t="shared" si="57"/>
        <v>3</v>
      </c>
      <c r="F910" s="3" t="s">
        <v>175</v>
      </c>
      <c r="G910" s="4">
        <v>39511</v>
      </c>
      <c r="J910" s="1" t="s">
        <v>188</v>
      </c>
      <c r="K910" s="1"/>
      <c r="L910" s="1" t="str">
        <f t="shared" si="58"/>
        <v xml:space="preserve">Ravalen </v>
      </c>
      <c r="M910" s="1" t="s">
        <v>177</v>
      </c>
      <c r="P910" s="1">
        <v>1.7</v>
      </c>
      <c r="Q910" s="1">
        <v>1.6</v>
      </c>
      <c r="R910" s="1">
        <v>13.6</v>
      </c>
      <c r="S910" s="1">
        <v>98</v>
      </c>
      <c r="W910" s="1">
        <v>4</v>
      </c>
      <c r="Z910" s="1">
        <v>2</v>
      </c>
      <c r="AC910" s="1">
        <v>56.3</v>
      </c>
      <c r="AD910" s="1">
        <v>35</v>
      </c>
      <c r="AK910" s="1">
        <v>32</v>
      </c>
      <c r="AL910" s="1">
        <v>706</v>
      </c>
    </row>
    <row r="911" spans="4:38" x14ac:dyDescent="0.3">
      <c r="D911" s="2">
        <f t="shared" si="56"/>
        <v>2008</v>
      </c>
      <c r="E911" s="2">
        <f t="shared" si="57"/>
        <v>3</v>
      </c>
      <c r="F911" s="3" t="s">
        <v>175</v>
      </c>
      <c r="G911" s="4">
        <v>39511</v>
      </c>
      <c r="J911" s="1" t="s">
        <v>188</v>
      </c>
      <c r="K911" s="1"/>
      <c r="L911" s="1" t="str">
        <f t="shared" si="58"/>
        <v xml:space="preserve">Ravalen </v>
      </c>
      <c r="M911" s="1" t="s">
        <v>184</v>
      </c>
      <c r="Q911" s="1">
        <v>1.6</v>
      </c>
      <c r="R911" s="1">
        <v>13.3</v>
      </c>
      <c r="S911" s="1">
        <v>96</v>
      </c>
      <c r="W911" s="1">
        <v>9</v>
      </c>
      <c r="Z911" s="1">
        <v>4</v>
      </c>
      <c r="AC911" s="1">
        <v>56.3</v>
      </c>
      <c r="AD911" s="1">
        <v>36</v>
      </c>
      <c r="AK911" s="1">
        <v>32</v>
      </c>
      <c r="AL911" s="1">
        <v>677</v>
      </c>
    </row>
    <row r="912" spans="4:38" x14ac:dyDescent="0.3">
      <c r="D912" s="2">
        <f t="shared" si="56"/>
        <v>2008</v>
      </c>
      <c r="E912" s="2">
        <f t="shared" si="57"/>
        <v>3</v>
      </c>
      <c r="F912" s="3" t="s">
        <v>175</v>
      </c>
      <c r="G912" s="4">
        <v>39511</v>
      </c>
      <c r="J912" s="1" t="s">
        <v>188</v>
      </c>
      <c r="K912" s="1"/>
      <c r="L912" s="1" t="str">
        <f t="shared" si="58"/>
        <v xml:space="preserve">Ravalen </v>
      </c>
      <c r="M912" s="1" t="s">
        <v>194</v>
      </c>
      <c r="Q912" s="1">
        <v>1.6</v>
      </c>
      <c r="R912" s="1">
        <v>13.5</v>
      </c>
      <c r="S912" s="1">
        <v>97</v>
      </c>
      <c r="AC912" s="1">
        <v>56.3</v>
      </c>
    </row>
    <row r="913" spans="4:38" x14ac:dyDescent="0.3">
      <c r="D913" s="2">
        <f t="shared" si="56"/>
        <v>2008</v>
      </c>
      <c r="E913" s="2">
        <f t="shared" si="57"/>
        <v>3</v>
      </c>
      <c r="F913" s="3" t="s">
        <v>175</v>
      </c>
      <c r="G913" s="4">
        <v>39511</v>
      </c>
      <c r="J913" s="1" t="s">
        <v>189</v>
      </c>
      <c r="K913" s="1"/>
      <c r="L913" s="1" t="str">
        <f t="shared" si="58"/>
        <v xml:space="preserve">Rösjön </v>
      </c>
      <c r="M913" s="1" t="s">
        <v>177</v>
      </c>
      <c r="P913" s="1">
        <v>3.5</v>
      </c>
      <c r="Q913" s="1">
        <v>2.5</v>
      </c>
      <c r="R913" s="1">
        <v>13</v>
      </c>
      <c r="S913" s="1">
        <v>96</v>
      </c>
      <c r="W913" s="1">
        <v>7</v>
      </c>
      <c r="Z913" s="1">
        <v>0.1</v>
      </c>
      <c r="AC913" s="1">
        <v>26.8</v>
      </c>
      <c r="AD913" s="1">
        <v>134</v>
      </c>
      <c r="AK913" s="1">
        <v>17</v>
      </c>
      <c r="AL913" s="1">
        <v>597</v>
      </c>
    </row>
    <row r="914" spans="4:38" x14ac:dyDescent="0.3">
      <c r="D914" s="2">
        <f t="shared" si="56"/>
        <v>2008</v>
      </c>
      <c r="E914" s="2">
        <f t="shared" si="57"/>
        <v>3</v>
      </c>
      <c r="F914" s="3" t="s">
        <v>175</v>
      </c>
      <c r="G914" s="4">
        <v>39511</v>
      </c>
      <c r="J914" s="1" t="s">
        <v>189</v>
      </c>
      <c r="K914" s="1"/>
      <c r="L914" s="1" t="str">
        <f t="shared" si="58"/>
        <v xml:space="preserve">Rösjön </v>
      </c>
      <c r="M914" s="1" t="s">
        <v>184</v>
      </c>
      <c r="Q914" s="1">
        <v>2.5</v>
      </c>
      <c r="R914" s="1">
        <v>11.8</v>
      </c>
      <c r="S914" s="1">
        <v>86</v>
      </c>
      <c r="W914" s="1">
        <v>9</v>
      </c>
      <c r="Z914" s="1">
        <v>0.1</v>
      </c>
      <c r="AC914" s="1">
        <v>27</v>
      </c>
      <c r="AD914" s="1">
        <v>138</v>
      </c>
      <c r="AK914" s="1">
        <v>16</v>
      </c>
      <c r="AL914" s="1">
        <v>625</v>
      </c>
    </row>
    <row r="915" spans="4:38" x14ac:dyDescent="0.3">
      <c r="D915" s="2">
        <f t="shared" si="56"/>
        <v>2008</v>
      </c>
      <c r="E915" s="2">
        <f t="shared" si="57"/>
        <v>3</v>
      </c>
      <c r="F915" s="3" t="s">
        <v>175</v>
      </c>
      <c r="G915" s="4">
        <v>39511</v>
      </c>
      <c r="J915" s="1" t="s">
        <v>189</v>
      </c>
      <c r="K915" s="1"/>
      <c r="L915" s="1" t="str">
        <f t="shared" si="58"/>
        <v xml:space="preserve">Rösjön </v>
      </c>
      <c r="M915" s="1" t="s">
        <v>200</v>
      </c>
      <c r="Q915" s="1">
        <v>2.6</v>
      </c>
      <c r="R915" s="1">
        <v>12.9</v>
      </c>
      <c r="S915" s="1">
        <v>95</v>
      </c>
      <c r="AC915" s="1">
        <v>26.8</v>
      </c>
    </row>
    <row r="916" spans="4:38" x14ac:dyDescent="0.3">
      <c r="D916" s="2">
        <f t="shared" si="56"/>
        <v>2008</v>
      </c>
      <c r="E916" s="2">
        <f t="shared" si="57"/>
        <v>3</v>
      </c>
      <c r="F916" s="3" t="s">
        <v>175</v>
      </c>
      <c r="G916" s="4">
        <v>39511</v>
      </c>
      <c r="J916" s="1" t="s">
        <v>189</v>
      </c>
      <c r="K916" s="1"/>
      <c r="L916" s="1" t="str">
        <f t="shared" si="58"/>
        <v xml:space="preserve">Rösjön </v>
      </c>
      <c r="M916" s="1" t="s">
        <v>195</v>
      </c>
      <c r="Q916" s="1">
        <v>2.5</v>
      </c>
      <c r="R916" s="1">
        <v>12.9</v>
      </c>
      <c r="S916" s="1">
        <v>95</v>
      </c>
      <c r="AC916" s="1">
        <v>26.8</v>
      </c>
    </row>
    <row r="917" spans="4:38" x14ac:dyDescent="0.3">
      <c r="D917" s="2">
        <f t="shared" si="56"/>
        <v>2008</v>
      </c>
      <c r="E917" s="2">
        <f t="shared" si="57"/>
        <v>3</v>
      </c>
      <c r="F917" s="3" t="s">
        <v>175</v>
      </c>
      <c r="G917" s="4">
        <v>39511</v>
      </c>
      <c r="J917" s="1" t="s">
        <v>189</v>
      </c>
      <c r="K917" s="1"/>
      <c r="L917" s="1" t="str">
        <f t="shared" si="58"/>
        <v xml:space="preserve">Rösjön </v>
      </c>
      <c r="M917" s="1" t="s">
        <v>196</v>
      </c>
      <c r="Q917" s="1">
        <v>2.5</v>
      </c>
      <c r="R917" s="1">
        <v>12.9</v>
      </c>
      <c r="S917" s="1">
        <v>95</v>
      </c>
      <c r="AC917" s="1">
        <v>26.8</v>
      </c>
    </row>
    <row r="918" spans="4:38" x14ac:dyDescent="0.3">
      <c r="D918" s="2">
        <f t="shared" si="56"/>
        <v>2008</v>
      </c>
      <c r="E918" s="2">
        <f t="shared" si="57"/>
        <v>3</v>
      </c>
      <c r="F918" s="3" t="s">
        <v>175</v>
      </c>
      <c r="G918" s="4">
        <v>39511</v>
      </c>
      <c r="J918" s="1" t="s">
        <v>189</v>
      </c>
      <c r="K918" s="1"/>
      <c r="L918" s="1" t="str">
        <f t="shared" si="58"/>
        <v xml:space="preserve">Rösjön </v>
      </c>
      <c r="M918" s="1" t="s">
        <v>197</v>
      </c>
      <c r="Q918" s="1">
        <v>2.6</v>
      </c>
      <c r="R918" s="1">
        <v>12.9</v>
      </c>
      <c r="S918" s="1">
        <v>95</v>
      </c>
      <c r="AC918" s="1">
        <v>26.8</v>
      </c>
    </row>
    <row r="919" spans="4:38" x14ac:dyDescent="0.3">
      <c r="D919" s="2">
        <f t="shared" si="56"/>
        <v>2008</v>
      </c>
      <c r="E919" s="2">
        <f t="shared" si="57"/>
        <v>3</v>
      </c>
      <c r="F919" s="3" t="s">
        <v>175</v>
      </c>
      <c r="G919" s="4">
        <v>39511</v>
      </c>
      <c r="J919" s="1" t="s">
        <v>189</v>
      </c>
      <c r="K919" s="1"/>
      <c r="L919" s="1" t="str">
        <f t="shared" si="58"/>
        <v xml:space="preserve">Rösjön </v>
      </c>
      <c r="M919" s="1" t="s">
        <v>194</v>
      </c>
      <c r="Q919" s="1">
        <v>2.4</v>
      </c>
      <c r="R919" s="1">
        <v>12.9</v>
      </c>
      <c r="S919" s="1">
        <v>95</v>
      </c>
      <c r="AC919" s="1">
        <v>26.8</v>
      </c>
    </row>
    <row r="920" spans="4:38" x14ac:dyDescent="0.3">
      <c r="D920" s="2">
        <f t="shared" si="56"/>
        <v>2008</v>
      </c>
      <c r="E920" s="2">
        <f t="shared" si="57"/>
        <v>3</v>
      </c>
      <c r="F920" s="3" t="s">
        <v>175</v>
      </c>
      <c r="G920" s="4">
        <v>39511</v>
      </c>
      <c r="J920" s="1" t="s">
        <v>190</v>
      </c>
      <c r="K920" s="1"/>
      <c r="L920" s="1" t="str">
        <f t="shared" si="58"/>
        <v xml:space="preserve">Snuggan </v>
      </c>
      <c r="M920" s="1" t="s">
        <v>177</v>
      </c>
      <c r="P920" s="1">
        <v>1.2</v>
      </c>
      <c r="Q920" s="1">
        <v>4.3</v>
      </c>
      <c r="R920" s="1">
        <v>9.6999999999999993</v>
      </c>
      <c r="S920" s="1">
        <v>76</v>
      </c>
      <c r="W920" s="1">
        <v>252</v>
      </c>
      <c r="Z920" s="1">
        <v>0.1</v>
      </c>
      <c r="AC920" s="1">
        <v>5.7</v>
      </c>
      <c r="AD920" s="1">
        <v>39</v>
      </c>
      <c r="AK920" s="1">
        <v>24</v>
      </c>
      <c r="AL920" s="1">
        <v>1018</v>
      </c>
    </row>
    <row r="921" spans="4:38" x14ac:dyDescent="0.3">
      <c r="D921" s="2">
        <f t="shared" si="56"/>
        <v>2008</v>
      </c>
      <c r="E921" s="2">
        <f t="shared" si="57"/>
        <v>3</v>
      </c>
      <c r="F921" s="3" t="s">
        <v>175</v>
      </c>
      <c r="G921" s="4">
        <v>39511</v>
      </c>
      <c r="J921" s="1" t="s">
        <v>190</v>
      </c>
      <c r="K921" s="1"/>
      <c r="L921" s="1" t="str">
        <f t="shared" si="58"/>
        <v xml:space="preserve">Snuggan </v>
      </c>
      <c r="M921" s="1" t="s">
        <v>184</v>
      </c>
      <c r="Q921" s="1">
        <v>4.2</v>
      </c>
      <c r="R921" s="1">
        <v>9.6</v>
      </c>
      <c r="S921" s="1">
        <v>75</v>
      </c>
      <c r="W921" s="1">
        <v>249</v>
      </c>
      <c r="Z921" s="1">
        <v>0.1</v>
      </c>
      <c r="AC921" s="1">
        <v>5.7</v>
      </c>
      <c r="AD921" s="1">
        <v>38</v>
      </c>
      <c r="AK921" s="1">
        <v>24</v>
      </c>
      <c r="AL921" s="1">
        <v>1008</v>
      </c>
    </row>
    <row r="922" spans="4:38" x14ac:dyDescent="0.3">
      <c r="D922" s="2">
        <f t="shared" si="56"/>
        <v>2008</v>
      </c>
      <c r="E922" s="2">
        <f t="shared" si="57"/>
        <v>3</v>
      </c>
      <c r="F922" s="3" t="s">
        <v>175</v>
      </c>
      <c r="G922" s="4">
        <v>39511</v>
      </c>
      <c r="J922" s="1" t="s">
        <v>190</v>
      </c>
      <c r="K922" s="1"/>
      <c r="L922" s="1" t="str">
        <f t="shared" si="58"/>
        <v xml:space="preserve">Snuggan </v>
      </c>
      <c r="M922" s="1" t="s">
        <v>197</v>
      </c>
      <c r="Q922" s="1">
        <v>4.3</v>
      </c>
      <c r="R922" s="1">
        <v>10</v>
      </c>
      <c r="S922" s="1">
        <v>78</v>
      </c>
      <c r="AC922" s="1">
        <v>5.7</v>
      </c>
    </row>
    <row r="923" spans="4:38" x14ac:dyDescent="0.3">
      <c r="D923" s="2">
        <f t="shared" si="56"/>
        <v>2008</v>
      </c>
      <c r="E923" s="2">
        <f t="shared" si="57"/>
        <v>3</v>
      </c>
      <c r="F923" s="3" t="s">
        <v>175</v>
      </c>
      <c r="G923" s="4">
        <v>39511</v>
      </c>
      <c r="J923" s="1" t="s">
        <v>190</v>
      </c>
      <c r="K923" s="1"/>
      <c r="L923" s="1" t="str">
        <f t="shared" si="58"/>
        <v xml:space="preserve">Snuggan </v>
      </c>
      <c r="M923" s="1" t="s">
        <v>194</v>
      </c>
      <c r="Q923" s="1">
        <v>4.3</v>
      </c>
      <c r="R923" s="1">
        <v>9.6999999999999993</v>
      </c>
      <c r="S923" s="1">
        <v>76</v>
      </c>
      <c r="AC923" s="1">
        <v>5.7</v>
      </c>
    </row>
    <row r="924" spans="4:38" x14ac:dyDescent="0.3">
      <c r="D924" s="2">
        <f t="shared" si="56"/>
        <v>2008</v>
      </c>
      <c r="E924" s="2">
        <f t="shared" si="57"/>
        <v>3</v>
      </c>
      <c r="F924" s="3" t="s">
        <v>175</v>
      </c>
      <c r="G924" s="4">
        <v>39511</v>
      </c>
      <c r="J924" s="1" t="s">
        <v>192</v>
      </c>
      <c r="K924" s="1"/>
      <c r="L924" s="1" t="str">
        <f t="shared" si="58"/>
        <v xml:space="preserve">Väsjön </v>
      </c>
      <c r="M924" s="1" t="s">
        <v>177</v>
      </c>
      <c r="P924" s="1">
        <v>2.5</v>
      </c>
      <c r="Q924" s="1">
        <v>2.4</v>
      </c>
      <c r="R924" s="1">
        <v>12.5</v>
      </c>
      <c r="S924" s="1">
        <v>92</v>
      </c>
      <c r="W924" s="1">
        <v>14</v>
      </c>
      <c r="Z924" s="1">
        <v>1</v>
      </c>
      <c r="AC924" s="1">
        <v>48.6</v>
      </c>
      <c r="AD924" s="1">
        <v>57</v>
      </c>
      <c r="AK924" s="1">
        <v>24</v>
      </c>
      <c r="AL924" s="1">
        <v>677</v>
      </c>
    </row>
    <row r="925" spans="4:38" x14ac:dyDescent="0.3">
      <c r="D925" s="2">
        <f t="shared" si="56"/>
        <v>2008</v>
      </c>
      <c r="E925" s="2">
        <f t="shared" si="57"/>
        <v>3</v>
      </c>
      <c r="F925" s="3" t="s">
        <v>175</v>
      </c>
      <c r="G925" s="4">
        <v>39511</v>
      </c>
      <c r="J925" s="1" t="s">
        <v>192</v>
      </c>
      <c r="K925" s="1"/>
      <c r="L925" s="1" t="str">
        <f t="shared" si="58"/>
        <v xml:space="preserve">Väsjön </v>
      </c>
      <c r="M925" s="1" t="s">
        <v>184</v>
      </c>
      <c r="Q925" s="1">
        <v>2.7</v>
      </c>
      <c r="R925" s="1">
        <v>12.1</v>
      </c>
      <c r="S925" s="1">
        <v>89</v>
      </c>
      <c r="W925" s="1">
        <v>10</v>
      </c>
      <c r="Z925" s="1">
        <v>1</v>
      </c>
      <c r="AC925" s="1">
        <v>50</v>
      </c>
      <c r="AD925" s="1">
        <v>58</v>
      </c>
      <c r="AK925" s="1">
        <v>27</v>
      </c>
      <c r="AL925" s="1">
        <v>714</v>
      </c>
    </row>
    <row r="926" spans="4:38" x14ac:dyDescent="0.3">
      <c r="D926" s="2">
        <f t="shared" si="56"/>
        <v>2008</v>
      </c>
      <c r="E926" s="2">
        <f t="shared" si="57"/>
        <v>3</v>
      </c>
      <c r="F926" s="3" t="s">
        <v>175</v>
      </c>
      <c r="G926" s="4">
        <v>39511</v>
      </c>
      <c r="J926" s="1" t="s">
        <v>192</v>
      </c>
      <c r="K926" s="1"/>
      <c r="L926" s="1" t="str">
        <f t="shared" si="58"/>
        <v xml:space="preserve">Väsjön </v>
      </c>
      <c r="M926" s="1" t="s">
        <v>197</v>
      </c>
      <c r="Q926" s="1">
        <v>2.4</v>
      </c>
      <c r="R926" s="1">
        <v>12.3</v>
      </c>
      <c r="S926" s="1">
        <v>90</v>
      </c>
      <c r="AC926" s="1">
        <v>48.7</v>
      </c>
    </row>
    <row r="927" spans="4:38" x14ac:dyDescent="0.3">
      <c r="D927" s="2">
        <f t="shared" si="56"/>
        <v>2008</v>
      </c>
      <c r="E927" s="2">
        <f t="shared" si="57"/>
        <v>3</v>
      </c>
      <c r="F927" s="3" t="s">
        <v>175</v>
      </c>
      <c r="G927" s="4">
        <v>39511</v>
      </c>
      <c r="J927" s="1" t="s">
        <v>192</v>
      </c>
      <c r="K927" s="1"/>
      <c r="L927" s="1" t="str">
        <f t="shared" si="58"/>
        <v xml:space="preserve">Väsjön </v>
      </c>
      <c r="M927" s="1" t="s">
        <v>194</v>
      </c>
      <c r="Q927" s="1">
        <v>2.4</v>
      </c>
      <c r="R927" s="1">
        <v>12.3</v>
      </c>
      <c r="S927" s="1">
        <v>91</v>
      </c>
      <c r="AC927" s="1">
        <v>48.6</v>
      </c>
    </row>
    <row r="928" spans="4:38" x14ac:dyDescent="0.3">
      <c r="D928" s="2">
        <f t="shared" si="56"/>
        <v>2008</v>
      </c>
      <c r="E928" s="2">
        <f t="shared" si="57"/>
        <v>3</v>
      </c>
      <c r="F928" s="3" t="s">
        <v>175</v>
      </c>
      <c r="G928" s="4">
        <v>39511</v>
      </c>
      <c r="J928" s="1" t="s">
        <v>193</v>
      </c>
      <c r="K928" s="1"/>
      <c r="L928" s="1" t="str">
        <f t="shared" si="58"/>
        <v xml:space="preserve">Översjön </v>
      </c>
      <c r="M928" s="1" t="s">
        <v>177</v>
      </c>
      <c r="P928" s="1">
        <v>2.7</v>
      </c>
      <c r="Q928" s="1">
        <v>2.2999999999999998</v>
      </c>
      <c r="R928" s="1">
        <v>14.3</v>
      </c>
      <c r="S928" s="1">
        <v>104</v>
      </c>
      <c r="W928" s="1">
        <v>16</v>
      </c>
      <c r="Z928" s="1">
        <v>2</v>
      </c>
      <c r="AC928" s="1">
        <v>41.7</v>
      </c>
      <c r="AD928" s="1">
        <v>95</v>
      </c>
      <c r="AK928" s="1">
        <v>21</v>
      </c>
      <c r="AL928" s="1">
        <v>825</v>
      </c>
    </row>
    <row r="929" spans="4:38" x14ac:dyDescent="0.3">
      <c r="D929" s="2">
        <f t="shared" si="56"/>
        <v>2008</v>
      </c>
      <c r="E929" s="2">
        <f t="shared" si="57"/>
        <v>3</v>
      </c>
      <c r="F929" s="3" t="s">
        <v>175</v>
      </c>
      <c r="G929" s="4">
        <v>39511</v>
      </c>
      <c r="J929" s="1" t="s">
        <v>193</v>
      </c>
      <c r="K929" s="1"/>
      <c r="L929" s="1" t="str">
        <f t="shared" si="58"/>
        <v xml:space="preserve">Översjön </v>
      </c>
      <c r="M929" s="1" t="s">
        <v>184</v>
      </c>
      <c r="Q929" s="1">
        <v>2.5</v>
      </c>
      <c r="R929" s="1">
        <v>14.3</v>
      </c>
      <c r="S929" s="1">
        <v>104</v>
      </c>
      <c r="W929" s="1">
        <v>14</v>
      </c>
      <c r="Z929" s="1">
        <v>5</v>
      </c>
      <c r="AC929" s="1">
        <v>41.6</v>
      </c>
      <c r="AD929" s="1">
        <v>96</v>
      </c>
      <c r="AK929" s="1">
        <v>23</v>
      </c>
      <c r="AL929" s="1">
        <v>811</v>
      </c>
    </row>
    <row r="930" spans="4:38" x14ac:dyDescent="0.3">
      <c r="D930" s="2">
        <f t="shared" si="56"/>
        <v>2008</v>
      </c>
      <c r="E930" s="2">
        <f t="shared" si="57"/>
        <v>3</v>
      </c>
      <c r="F930" s="3" t="s">
        <v>175</v>
      </c>
      <c r="G930" s="4">
        <v>39511</v>
      </c>
      <c r="J930" s="1" t="s">
        <v>193</v>
      </c>
      <c r="K930" s="1"/>
      <c r="L930" s="1" t="str">
        <f t="shared" si="58"/>
        <v xml:space="preserve">Översjön </v>
      </c>
      <c r="M930" s="1" t="s">
        <v>197</v>
      </c>
      <c r="Q930" s="1">
        <v>2.4</v>
      </c>
      <c r="R930" s="1">
        <v>14.3</v>
      </c>
      <c r="S930" s="1">
        <v>104</v>
      </c>
      <c r="AC930" s="1">
        <v>41.6</v>
      </c>
    </row>
    <row r="931" spans="4:38" x14ac:dyDescent="0.3">
      <c r="D931" s="2">
        <f t="shared" si="56"/>
        <v>2008</v>
      </c>
      <c r="E931" s="2">
        <f t="shared" si="57"/>
        <v>3</v>
      </c>
      <c r="F931" s="3" t="s">
        <v>175</v>
      </c>
      <c r="G931" s="4">
        <v>39511</v>
      </c>
      <c r="J931" s="1" t="s">
        <v>193</v>
      </c>
      <c r="K931" s="1"/>
      <c r="L931" s="1" t="str">
        <f t="shared" si="58"/>
        <v xml:space="preserve">Översjön </v>
      </c>
      <c r="M931" s="1" t="s">
        <v>194</v>
      </c>
      <c r="Q931" s="1">
        <v>2.2999999999999998</v>
      </c>
      <c r="R931" s="1">
        <v>14.3</v>
      </c>
      <c r="S931" s="1">
        <v>104</v>
      </c>
      <c r="AC931" s="1">
        <v>41.8</v>
      </c>
    </row>
    <row r="932" spans="4:38" x14ac:dyDescent="0.3">
      <c r="D932" s="2">
        <f t="shared" si="56"/>
        <v>2008</v>
      </c>
      <c r="E932" s="2">
        <f t="shared" si="57"/>
        <v>3</v>
      </c>
      <c r="F932" s="3" t="s">
        <v>175</v>
      </c>
      <c r="G932" s="4">
        <v>39518</v>
      </c>
      <c r="J932" s="1" t="s">
        <v>186</v>
      </c>
      <c r="K932" s="1">
        <v>1</v>
      </c>
      <c r="L932" s="1" t="str">
        <f t="shared" si="58"/>
        <v>Norrviken 1</v>
      </c>
      <c r="M932" s="1" t="s">
        <v>177</v>
      </c>
      <c r="P932" s="1">
        <v>1.2</v>
      </c>
      <c r="Q932" s="1">
        <v>3.5</v>
      </c>
      <c r="R932" s="1">
        <v>11.9</v>
      </c>
      <c r="S932" s="1">
        <v>91</v>
      </c>
      <c r="W932" s="1">
        <v>81</v>
      </c>
      <c r="Z932" s="1">
        <v>1</v>
      </c>
      <c r="AD932" s="1">
        <v>782</v>
      </c>
      <c r="AK932" s="1">
        <v>45</v>
      </c>
      <c r="AL932" s="1">
        <v>1707</v>
      </c>
    </row>
    <row r="933" spans="4:38" x14ac:dyDescent="0.3">
      <c r="D933" s="2">
        <f t="shared" si="56"/>
        <v>2008</v>
      </c>
      <c r="E933" s="2">
        <f t="shared" si="57"/>
        <v>3</v>
      </c>
      <c r="F933" s="3" t="s">
        <v>175</v>
      </c>
      <c r="G933" s="4">
        <v>39518</v>
      </c>
      <c r="J933" s="1" t="s">
        <v>186</v>
      </c>
      <c r="K933" s="1">
        <v>2</v>
      </c>
      <c r="L933" s="1" t="str">
        <f t="shared" si="58"/>
        <v>Norrviken 2</v>
      </c>
      <c r="M933" s="1" t="s">
        <v>177</v>
      </c>
      <c r="P933" s="1">
        <v>2.2000000000000002</v>
      </c>
      <c r="Q933" s="1">
        <v>3</v>
      </c>
      <c r="R933" s="1">
        <v>12.9</v>
      </c>
      <c r="S933" s="1">
        <v>97</v>
      </c>
      <c r="W933" s="1">
        <v>8</v>
      </c>
      <c r="Z933" s="1">
        <v>28</v>
      </c>
      <c r="AD933" s="1">
        <v>667</v>
      </c>
      <c r="AK933" s="1">
        <v>62</v>
      </c>
      <c r="AL933" s="1">
        <v>1345</v>
      </c>
    </row>
    <row r="934" spans="4:38" x14ac:dyDescent="0.3">
      <c r="D934" s="2">
        <f t="shared" si="56"/>
        <v>2008</v>
      </c>
      <c r="E934" s="2">
        <f t="shared" si="57"/>
        <v>3</v>
      </c>
      <c r="F934" s="3" t="s">
        <v>175</v>
      </c>
      <c r="G934" s="4">
        <v>39518</v>
      </c>
      <c r="J934" s="1" t="s">
        <v>186</v>
      </c>
      <c r="K934" s="1">
        <v>3</v>
      </c>
      <c r="L934" s="1" t="str">
        <f t="shared" si="58"/>
        <v>Norrviken 3</v>
      </c>
      <c r="M934" s="1" t="s">
        <v>177</v>
      </c>
      <c r="P934" s="1">
        <v>2.5</v>
      </c>
      <c r="Q934" s="1">
        <v>2.9</v>
      </c>
      <c r="R934" s="1">
        <v>12.8</v>
      </c>
      <c r="S934" s="1">
        <v>96</v>
      </c>
      <c r="W934" s="1">
        <v>14</v>
      </c>
      <c r="Z934" s="1">
        <v>39</v>
      </c>
      <c r="AD934" s="1">
        <v>695</v>
      </c>
      <c r="AK934" s="1">
        <v>67</v>
      </c>
      <c r="AL934" s="1">
        <v>1356</v>
      </c>
    </row>
    <row r="935" spans="4:38" x14ac:dyDescent="0.3">
      <c r="D935" s="2">
        <f t="shared" si="56"/>
        <v>2008</v>
      </c>
      <c r="E935" s="2">
        <f t="shared" si="57"/>
        <v>3</v>
      </c>
      <c r="F935" s="3" t="s">
        <v>175</v>
      </c>
      <c r="G935" s="4">
        <v>39518</v>
      </c>
      <c r="J935" s="1" t="s">
        <v>186</v>
      </c>
      <c r="K935" s="1">
        <v>4</v>
      </c>
      <c r="L935" s="1" t="str">
        <f t="shared" si="58"/>
        <v>Norrviken 4</v>
      </c>
      <c r="M935" s="1" t="s">
        <v>177</v>
      </c>
      <c r="P935" s="1">
        <v>1.7</v>
      </c>
      <c r="Q935" s="1">
        <v>3.1</v>
      </c>
      <c r="R935" s="1">
        <v>12.9</v>
      </c>
      <c r="S935" s="1">
        <v>98</v>
      </c>
      <c r="W935" s="1">
        <v>12</v>
      </c>
      <c r="Z935" s="1">
        <v>24</v>
      </c>
      <c r="AD935" s="1">
        <v>697</v>
      </c>
      <c r="AK935" s="1">
        <v>59</v>
      </c>
      <c r="AL935" s="1">
        <v>1313</v>
      </c>
    </row>
    <row r="936" spans="4:38" x14ac:dyDescent="0.3">
      <c r="D936" s="2">
        <f t="shared" si="56"/>
        <v>2008</v>
      </c>
      <c r="E936" s="2">
        <f t="shared" si="57"/>
        <v>3</v>
      </c>
      <c r="F936" s="3" t="s">
        <v>175</v>
      </c>
      <c r="G936" s="4">
        <v>39518</v>
      </c>
      <c r="J936" s="1" t="s">
        <v>186</v>
      </c>
      <c r="K936" s="1">
        <v>1</v>
      </c>
      <c r="L936" s="1" t="str">
        <f t="shared" si="58"/>
        <v>Norrviken 1</v>
      </c>
      <c r="M936" s="1" t="s">
        <v>184</v>
      </c>
      <c r="Q936" s="1">
        <v>3.4</v>
      </c>
      <c r="R936" s="1">
        <v>11.7</v>
      </c>
      <c r="S936" s="1">
        <v>89</v>
      </c>
    </row>
    <row r="937" spans="4:38" x14ac:dyDescent="0.3">
      <c r="D937" s="2">
        <f t="shared" si="56"/>
        <v>2008</v>
      </c>
      <c r="E937" s="2">
        <f t="shared" si="57"/>
        <v>3</v>
      </c>
      <c r="F937" s="3" t="s">
        <v>175</v>
      </c>
      <c r="G937" s="4">
        <v>39518</v>
      </c>
      <c r="J937" s="1" t="s">
        <v>186</v>
      </c>
      <c r="K937" s="1">
        <v>2</v>
      </c>
      <c r="L937" s="1" t="str">
        <f t="shared" si="58"/>
        <v>Norrviken 2</v>
      </c>
      <c r="M937" s="1" t="s">
        <v>184</v>
      </c>
      <c r="Q937" s="1">
        <v>2.8</v>
      </c>
      <c r="R937" s="1">
        <v>12.9</v>
      </c>
      <c r="S937" s="1">
        <v>96</v>
      </c>
      <c r="W937" s="1">
        <v>10</v>
      </c>
      <c r="Z937" s="1">
        <v>27</v>
      </c>
      <c r="AD937" s="1">
        <v>656</v>
      </c>
      <c r="AK937" s="1">
        <v>62</v>
      </c>
      <c r="AL937" s="1">
        <v>1403</v>
      </c>
    </row>
    <row r="938" spans="4:38" x14ac:dyDescent="0.3">
      <c r="D938" s="2">
        <f t="shared" si="56"/>
        <v>2008</v>
      </c>
      <c r="E938" s="2">
        <f t="shared" si="57"/>
        <v>3</v>
      </c>
      <c r="F938" s="3" t="s">
        <v>175</v>
      </c>
      <c r="G938" s="4">
        <v>39518</v>
      </c>
      <c r="J938" s="1" t="s">
        <v>186</v>
      </c>
      <c r="K938" s="1">
        <v>3</v>
      </c>
      <c r="L938" s="1" t="str">
        <f t="shared" si="58"/>
        <v>Norrviken 3</v>
      </c>
      <c r="M938" s="1" t="s">
        <v>184</v>
      </c>
      <c r="Q938" s="1">
        <v>2.8</v>
      </c>
      <c r="R938" s="1">
        <v>12</v>
      </c>
      <c r="S938" s="1">
        <v>90</v>
      </c>
      <c r="W938" s="1">
        <v>14</v>
      </c>
      <c r="Z938" s="1">
        <v>35</v>
      </c>
      <c r="AD938" s="1">
        <v>667</v>
      </c>
      <c r="AK938" s="1">
        <v>68</v>
      </c>
      <c r="AL938" s="1">
        <v>1356</v>
      </c>
    </row>
    <row r="939" spans="4:38" x14ac:dyDescent="0.3">
      <c r="D939" s="2">
        <f t="shared" si="56"/>
        <v>2008</v>
      </c>
      <c r="E939" s="2">
        <f t="shared" si="57"/>
        <v>3</v>
      </c>
      <c r="F939" s="3" t="s">
        <v>175</v>
      </c>
      <c r="G939" s="4">
        <v>39518</v>
      </c>
      <c r="J939" s="1" t="s">
        <v>186</v>
      </c>
      <c r="K939" s="1">
        <v>3</v>
      </c>
      <c r="L939" s="1" t="str">
        <f t="shared" si="58"/>
        <v>Norrviken 3</v>
      </c>
      <c r="M939" s="1" t="s">
        <v>202</v>
      </c>
      <c r="Q939" s="1">
        <v>2.8</v>
      </c>
      <c r="R939" s="1">
        <v>12.7</v>
      </c>
      <c r="S939" s="1">
        <v>95</v>
      </c>
    </row>
    <row r="940" spans="4:38" x14ac:dyDescent="0.3">
      <c r="D940" s="2">
        <f t="shared" si="56"/>
        <v>2008</v>
      </c>
      <c r="E940" s="2">
        <f t="shared" si="57"/>
        <v>3</v>
      </c>
      <c r="F940" s="3" t="s">
        <v>175</v>
      </c>
      <c r="G940" s="4">
        <v>39518</v>
      </c>
      <c r="J940" s="1" t="s">
        <v>186</v>
      </c>
      <c r="K940" s="1">
        <v>3</v>
      </c>
      <c r="L940" s="1" t="str">
        <f t="shared" si="58"/>
        <v>Norrviken 3</v>
      </c>
      <c r="M940" s="1" t="s">
        <v>203</v>
      </c>
      <c r="Q940" s="1">
        <v>2.8</v>
      </c>
      <c r="R940" s="1">
        <v>12.7</v>
      </c>
      <c r="S940" s="1">
        <v>95</v>
      </c>
    </row>
    <row r="941" spans="4:38" x14ac:dyDescent="0.3">
      <c r="D941" s="2">
        <f t="shared" si="56"/>
        <v>2008</v>
      </c>
      <c r="E941" s="2">
        <f t="shared" si="57"/>
        <v>3</v>
      </c>
      <c r="F941" s="3" t="s">
        <v>175</v>
      </c>
      <c r="G941" s="4">
        <v>39518</v>
      </c>
      <c r="J941" s="1" t="s">
        <v>186</v>
      </c>
      <c r="K941" s="1">
        <v>2</v>
      </c>
      <c r="L941" s="1" t="str">
        <f t="shared" si="58"/>
        <v>Norrviken 2</v>
      </c>
      <c r="M941" s="1" t="s">
        <v>198</v>
      </c>
      <c r="Q941" s="1">
        <v>2.8</v>
      </c>
      <c r="R941" s="1">
        <v>12.9</v>
      </c>
      <c r="S941" s="1">
        <v>96</v>
      </c>
    </row>
    <row r="942" spans="4:38" x14ac:dyDescent="0.3">
      <c r="D942" s="2">
        <f t="shared" si="56"/>
        <v>2008</v>
      </c>
      <c r="E942" s="2">
        <f t="shared" si="57"/>
        <v>3</v>
      </c>
      <c r="F942" s="3" t="s">
        <v>175</v>
      </c>
      <c r="G942" s="4">
        <v>39518</v>
      </c>
      <c r="J942" s="1" t="s">
        <v>186</v>
      </c>
      <c r="K942" s="1">
        <v>3</v>
      </c>
      <c r="L942" s="1" t="str">
        <f t="shared" si="58"/>
        <v>Norrviken 3</v>
      </c>
      <c r="M942" s="1" t="s">
        <v>198</v>
      </c>
      <c r="Q942" s="1">
        <v>2.8</v>
      </c>
      <c r="R942" s="1">
        <v>12.8</v>
      </c>
      <c r="S942" s="1">
        <v>95</v>
      </c>
    </row>
    <row r="943" spans="4:38" x14ac:dyDescent="0.3">
      <c r="D943" s="2">
        <f t="shared" si="56"/>
        <v>2008</v>
      </c>
      <c r="E943" s="2">
        <f t="shared" si="57"/>
        <v>3</v>
      </c>
      <c r="F943" s="3" t="s">
        <v>175</v>
      </c>
      <c r="G943" s="4">
        <v>39518</v>
      </c>
      <c r="J943" s="1" t="s">
        <v>186</v>
      </c>
      <c r="K943" s="1">
        <v>2</v>
      </c>
      <c r="L943" s="1" t="str">
        <f t="shared" si="58"/>
        <v>Norrviken 2</v>
      </c>
      <c r="M943" s="1" t="s">
        <v>199</v>
      </c>
      <c r="Q943" s="1">
        <v>2.8</v>
      </c>
      <c r="R943" s="1">
        <v>12.9</v>
      </c>
      <c r="S943" s="1">
        <v>96</v>
      </c>
    </row>
    <row r="944" spans="4:38" x14ac:dyDescent="0.3">
      <c r="D944" s="2">
        <f t="shared" si="56"/>
        <v>2008</v>
      </c>
      <c r="E944" s="2">
        <f t="shared" si="57"/>
        <v>3</v>
      </c>
      <c r="F944" s="3" t="s">
        <v>175</v>
      </c>
      <c r="G944" s="4">
        <v>39518</v>
      </c>
      <c r="J944" s="1" t="s">
        <v>186</v>
      </c>
      <c r="K944" s="1">
        <v>3</v>
      </c>
      <c r="L944" s="1" t="str">
        <f t="shared" si="58"/>
        <v>Norrviken 3</v>
      </c>
      <c r="M944" s="1" t="s">
        <v>199</v>
      </c>
      <c r="Q944" s="1">
        <v>2.8</v>
      </c>
      <c r="R944" s="1">
        <v>12.8</v>
      </c>
      <c r="S944" s="1">
        <v>95</v>
      </c>
    </row>
    <row r="945" spans="4:51" x14ac:dyDescent="0.3">
      <c r="D945" s="2">
        <f t="shared" si="56"/>
        <v>2008</v>
      </c>
      <c r="E945" s="2">
        <f t="shared" si="57"/>
        <v>3</v>
      </c>
      <c r="F945" s="3" t="s">
        <v>175</v>
      </c>
      <c r="G945" s="4">
        <v>39518</v>
      </c>
      <c r="J945" s="1" t="s">
        <v>186</v>
      </c>
      <c r="K945" s="1">
        <v>2</v>
      </c>
      <c r="L945" s="1" t="str">
        <f t="shared" si="58"/>
        <v>Norrviken 2</v>
      </c>
      <c r="M945" s="1" t="s">
        <v>200</v>
      </c>
      <c r="Q945" s="1">
        <v>2.8</v>
      </c>
      <c r="R945" s="1">
        <v>12.9</v>
      </c>
      <c r="S945" s="1">
        <v>97</v>
      </c>
    </row>
    <row r="946" spans="4:51" x14ac:dyDescent="0.3">
      <c r="D946" s="2">
        <f t="shared" si="56"/>
        <v>2008</v>
      </c>
      <c r="E946" s="2">
        <f t="shared" si="57"/>
        <v>3</v>
      </c>
      <c r="F946" s="3" t="s">
        <v>175</v>
      </c>
      <c r="G946" s="4">
        <v>39518</v>
      </c>
      <c r="J946" s="1" t="s">
        <v>186</v>
      </c>
      <c r="K946" s="1">
        <v>3</v>
      </c>
      <c r="L946" s="1" t="str">
        <f t="shared" si="58"/>
        <v>Norrviken 3</v>
      </c>
      <c r="M946" s="1" t="s">
        <v>200</v>
      </c>
      <c r="Q946" s="1">
        <v>2.8</v>
      </c>
      <c r="R946" s="1">
        <v>12.8</v>
      </c>
      <c r="S946" s="1">
        <v>96</v>
      </c>
    </row>
    <row r="947" spans="4:51" x14ac:dyDescent="0.3">
      <c r="D947" s="2">
        <f t="shared" si="56"/>
        <v>2008</v>
      </c>
      <c r="E947" s="2">
        <f t="shared" si="57"/>
        <v>3</v>
      </c>
      <c r="F947" s="3" t="s">
        <v>175</v>
      </c>
      <c r="G947" s="4">
        <v>39518</v>
      </c>
      <c r="J947" s="1" t="s">
        <v>186</v>
      </c>
      <c r="K947" s="1">
        <v>2</v>
      </c>
      <c r="L947" s="1" t="str">
        <f t="shared" si="58"/>
        <v>Norrviken 2</v>
      </c>
      <c r="M947" s="1" t="s">
        <v>195</v>
      </c>
      <c r="Q947" s="1">
        <v>2.8</v>
      </c>
      <c r="R947" s="1">
        <v>12.9</v>
      </c>
      <c r="S947" s="1">
        <v>97</v>
      </c>
    </row>
    <row r="948" spans="4:51" x14ac:dyDescent="0.3">
      <c r="D948" s="2">
        <f t="shared" si="56"/>
        <v>2008</v>
      </c>
      <c r="E948" s="2">
        <f t="shared" si="57"/>
        <v>3</v>
      </c>
      <c r="F948" s="3" t="s">
        <v>175</v>
      </c>
      <c r="G948" s="4">
        <v>39518</v>
      </c>
      <c r="J948" s="1" t="s">
        <v>186</v>
      </c>
      <c r="K948" s="1">
        <v>3</v>
      </c>
      <c r="L948" s="1" t="str">
        <f t="shared" si="58"/>
        <v>Norrviken 3</v>
      </c>
      <c r="M948" s="1" t="s">
        <v>195</v>
      </c>
      <c r="Q948" s="1">
        <v>2.8</v>
      </c>
      <c r="R948" s="1">
        <v>12.8</v>
      </c>
      <c r="S948" s="1">
        <v>95</v>
      </c>
    </row>
    <row r="949" spans="4:51" x14ac:dyDescent="0.3">
      <c r="D949" s="2">
        <f t="shared" si="56"/>
        <v>2008</v>
      </c>
      <c r="E949" s="2">
        <f t="shared" si="57"/>
        <v>3</v>
      </c>
      <c r="F949" s="3" t="s">
        <v>175</v>
      </c>
      <c r="G949" s="4">
        <v>39518</v>
      </c>
      <c r="J949" s="1" t="s">
        <v>186</v>
      </c>
      <c r="K949" s="1">
        <v>2</v>
      </c>
      <c r="L949" s="1" t="str">
        <f t="shared" si="58"/>
        <v>Norrviken 2</v>
      </c>
      <c r="M949" s="1" t="s">
        <v>196</v>
      </c>
      <c r="Q949" s="1">
        <v>2.8</v>
      </c>
      <c r="R949" s="1">
        <v>12.9</v>
      </c>
      <c r="S949" s="1">
        <v>97</v>
      </c>
    </row>
    <row r="950" spans="4:51" x14ac:dyDescent="0.3">
      <c r="D950" s="2">
        <f t="shared" si="56"/>
        <v>2008</v>
      </c>
      <c r="E950" s="2">
        <f t="shared" si="57"/>
        <v>3</v>
      </c>
      <c r="F950" s="3" t="s">
        <v>175</v>
      </c>
      <c r="G950" s="4">
        <v>39518</v>
      </c>
      <c r="J950" s="1" t="s">
        <v>186</v>
      </c>
      <c r="K950" s="1">
        <v>3</v>
      </c>
      <c r="L950" s="1" t="str">
        <f t="shared" si="58"/>
        <v>Norrviken 3</v>
      </c>
      <c r="M950" s="1" t="s">
        <v>196</v>
      </c>
      <c r="Q950" s="1">
        <v>2.8</v>
      </c>
      <c r="R950" s="1">
        <v>12.8</v>
      </c>
      <c r="S950" s="1">
        <v>96</v>
      </c>
    </row>
    <row r="951" spans="4:51" x14ac:dyDescent="0.3">
      <c r="D951" s="2">
        <f t="shared" si="56"/>
        <v>2008</v>
      </c>
      <c r="E951" s="2">
        <f t="shared" si="57"/>
        <v>3</v>
      </c>
      <c r="F951" s="3" t="s">
        <v>175</v>
      </c>
      <c r="G951" s="4">
        <v>39518</v>
      </c>
      <c r="J951" s="1" t="s">
        <v>186</v>
      </c>
      <c r="K951" s="1">
        <v>1</v>
      </c>
      <c r="L951" s="1" t="str">
        <f t="shared" si="58"/>
        <v>Norrviken 1</v>
      </c>
      <c r="M951" s="1" t="s">
        <v>197</v>
      </c>
      <c r="Q951" s="1">
        <v>3.4</v>
      </c>
      <c r="R951" s="1">
        <v>11.8</v>
      </c>
      <c r="S951" s="1">
        <v>90</v>
      </c>
    </row>
    <row r="952" spans="4:51" x14ac:dyDescent="0.3">
      <c r="D952" s="2">
        <f t="shared" si="56"/>
        <v>2008</v>
      </c>
      <c r="E952" s="2">
        <f t="shared" si="57"/>
        <v>3</v>
      </c>
      <c r="F952" s="3" t="s">
        <v>175</v>
      </c>
      <c r="G952" s="4">
        <v>39518</v>
      </c>
      <c r="J952" s="1" t="s">
        <v>186</v>
      </c>
      <c r="K952" s="1">
        <v>2</v>
      </c>
      <c r="L952" s="1" t="str">
        <f t="shared" si="58"/>
        <v>Norrviken 2</v>
      </c>
      <c r="M952" s="1" t="s">
        <v>197</v>
      </c>
      <c r="Q952" s="1">
        <v>2.8</v>
      </c>
      <c r="R952" s="1">
        <v>12.9</v>
      </c>
      <c r="S952" s="1">
        <v>97</v>
      </c>
    </row>
    <row r="953" spans="4:51" x14ac:dyDescent="0.3">
      <c r="D953" s="2">
        <f t="shared" si="56"/>
        <v>2008</v>
      </c>
      <c r="E953" s="2">
        <f t="shared" si="57"/>
        <v>3</v>
      </c>
      <c r="F953" s="3" t="s">
        <v>175</v>
      </c>
      <c r="G953" s="4">
        <v>39518</v>
      </c>
      <c r="J953" s="1" t="s">
        <v>186</v>
      </c>
      <c r="K953" s="1">
        <v>3</v>
      </c>
      <c r="L953" s="1" t="str">
        <f t="shared" si="58"/>
        <v>Norrviken 3</v>
      </c>
      <c r="M953" s="1" t="s">
        <v>197</v>
      </c>
      <c r="Q953" s="1">
        <v>2.8</v>
      </c>
      <c r="R953" s="1">
        <v>12.8</v>
      </c>
      <c r="S953" s="1">
        <v>95</v>
      </c>
    </row>
    <row r="954" spans="4:51" x14ac:dyDescent="0.3">
      <c r="D954" s="2">
        <f t="shared" si="56"/>
        <v>2008</v>
      </c>
      <c r="E954" s="2">
        <f t="shared" si="57"/>
        <v>3</v>
      </c>
      <c r="F954" s="3" t="s">
        <v>175</v>
      </c>
      <c r="G954" s="4">
        <v>39518</v>
      </c>
      <c r="J954" s="1" t="s">
        <v>186</v>
      </c>
      <c r="K954" s="1">
        <v>1</v>
      </c>
      <c r="L954" s="1" t="str">
        <f t="shared" si="58"/>
        <v>Norrviken 1</v>
      </c>
      <c r="M954" s="1" t="s">
        <v>194</v>
      </c>
      <c r="Q954" s="1">
        <v>3.4</v>
      </c>
      <c r="R954" s="1">
        <v>11.9</v>
      </c>
      <c r="S954" s="1">
        <v>91</v>
      </c>
    </row>
    <row r="955" spans="4:51" x14ac:dyDescent="0.3">
      <c r="D955" s="2">
        <f t="shared" si="56"/>
        <v>2008</v>
      </c>
      <c r="E955" s="2">
        <f t="shared" si="57"/>
        <v>3</v>
      </c>
      <c r="F955" s="3" t="s">
        <v>175</v>
      </c>
      <c r="G955" s="4">
        <v>39518</v>
      </c>
      <c r="J955" s="1" t="s">
        <v>186</v>
      </c>
      <c r="K955" s="1">
        <v>2</v>
      </c>
      <c r="L955" s="1" t="str">
        <f t="shared" si="58"/>
        <v>Norrviken 2</v>
      </c>
      <c r="M955" s="1" t="s">
        <v>194</v>
      </c>
      <c r="Q955" s="1">
        <v>2.8</v>
      </c>
      <c r="R955" s="1">
        <v>13</v>
      </c>
      <c r="S955" s="1">
        <v>97</v>
      </c>
    </row>
    <row r="956" spans="4:51" x14ac:dyDescent="0.3">
      <c r="D956" s="2">
        <f t="shared" si="56"/>
        <v>2008</v>
      </c>
      <c r="E956" s="2">
        <f t="shared" si="57"/>
        <v>3</v>
      </c>
      <c r="F956" s="3" t="s">
        <v>175</v>
      </c>
      <c r="G956" s="4">
        <v>39518</v>
      </c>
      <c r="J956" s="1" t="s">
        <v>186</v>
      </c>
      <c r="K956" s="1">
        <v>3</v>
      </c>
      <c r="L956" s="1" t="str">
        <f t="shared" si="58"/>
        <v>Norrviken 3</v>
      </c>
      <c r="M956" s="1" t="s">
        <v>194</v>
      </c>
      <c r="Q956" s="1">
        <v>2.9</v>
      </c>
      <c r="R956" s="1">
        <v>12.8</v>
      </c>
      <c r="S956" s="1">
        <v>96</v>
      </c>
    </row>
    <row r="957" spans="4:51" x14ac:dyDescent="0.3">
      <c r="D957" s="2">
        <f t="shared" si="56"/>
        <v>2008</v>
      </c>
      <c r="E957" s="2">
        <f t="shared" si="57"/>
        <v>3</v>
      </c>
      <c r="F957" s="3" t="s">
        <v>175</v>
      </c>
      <c r="G957" s="4">
        <v>39518</v>
      </c>
      <c r="J957" s="1" t="s">
        <v>186</v>
      </c>
      <c r="K957" s="1">
        <v>3</v>
      </c>
      <c r="L957" s="1" t="str">
        <f t="shared" si="58"/>
        <v>Norrviken 3</v>
      </c>
      <c r="M957" s="1" t="s">
        <v>205</v>
      </c>
      <c r="Q957" s="1">
        <v>2.8</v>
      </c>
      <c r="R957" s="1">
        <v>12.7</v>
      </c>
      <c r="S957" s="1">
        <v>95</v>
      </c>
    </row>
    <row r="958" spans="4:51" x14ac:dyDescent="0.3">
      <c r="D958" s="2">
        <f t="shared" si="56"/>
        <v>2008</v>
      </c>
      <c r="E958" s="2">
        <f t="shared" si="57"/>
        <v>3</v>
      </c>
      <c r="F958" s="3" t="s">
        <v>175</v>
      </c>
      <c r="G958" s="4">
        <v>39518</v>
      </c>
      <c r="J958" s="1" t="s">
        <v>186</v>
      </c>
      <c r="K958" s="1">
        <v>3</v>
      </c>
      <c r="L958" s="1" t="str">
        <f t="shared" si="58"/>
        <v>Norrviken 3</v>
      </c>
      <c r="M958" s="1" t="s">
        <v>204</v>
      </c>
      <c r="Q958" s="1">
        <v>2.8</v>
      </c>
      <c r="R958" s="1">
        <v>12.7</v>
      </c>
      <c r="S958" s="1">
        <v>95</v>
      </c>
    </row>
    <row r="959" spans="4:51" x14ac:dyDescent="0.3">
      <c r="D959" s="2">
        <f t="shared" si="56"/>
        <v>2008</v>
      </c>
      <c r="E959" s="2">
        <f t="shared" si="57"/>
        <v>3</v>
      </c>
      <c r="F959" s="3" t="s">
        <v>175</v>
      </c>
      <c r="G959" s="4">
        <v>39524</v>
      </c>
      <c r="H959" s="1">
        <v>6606238</v>
      </c>
      <c r="I959" s="1">
        <v>661152</v>
      </c>
      <c r="J959" s="5" t="s">
        <v>176</v>
      </c>
      <c r="K959" s="1"/>
      <c r="L959" s="1" t="str">
        <f t="shared" si="58"/>
        <v xml:space="preserve">Oxundaån </v>
      </c>
      <c r="M959" s="1" t="s">
        <v>177</v>
      </c>
      <c r="N959" s="1">
        <v>0.5</v>
      </c>
      <c r="O959" s="1">
        <v>0.5</v>
      </c>
      <c r="Q959" s="1">
        <v>4</v>
      </c>
      <c r="T959" s="1">
        <v>50.3</v>
      </c>
      <c r="V959" s="1">
        <v>2.2559999999999998</v>
      </c>
      <c r="W959" s="1">
        <v>21</v>
      </c>
      <c r="X959" s="1">
        <f t="shared" ref="X959:X1004" si="59">W959 * (1/((10^((0.0901821 + (2729.92 /(273.15 + Q959)))-AE959)+1)))</f>
        <v>0.32017819600279146</v>
      </c>
      <c r="Y959" s="1">
        <v>4.9000000000000002E-2</v>
      </c>
      <c r="Z959" s="1">
        <v>8</v>
      </c>
      <c r="AD959" s="1">
        <v>673</v>
      </c>
      <c r="AE959" s="1">
        <v>8.1300000000000008</v>
      </c>
      <c r="AI959" s="1">
        <v>10.1</v>
      </c>
      <c r="AK959" s="1">
        <v>38</v>
      </c>
      <c r="AL959" s="1">
        <v>1389</v>
      </c>
      <c r="AR959" s="1">
        <v>58.52</v>
      </c>
      <c r="AT959" s="1">
        <v>5.5912999999999995</v>
      </c>
      <c r="AU959" s="1">
        <v>10.817399999999999</v>
      </c>
      <c r="AV959" s="1">
        <v>37.896050000000002</v>
      </c>
      <c r="AW959" s="1">
        <v>27.390360000000001</v>
      </c>
      <c r="AX959" s="1">
        <v>74.909949999999995</v>
      </c>
      <c r="AY959" s="1">
        <v>3.61</v>
      </c>
    </row>
    <row r="960" spans="4:51" x14ac:dyDescent="0.3">
      <c r="D960" s="2">
        <f t="shared" si="56"/>
        <v>2008</v>
      </c>
      <c r="E960" s="2">
        <f t="shared" si="57"/>
        <v>3</v>
      </c>
      <c r="F960" s="3" t="s">
        <v>175</v>
      </c>
      <c r="G960" s="4">
        <v>39538</v>
      </c>
      <c r="J960" s="1" t="s">
        <v>181</v>
      </c>
      <c r="K960" s="1"/>
      <c r="L960" s="1" t="str">
        <f t="shared" si="58"/>
        <v xml:space="preserve">Fysingen </v>
      </c>
      <c r="M960" s="1" t="s">
        <v>177</v>
      </c>
      <c r="Q960" s="1">
        <v>5.2</v>
      </c>
      <c r="V960" s="1">
        <v>1.7190000000000001</v>
      </c>
      <c r="W960" s="1">
        <v>9</v>
      </c>
      <c r="X960" s="1">
        <f t="shared" si="59"/>
        <v>6.3602159632599159E-2</v>
      </c>
      <c r="Y960" s="1">
        <v>3.4000000000000002E-2</v>
      </c>
      <c r="Z960" s="1">
        <v>7</v>
      </c>
      <c r="AB960" s="1">
        <v>5.0999999999999996</v>
      </c>
      <c r="AC960" s="1">
        <v>54.1</v>
      </c>
      <c r="AD960" s="1">
        <v>1349</v>
      </c>
      <c r="AE960" s="1">
        <v>7.75</v>
      </c>
      <c r="AI960" s="1">
        <v>9.3000000000000007</v>
      </c>
      <c r="AK960" s="1">
        <v>30</v>
      </c>
      <c r="AL960" s="1">
        <v>2193</v>
      </c>
      <c r="AV960" s="1">
        <v>37.187049999999999</v>
      </c>
      <c r="AX960" s="1">
        <v>125.26635</v>
      </c>
      <c r="AY960" s="1">
        <v>6.51</v>
      </c>
    </row>
    <row r="961" spans="4:51" x14ac:dyDescent="0.3">
      <c r="D961" s="2">
        <f t="shared" si="56"/>
        <v>2008</v>
      </c>
      <c r="E961" s="2">
        <f t="shared" si="57"/>
        <v>4</v>
      </c>
      <c r="F961" s="3" t="s">
        <v>178</v>
      </c>
      <c r="G961" s="4">
        <v>39553</v>
      </c>
      <c r="H961" s="1">
        <v>6606238</v>
      </c>
      <c r="I961" s="1">
        <v>661152</v>
      </c>
      <c r="J961" s="5" t="s">
        <v>176</v>
      </c>
      <c r="K961" s="1"/>
      <c r="L961" s="1" t="str">
        <f t="shared" si="58"/>
        <v xml:space="preserve">Oxundaån </v>
      </c>
      <c r="M961" s="1" t="s">
        <v>177</v>
      </c>
      <c r="N961" s="1">
        <v>0.5</v>
      </c>
      <c r="O961" s="1">
        <v>0.5</v>
      </c>
      <c r="Q961" s="1">
        <v>6.2</v>
      </c>
      <c r="T961" s="1">
        <v>49.5</v>
      </c>
      <c r="V961" s="1">
        <v>2.23</v>
      </c>
      <c r="W961" s="1">
        <v>17</v>
      </c>
      <c r="X961" s="1">
        <f t="shared" si="59"/>
        <v>0.14929176216759482</v>
      </c>
      <c r="Y961" s="1">
        <v>4.5999999999999999E-2</v>
      </c>
      <c r="Z961" s="1">
        <v>6</v>
      </c>
      <c r="AD961" s="1">
        <v>732</v>
      </c>
      <c r="AE961" s="1">
        <v>7.81</v>
      </c>
      <c r="AI961" s="1">
        <v>9.1</v>
      </c>
      <c r="AK961" s="1">
        <v>25</v>
      </c>
      <c r="AL961" s="1">
        <v>1289</v>
      </c>
      <c r="AR961" s="1">
        <v>55.38</v>
      </c>
      <c r="AT961" s="1">
        <v>5.2785000000000002</v>
      </c>
      <c r="AU961" s="1">
        <v>10.103499999999999</v>
      </c>
      <c r="AV961" s="1">
        <v>40.023050000000005</v>
      </c>
      <c r="AW961" s="1">
        <v>27.069199999999999</v>
      </c>
      <c r="AX961" s="1">
        <v>77.360500000000002</v>
      </c>
      <c r="AY961" s="1">
        <v>3.2</v>
      </c>
    </row>
    <row r="962" spans="4:51" x14ac:dyDescent="0.3">
      <c r="D962" s="2">
        <f t="shared" ref="D962:D1025" si="60">YEAR(G962)</f>
        <v>2008</v>
      </c>
      <c r="E962" s="2">
        <f t="shared" ref="E962:E1025" si="61">MONTH(G962)</f>
        <v>5</v>
      </c>
      <c r="F962" s="3" t="s">
        <v>178</v>
      </c>
      <c r="G962" s="4">
        <v>39574</v>
      </c>
      <c r="J962" s="1" t="s">
        <v>181</v>
      </c>
      <c r="K962" s="1"/>
      <c r="L962" s="1" t="str">
        <f t="shared" ref="L962:L1025" si="62">CONCATENATE(J962," ",K962)</f>
        <v xml:space="preserve">Fysingen </v>
      </c>
      <c r="M962" s="1" t="s">
        <v>177</v>
      </c>
      <c r="P962" s="1">
        <v>1.5</v>
      </c>
      <c r="Q962" s="1">
        <v>16</v>
      </c>
      <c r="V962" s="1">
        <v>1.825</v>
      </c>
      <c r="W962" s="1">
        <v>20</v>
      </c>
      <c r="X962" s="1">
        <f t="shared" si="59"/>
        <v>1.2903120420652376</v>
      </c>
      <c r="Y962" s="1">
        <v>4.2000000000000003E-2</v>
      </c>
      <c r="Z962" s="1">
        <v>6</v>
      </c>
      <c r="AB962" s="1">
        <v>14.6</v>
      </c>
      <c r="AC962" s="1">
        <v>54.2</v>
      </c>
      <c r="AD962" s="1">
        <v>992</v>
      </c>
      <c r="AE962" s="1">
        <v>8.3699999999999992</v>
      </c>
      <c r="AI962" s="1">
        <v>10.8</v>
      </c>
      <c r="AK962" s="1">
        <v>28</v>
      </c>
      <c r="AL962" s="1">
        <v>1622</v>
      </c>
      <c r="AV962" s="1">
        <v>34.032000000000004</v>
      </c>
      <c r="AX962" s="1">
        <v>122.76775000000001</v>
      </c>
      <c r="AY962" s="1">
        <v>4.43</v>
      </c>
    </row>
    <row r="963" spans="4:51" x14ac:dyDescent="0.3">
      <c r="D963" s="2">
        <f t="shared" si="60"/>
        <v>2008</v>
      </c>
      <c r="E963" s="2">
        <f t="shared" si="61"/>
        <v>5</v>
      </c>
      <c r="F963" s="3" t="s">
        <v>178</v>
      </c>
      <c r="G963" s="4">
        <v>39581</v>
      </c>
      <c r="H963" s="1">
        <v>6606238</v>
      </c>
      <c r="I963" s="1">
        <v>661152</v>
      </c>
      <c r="J963" s="5" t="s">
        <v>176</v>
      </c>
      <c r="K963" s="1"/>
      <c r="L963" s="1" t="str">
        <f t="shared" si="62"/>
        <v xml:space="preserve">Oxundaån </v>
      </c>
      <c r="M963" s="1" t="s">
        <v>177</v>
      </c>
      <c r="N963" s="1">
        <v>0.5</v>
      </c>
      <c r="O963" s="1">
        <v>0.5</v>
      </c>
      <c r="Q963" s="1">
        <v>15.2</v>
      </c>
      <c r="T963" s="1">
        <v>50.2</v>
      </c>
      <c r="V963" s="1">
        <v>2.343</v>
      </c>
      <c r="W963" s="1">
        <v>40</v>
      </c>
      <c r="X963" s="1">
        <f t="shared" si="59"/>
        <v>0.75205811113729704</v>
      </c>
      <c r="Y963" s="1">
        <v>4.5999999999999999E-2</v>
      </c>
      <c r="Z963" s="1">
        <v>4</v>
      </c>
      <c r="AD963" s="1">
        <v>363</v>
      </c>
      <c r="AE963" s="1">
        <v>7.84</v>
      </c>
      <c r="AI963" s="1">
        <v>10.3</v>
      </c>
      <c r="AK963" s="1">
        <v>39</v>
      </c>
      <c r="AL963" s="1">
        <v>998</v>
      </c>
      <c r="AR963" s="1">
        <v>56.42</v>
      </c>
      <c r="AT963" s="1">
        <v>5.4349000000000007</v>
      </c>
      <c r="AU963" s="1">
        <v>10.9505</v>
      </c>
      <c r="AV963" s="1">
        <v>35.76905</v>
      </c>
      <c r="AW963" s="1">
        <v>27.917980000000004</v>
      </c>
      <c r="AX963" s="1">
        <v>75.438500000000005</v>
      </c>
      <c r="AY963" s="1">
        <v>2.0299999999999998</v>
      </c>
    </row>
    <row r="964" spans="4:51" x14ac:dyDescent="0.3">
      <c r="D964" s="2">
        <f t="shared" si="60"/>
        <v>2008</v>
      </c>
      <c r="E964" s="2">
        <f t="shared" si="61"/>
        <v>6</v>
      </c>
      <c r="F964" s="3"/>
      <c r="G964" s="4">
        <v>39616</v>
      </c>
      <c r="H964" s="1">
        <v>6606238</v>
      </c>
      <c r="I964" s="1">
        <v>661152</v>
      </c>
      <c r="J964" s="5" t="s">
        <v>176</v>
      </c>
      <c r="K964" s="1"/>
      <c r="L964" s="1" t="str">
        <f t="shared" si="62"/>
        <v xml:space="preserve">Oxundaån </v>
      </c>
      <c r="M964" s="1" t="s">
        <v>177</v>
      </c>
      <c r="N964" s="1">
        <v>0.5</v>
      </c>
      <c r="O964" s="1">
        <v>0.5</v>
      </c>
      <c r="Q964" s="1">
        <v>19.5</v>
      </c>
      <c r="T964" s="1">
        <v>51.6</v>
      </c>
      <c r="V964" s="1">
        <v>2.4689999999999999</v>
      </c>
      <c r="W964" s="1">
        <v>49</v>
      </c>
      <c r="X964" s="1">
        <f t="shared" si="59"/>
        <v>1.5071955987905044</v>
      </c>
      <c r="Y964" s="1">
        <v>5.3999999999999999E-2</v>
      </c>
      <c r="Z964" s="1">
        <v>3</v>
      </c>
      <c r="AD964" s="1">
        <v>8</v>
      </c>
      <c r="AE964" s="1">
        <v>7.92</v>
      </c>
      <c r="AI964" s="1">
        <v>11.8</v>
      </c>
      <c r="AK964" s="1">
        <v>31</v>
      </c>
      <c r="AL964" s="1">
        <v>811</v>
      </c>
      <c r="AR964" s="1">
        <v>59.92</v>
      </c>
      <c r="AT964" s="1">
        <v>5.7085999999999997</v>
      </c>
      <c r="AU964" s="1">
        <v>11.603899999999999</v>
      </c>
      <c r="AV964" s="1">
        <v>38.179650000000002</v>
      </c>
      <c r="AW964" s="1">
        <v>29.340260000000001</v>
      </c>
      <c r="AX964" s="1">
        <v>77.024149999999992</v>
      </c>
      <c r="AY964" s="1">
        <v>0.9</v>
      </c>
    </row>
    <row r="965" spans="4:51" x14ac:dyDescent="0.3">
      <c r="D965" s="2">
        <f t="shared" si="60"/>
        <v>2008</v>
      </c>
      <c r="E965" s="2">
        <f t="shared" si="61"/>
        <v>7</v>
      </c>
      <c r="F965" s="3" t="s">
        <v>179</v>
      </c>
      <c r="G965" s="4">
        <v>39644</v>
      </c>
      <c r="H965" s="1">
        <v>6606238</v>
      </c>
      <c r="I965" s="1">
        <v>661152</v>
      </c>
      <c r="J965" s="5" t="s">
        <v>176</v>
      </c>
      <c r="K965" s="1"/>
      <c r="L965" s="1" t="str">
        <f t="shared" si="62"/>
        <v xml:space="preserve">Oxundaån </v>
      </c>
      <c r="M965" s="1" t="s">
        <v>177</v>
      </c>
      <c r="N965" s="1">
        <v>0.5</v>
      </c>
      <c r="O965" s="1">
        <v>0.5</v>
      </c>
      <c r="Q965" s="1">
        <v>22</v>
      </c>
      <c r="T965" s="1">
        <v>50.6</v>
      </c>
      <c r="V965" s="1">
        <v>2.488</v>
      </c>
      <c r="W965" s="1">
        <v>155</v>
      </c>
      <c r="X965" s="1">
        <f t="shared" si="59"/>
        <v>2.5335478322742779</v>
      </c>
      <c r="Y965" s="1">
        <v>3.7999999999999999E-2</v>
      </c>
      <c r="Z965" s="1">
        <v>69</v>
      </c>
      <c r="AD965" s="1">
        <v>35</v>
      </c>
      <c r="AE965" s="1">
        <v>7.56</v>
      </c>
      <c r="AI965" s="1">
        <v>11.1</v>
      </c>
      <c r="AK965" s="1">
        <v>84</v>
      </c>
      <c r="AL965" s="1">
        <v>844</v>
      </c>
      <c r="AR965" s="1">
        <v>59.720000000000006</v>
      </c>
      <c r="AT965" s="1">
        <v>5.8258999999999999</v>
      </c>
      <c r="AU965" s="1">
        <v>11.652299999999999</v>
      </c>
      <c r="AV965" s="1">
        <v>37.151600000000002</v>
      </c>
      <c r="AW965" s="1">
        <v>29.386140000000001</v>
      </c>
      <c r="AX965" s="1">
        <v>75.006049999999988</v>
      </c>
      <c r="AY965" s="1">
        <v>0.69</v>
      </c>
    </row>
    <row r="966" spans="4:51" x14ac:dyDescent="0.3">
      <c r="D966" s="2">
        <f t="shared" si="60"/>
        <v>2008</v>
      </c>
      <c r="E966" s="2">
        <f t="shared" si="61"/>
        <v>8</v>
      </c>
      <c r="F966" s="3" t="s">
        <v>179</v>
      </c>
      <c r="G966" s="4">
        <v>39666</v>
      </c>
      <c r="J966" s="1" t="s">
        <v>183</v>
      </c>
      <c r="K966" s="1"/>
      <c r="L966" s="1" t="str">
        <f t="shared" si="62"/>
        <v xml:space="preserve">Fjäturen </v>
      </c>
      <c r="M966" s="1" t="s">
        <v>177</v>
      </c>
      <c r="P966" s="1">
        <v>2.8</v>
      </c>
      <c r="Q966" s="1">
        <v>20.2</v>
      </c>
      <c r="R966" s="1">
        <v>7.6</v>
      </c>
      <c r="S966" s="1">
        <v>84</v>
      </c>
      <c r="W966" s="1">
        <v>8</v>
      </c>
      <c r="X966" s="1">
        <f t="shared" si="59"/>
        <v>0.19770762406346856</v>
      </c>
      <c r="Y966" s="1">
        <v>8.7999999999999995E-2</v>
      </c>
      <c r="Z966" s="1">
        <v>0.1</v>
      </c>
      <c r="AB966" s="1">
        <v>9.3794149999999998</v>
      </c>
      <c r="AC966" s="1">
        <v>32.299999999999997</v>
      </c>
      <c r="AD966" s="1">
        <v>2</v>
      </c>
      <c r="AE966" s="1">
        <v>7.8</v>
      </c>
      <c r="AI966" s="1">
        <v>10.7</v>
      </c>
      <c r="AK966" s="1">
        <v>27</v>
      </c>
      <c r="AL966" s="1">
        <v>573</v>
      </c>
    </row>
    <row r="967" spans="4:51" x14ac:dyDescent="0.3">
      <c r="D967" s="2">
        <f t="shared" si="60"/>
        <v>2008</v>
      </c>
      <c r="E967" s="2">
        <f t="shared" si="61"/>
        <v>8</v>
      </c>
      <c r="F967" s="3" t="s">
        <v>179</v>
      </c>
      <c r="G967" s="4">
        <v>39666</v>
      </c>
      <c r="J967" s="1" t="s">
        <v>183</v>
      </c>
      <c r="K967" s="1"/>
      <c r="L967" s="1" t="str">
        <f t="shared" si="62"/>
        <v xml:space="preserve">Fjäturen </v>
      </c>
      <c r="M967" s="1" t="s">
        <v>184</v>
      </c>
      <c r="Q967" s="1">
        <v>10.3</v>
      </c>
      <c r="R967" s="1">
        <v>0.1</v>
      </c>
      <c r="S967" s="1">
        <v>1</v>
      </c>
      <c r="W967" s="1">
        <v>357</v>
      </c>
      <c r="X967" s="1">
        <f t="shared" si="59"/>
        <v>5.944934905477453</v>
      </c>
      <c r="Y967" s="1">
        <v>7.4999999999999997E-2</v>
      </c>
      <c r="Z967" s="1">
        <v>138</v>
      </c>
      <c r="AC967" s="1">
        <v>34</v>
      </c>
      <c r="AD967" s="1">
        <v>0.1</v>
      </c>
      <c r="AE967" s="1">
        <v>7.95</v>
      </c>
      <c r="AF967" s="1">
        <v>2.5000000000000001E-2</v>
      </c>
      <c r="AI967" s="1">
        <v>11</v>
      </c>
      <c r="AK967" s="1">
        <v>177</v>
      </c>
      <c r="AL967" s="1">
        <v>1057</v>
      </c>
    </row>
    <row r="968" spans="4:51" x14ac:dyDescent="0.3">
      <c r="D968" s="2">
        <f t="shared" si="60"/>
        <v>2008</v>
      </c>
      <c r="E968" s="2">
        <f t="shared" si="61"/>
        <v>8</v>
      </c>
      <c r="F968" s="3" t="s">
        <v>179</v>
      </c>
      <c r="G968" s="4">
        <v>39666</v>
      </c>
      <c r="J968" s="1" t="s">
        <v>185</v>
      </c>
      <c r="K968" s="1"/>
      <c r="L968" s="1" t="str">
        <f t="shared" si="62"/>
        <v xml:space="preserve">Gullsjön </v>
      </c>
      <c r="M968" s="1" t="s">
        <v>177</v>
      </c>
      <c r="P968" s="1">
        <v>2</v>
      </c>
      <c r="Q968" s="1">
        <v>18.7</v>
      </c>
      <c r="R968" s="1">
        <v>3.7</v>
      </c>
      <c r="S968" s="1">
        <v>39</v>
      </c>
      <c r="W968" s="1">
        <v>14</v>
      </c>
      <c r="X968" s="1">
        <f t="shared" si="59"/>
        <v>0.16109185146830565</v>
      </c>
      <c r="Y968" s="1">
        <v>0.14499999999999999</v>
      </c>
      <c r="Z968" s="1">
        <v>3</v>
      </c>
      <c r="AB968" s="1">
        <v>6.4441333333333297</v>
      </c>
      <c r="AC968" s="1">
        <v>33.799999999999997</v>
      </c>
      <c r="AD968" s="1">
        <v>0.1</v>
      </c>
      <c r="AE968" s="1">
        <v>7.51</v>
      </c>
      <c r="AI968" s="1">
        <v>11.1</v>
      </c>
      <c r="AK968" s="1">
        <v>10</v>
      </c>
      <c r="AL968" s="1">
        <v>727</v>
      </c>
    </row>
    <row r="969" spans="4:51" x14ac:dyDescent="0.3">
      <c r="D969" s="2">
        <f t="shared" si="60"/>
        <v>2008</v>
      </c>
      <c r="E969" s="2">
        <f t="shared" si="61"/>
        <v>8</v>
      </c>
      <c r="F969" s="3" t="s">
        <v>179</v>
      </c>
      <c r="G969" s="4">
        <v>39666</v>
      </c>
      <c r="J969" s="1" t="s">
        <v>185</v>
      </c>
      <c r="K969" s="1"/>
      <c r="L969" s="1" t="str">
        <f t="shared" si="62"/>
        <v xml:space="preserve">Gullsjön </v>
      </c>
      <c r="M969" s="1" t="s">
        <v>184</v>
      </c>
      <c r="Q969" s="1">
        <v>18.2</v>
      </c>
      <c r="R969" s="1">
        <v>3</v>
      </c>
      <c r="S969" s="1">
        <v>32</v>
      </c>
      <c r="W969" s="1">
        <v>47</v>
      </c>
      <c r="X969" s="1">
        <f t="shared" si="59"/>
        <v>0.27508548060269017</v>
      </c>
      <c r="Y969" s="1">
        <v>0.122</v>
      </c>
      <c r="Z969" s="1">
        <v>2</v>
      </c>
      <c r="AC969" s="1">
        <v>38.200000000000003</v>
      </c>
      <c r="AD969" s="1">
        <v>2</v>
      </c>
      <c r="AE969" s="1">
        <v>7.23</v>
      </c>
      <c r="AI969" s="1">
        <v>14</v>
      </c>
      <c r="AK969" s="1">
        <v>11</v>
      </c>
      <c r="AL969" s="1">
        <v>679</v>
      </c>
    </row>
    <row r="970" spans="4:51" x14ac:dyDescent="0.3">
      <c r="D970" s="2">
        <f t="shared" si="60"/>
        <v>2008</v>
      </c>
      <c r="E970" s="2">
        <f t="shared" si="61"/>
        <v>8</v>
      </c>
      <c r="F970" s="3" t="s">
        <v>179</v>
      </c>
      <c r="G970" s="4">
        <v>39666</v>
      </c>
      <c r="J970" s="1" t="s">
        <v>201</v>
      </c>
      <c r="K970" s="1"/>
      <c r="L970" s="1" t="str">
        <f t="shared" si="62"/>
        <v xml:space="preserve">Mörtsjön </v>
      </c>
      <c r="M970" s="1" t="s">
        <v>177</v>
      </c>
      <c r="P970" s="1">
        <v>2.2000000000000002</v>
      </c>
      <c r="Q970" s="1">
        <v>19.399999999999999</v>
      </c>
      <c r="R970" s="1">
        <v>6.1</v>
      </c>
      <c r="S970" s="1">
        <v>67</v>
      </c>
      <c r="W970" s="1">
        <v>1</v>
      </c>
      <c r="X970" s="1">
        <f t="shared" si="59"/>
        <v>1.7805359756701517E-2</v>
      </c>
      <c r="Y970" s="1">
        <v>0.10299999999999999</v>
      </c>
      <c r="Z970" s="1">
        <v>2</v>
      </c>
      <c r="AB970" s="1">
        <v>14.049513749999999</v>
      </c>
      <c r="AC970" s="1">
        <v>29.5</v>
      </c>
      <c r="AD970" s="1">
        <v>3</v>
      </c>
      <c r="AE970" s="1">
        <v>7.68</v>
      </c>
      <c r="AF970" s="1">
        <v>2.5000000000000001E-2</v>
      </c>
      <c r="AI970" s="1">
        <v>12.5</v>
      </c>
      <c r="AK970" s="1">
        <v>33</v>
      </c>
      <c r="AL970" s="1">
        <v>666</v>
      </c>
    </row>
    <row r="971" spans="4:51" x14ac:dyDescent="0.3">
      <c r="D971" s="2">
        <f t="shared" si="60"/>
        <v>2008</v>
      </c>
      <c r="E971" s="2">
        <f t="shared" si="61"/>
        <v>8</v>
      </c>
      <c r="F971" s="3" t="s">
        <v>179</v>
      </c>
      <c r="G971" s="4">
        <v>39666</v>
      </c>
      <c r="J971" s="1" t="s">
        <v>201</v>
      </c>
      <c r="K971" s="1"/>
      <c r="L971" s="1" t="str">
        <f t="shared" si="62"/>
        <v xml:space="preserve">Mörtsjön </v>
      </c>
      <c r="M971" s="1" t="s">
        <v>184</v>
      </c>
      <c r="Q971" s="1">
        <v>16</v>
      </c>
      <c r="R971" s="1">
        <v>0.2</v>
      </c>
      <c r="S971" s="1">
        <v>2</v>
      </c>
      <c r="W971" s="1">
        <v>135</v>
      </c>
      <c r="X971" s="1">
        <f t="shared" si="59"/>
        <v>1.1357761126458026</v>
      </c>
      <c r="Y971" s="1">
        <v>0.13</v>
      </c>
      <c r="Z971" s="1">
        <v>2</v>
      </c>
      <c r="AC971" s="1">
        <v>31.7</v>
      </c>
      <c r="AD971" s="1">
        <v>22</v>
      </c>
      <c r="AE971" s="1">
        <v>7.46</v>
      </c>
      <c r="AI971" s="1">
        <v>13</v>
      </c>
      <c r="AK971" s="1">
        <v>80</v>
      </c>
      <c r="AL971" s="1">
        <v>1134</v>
      </c>
    </row>
    <row r="972" spans="4:51" x14ac:dyDescent="0.3">
      <c r="D972" s="2">
        <f t="shared" si="60"/>
        <v>2008</v>
      </c>
      <c r="E972" s="2">
        <f t="shared" si="61"/>
        <v>8</v>
      </c>
      <c r="F972" s="3" t="s">
        <v>179</v>
      </c>
      <c r="G972" s="4">
        <v>39666</v>
      </c>
      <c r="J972" s="1" t="s">
        <v>186</v>
      </c>
      <c r="K972" s="1">
        <v>1</v>
      </c>
      <c r="L972" s="1" t="str">
        <f t="shared" si="62"/>
        <v>Norrviken 1</v>
      </c>
      <c r="M972" s="1" t="s">
        <v>177</v>
      </c>
      <c r="P972" s="1">
        <v>1.1000000000000001</v>
      </c>
      <c r="Q972" s="1">
        <v>19.5</v>
      </c>
      <c r="R972" s="1">
        <v>8.6</v>
      </c>
      <c r="S972" s="1">
        <v>93</v>
      </c>
      <c r="W972" s="1">
        <v>7</v>
      </c>
      <c r="X972" s="1">
        <f t="shared" si="59"/>
        <v>0.4847033244803588</v>
      </c>
      <c r="Y972" s="1">
        <v>5.2999999999999999E-2</v>
      </c>
      <c r="Z972" s="1">
        <v>25</v>
      </c>
      <c r="AB972" s="1">
        <v>39.880944</v>
      </c>
      <c r="AC972" s="1">
        <v>43.7</v>
      </c>
      <c r="AD972" s="1">
        <v>20</v>
      </c>
      <c r="AE972" s="1">
        <v>8.2899999999999991</v>
      </c>
      <c r="AI972" s="1">
        <v>12.3</v>
      </c>
      <c r="AK972" s="1">
        <v>89</v>
      </c>
      <c r="AL972" s="1">
        <v>885</v>
      </c>
    </row>
    <row r="973" spans="4:51" x14ac:dyDescent="0.3">
      <c r="D973" s="2">
        <f t="shared" si="60"/>
        <v>2008</v>
      </c>
      <c r="E973" s="2">
        <f t="shared" si="61"/>
        <v>8</v>
      </c>
      <c r="F973" s="3" t="s">
        <v>179</v>
      </c>
      <c r="G973" s="4">
        <v>39666</v>
      </c>
      <c r="J973" s="1" t="s">
        <v>186</v>
      </c>
      <c r="K973" s="1">
        <v>2</v>
      </c>
      <c r="L973" s="1" t="str">
        <f t="shared" si="62"/>
        <v>Norrviken 2</v>
      </c>
      <c r="M973" s="1" t="s">
        <v>177</v>
      </c>
      <c r="P973" s="1">
        <v>2</v>
      </c>
      <c r="Q973" s="1">
        <v>21.2</v>
      </c>
      <c r="R973" s="1">
        <v>8.6999999999999993</v>
      </c>
      <c r="S973" s="1">
        <v>97</v>
      </c>
      <c r="W973" s="1">
        <v>15</v>
      </c>
      <c r="X973" s="1">
        <f t="shared" si="59"/>
        <v>1.5302937408139141</v>
      </c>
      <c r="Y973" s="1">
        <v>4.2000000000000003E-2</v>
      </c>
      <c r="Z973" s="1">
        <v>9</v>
      </c>
      <c r="AB973" s="1">
        <v>11.253057</v>
      </c>
      <c r="AC973" s="1">
        <v>44.3</v>
      </c>
      <c r="AD973" s="1">
        <v>4</v>
      </c>
      <c r="AE973" s="1">
        <v>8.42</v>
      </c>
      <c r="AI973" s="1">
        <v>12.8</v>
      </c>
      <c r="AK973" s="1">
        <v>34</v>
      </c>
      <c r="AL973" s="1">
        <v>710</v>
      </c>
    </row>
    <row r="974" spans="4:51" x14ac:dyDescent="0.3">
      <c r="D974" s="2">
        <f t="shared" si="60"/>
        <v>2008</v>
      </c>
      <c r="E974" s="2">
        <f t="shared" si="61"/>
        <v>8</v>
      </c>
      <c r="F974" s="3" t="s">
        <v>179</v>
      </c>
      <c r="G974" s="4">
        <v>39666</v>
      </c>
      <c r="J974" s="1" t="s">
        <v>186</v>
      </c>
      <c r="K974" s="1">
        <v>3</v>
      </c>
      <c r="L974" s="1" t="str">
        <f t="shared" si="62"/>
        <v>Norrviken 3</v>
      </c>
      <c r="M974" s="1" t="s">
        <v>177</v>
      </c>
      <c r="P974" s="1">
        <v>2.8</v>
      </c>
      <c r="Q974" s="1">
        <v>21.7</v>
      </c>
      <c r="R974" s="1">
        <v>8.6</v>
      </c>
      <c r="S974" s="1">
        <v>97</v>
      </c>
      <c r="W974" s="1">
        <v>16</v>
      </c>
      <c r="X974" s="1">
        <f t="shared" si="59"/>
        <v>1.4580323873026779</v>
      </c>
      <c r="Y974" s="1">
        <v>5.8000000000000003E-2</v>
      </c>
      <c r="Z974" s="1">
        <v>6</v>
      </c>
      <c r="AB974" s="1">
        <v>6.9748380000000001</v>
      </c>
      <c r="AC974" s="1">
        <v>44.7</v>
      </c>
      <c r="AD974" s="1">
        <v>4</v>
      </c>
      <c r="AE974" s="1">
        <v>8.35</v>
      </c>
      <c r="AI974" s="1">
        <v>12.4</v>
      </c>
      <c r="AK974" s="1">
        <v>32</v>
      </c>
      <c r="AL974" s="1">
        <v>690</v>
      </c>
    </row>
    <row r="975" spans="4:51" x14ac:dyDescent="0.3">
      <c r="D975" s="2">
        <f t="shared" si="60"/>
        <v>2008</v>
      </c>
      <c r="E975" s="2">
        <f t="shared" si="61"/>
        <v>8</v>
      </c>
      <c r="F975" s="3" t="s">
        <v>179</v>
      </c>
      <c r="G975" s="4">
        <v>39666</v>
      </c>
      <c r="J975" s="1" t="s">
        <v>186</v>
      </c>
      <c r="K975" s="1">
        <v>4</v>
      </c>
      <c r="L975" s="1" t="str">
        <f t="shared" si="62"/>
        <v>Norrviken 4</v>
      </c>
      <c r="M975" s="1" t="s">
        <v>177</v>
      </c>
      <c r="P975" s="1">
        <v>1.7</v>
      </c>
      <c r="Q975" s="1">
        <v>20.2</v>
      </c>
      <c r="R975" s="1">
        <v>8.5</v>
      </c>
      <c r="S975" s="1">
        <v>94</v>
      </c>
      <c r="W975" s="1">
        <v>12</v>
      </c>
      <c r="X975" s="1">
        <f t="shared" si="59"/>
        <v>0.70270899420490673</v>
      </c>
      <c r="Y975" s="1">
        <v>0.06</v>
      </c>
      <c r="Z975" s="1">
        <v>17</v>
      </c>
      <c r="AB975" s="1">
        <v>9.1679279999999999</v>
      </c>
      <c r="AC975" s="1">
        <v>42.8</v>
      </c>
      <c r="AD975" s="1">
        <v>3</v>
      </c>
      <c r="AE975" s="1">
        <v>8.19</v>
      </c>
      <c r="AI975" s="1">
        <v>12</v>
      </c>
      <c r="AK975" s="1">
        <v>46</v>
      </c>
      <c r="AL975" s="1">
        <v>721</v>
      </c>
    </row>
    <row r="976" spans="4:51" x14ac:dyDescent="0.3">
      <c r="D976" s="2">
        <f t="shared" si="60"/>
        <v>2008</v>
      </c>
      <c r="E976" s="2">
        <f t="shared" si="61"/>
        <v>8</v>
      </c>
      <c r="F976" s="3" t="s">
        <v>179</v>
      </c>
      <c r="G976" s="4">
        <v>39666</v>
      </c>
      <c r="J976" s="1" t="s">
        <v>186</v>
      </c>
      <c r="K976" s="1">
        <v>1</v>
      </c>
      <c r="L976" s="1" t="str">
        <f t="shared" si="62"/>
        <v>Norrviken 1</v>
      </c>
      <c r="M976" s="1" t="s">
        <v>184</v>
      </c>
      <c r="Q976" s="1">
        <v>18.2</v>
      </c>
      <c r="R976" s="1">
        <v>4</v>
      </c>
      <c r="S976" s="1">
        <v>42</v>
      </c>
      <c r="W976" s="1">
        <v>76</v>
      </c>
      <c r="X976" s="1">
        <f t="shared" si="59"/>
        <v>2.490367302050986</v>
      </c>
      <c r="Y976" s="1">
        <v>5.7000000000000002E-2</v>
      </c>
      <c r="Z976" s="1">
        <v>31</v>
      </c>
      <c r="AC976" s="1">
        <v>44.2</v>
      </c>
      <c r="AD976" s="1">
        <v>83</v>
      </c>
      <c r="AE976" s="1">
        <v>7.99</v>
      </c>
      <c r="AI976" s="1">
        <v>11.9</v>
      </c>
      <c r="AK976" s="1">
        <v>88</v>
      </c>
      <c r="AL976" s="1">
        <v>1061</v>
      </c>
    </row>
    <row r="977" spans="4:38" x14ac:dyDescent="0.3">
      <c r="D977" s="2">
        <f t="shared" si="60"/>
        <v>2008</v>
      </c>
      <c r="E977" s="2">
        <f t="shared" si="61"/>
        <v>8</v>
      </c>
      <c r="F977" s="3" t="s">
        <v>179</v>
      </c>
      <c r="G977" s="4">
        <v>39666</v>
      </c>
      <c r="J977" s="1" t="s">
        <v>186</v>
      </c>
      <c r="K977" s="1">
        <v>2</v>
      </c>
      <c r="L977" s="1" t="str">
        <f t="shared" si="62"/>
        <v>Norrviken 2</v>
      </c>
      <c r="M977" s="1" t="s">
        <v>184</v>
      </c>
      <c r="Q977" s="1">
        <v>13.7</v>
      </c>
      <c r="R977" s="1">
        <v>0.2</v>
      </c>
      <c r="S977" s="1">
        <v>1.6</v>
      </c>
      <c r="W977" s="1">
        <v>141</v>
      </c>
      <c r="X977" s="1">
        <f t="shared" si="59"/>
        <v>2.3171297888966804</v>
      </c>
      <c r="Y977" s="1">
        <v>4.1000000000000002E-2</v>
      </c>
      <c r="Z977" s="1">
        <v>85</v>
      </c>
      <c r="AC977" s="1">
        <v>45</v>
      </c>
      <c r="AD977" s="1">
        <v>6</v>
      </c>
      <c r="AE977" s="1">
        <v>7.83</v>
      </c>
      <c r="AF977" s="1">
        <v>2.5000000000000001E-2</v>
      </c>
      <c r="AI977" s="1">
        <v>12.5</v>
      </c>
      <c r="AK977" s="1">
        <v>114</v>
      </c>
      <c r="AL977" s="1">
        <v>799</v>
      </c>
    </row>
    <row r="978" spans="4:38" x14ac:dyDescent="0.3">
      <c r="D978" s="2">
        <f t="shared" si="60"/>
        <v>2008</v>
      </c>
      <c r="E978" s="2">
        <f t="shared" si="61"/>
        <v>8</v>
      </c>
      <c r="F978" s="3" t="s">
        <v>179</v>
      </c>
      <c r="G978" s="4">
        <v>39666</v>
      </c>
      <c r="J978" s="1" t="s">
        <v>186</v>
      </c>
      <c r="K978" s="1">
        <v>3</v>
      </c>
      <c r="L978" s="1" t="str">
        <f t="shared" si="62"/>
        <v>Norrviken 3</v>
      </c>
      <c r="M978" s="1" t="s">
        <v>184</v>
      </c>
      <c r="Q978" s="1">
        <v>10.5</v>
      </c>
      <c r="R978" s="1">
        <v>0.1</v>
      </c>
      <c r="S978" s="1">
        <v>1</v>
      </c>
      <c r="W978" s="1">
        <v>1542</v>
      </c>
      <c r="X978" s="1">
        <f t="shared" si="59"/>
        <v>14.439793817606953</v>
      </c>
      <c r="Y978" s="1">
        <v>8.4000000000000005E-2</v>
      </c>
      <c r="Z978" s="1">
        <v>690</v>
      </c>
      <c r="AC978" s="1">
        <v>48</v>
      </c>
      <c r="AD978" s="1">
        <v>0.1</v>
      </c>
      <c r="AE978" s="1">
        <v>7.69</v>
      </c>
      <c r="AF978" s="1">
        <v>0.85</v>
      </c>
      <c r="AI978" s="1">
        <v>11.2</v>
      </c>
      <c r="AK978" s="1">
        <v>693</v>
      </c>
      <c r="AL978" s="1">
        <v>1961</v>
      </c>
    </row>
    <row r="979" spans="4:38" x14ac:dyDescent="0.3">
      <c r="D979" s="2">
        <f t="shared" si="60"/>
        <v>2008</v>
      </c>
      <c r="E979" s="2">
        <f t="shared" si="61"/>
        <v>8</v>
      </c>
      <c r="F979" s="3" t="s">
        <v>179</v>
      </c>
      <c r="G979" s="4">
        <v>39666</v>
      </c>
      <c r="J979" s="1" t="s">
        <v>188</v>
      </c>
      <c r="K979" s="1"/>
      <c r="L979" s="1" t="str">
        <f t="shared" si="62"/>
        <v xml:space="preserve">Ravalen </v>
      </c>
      <c r="M979" s="1" t="s">
        <v>177</v>
      </c>
      <c r="P979" s="1">
        <v>1.8</v>
      </c>
      <c r="Q979" s="1">
        <v>18</v>
      </c>
      <c r="R979" s="1">
        <v>5.5</v>
      </c>
      <c r="S979" s="1">
        <v>58</v>
      </c>
      <c r="W979" s="1">
        <v>18</v>
      </c>
      <c r="X979" s="1">
        <f t="shared" si="59"/>
        <v>0.66438811204948245</v>
      </c>
      <c r="Y979" s="1">
        <v>6.5000000000000002E-2</v>
      </c>
      <c r="Z979" s="1">
        <v>0.1</v>
      </c>
      <c r="AB979" s="1">
        <v>8.7217649999999995</v>
      </c>
      <c r="AC979" s="1">
        <v>46.9</v>
      </c>
      <c r="AD979" s="1">
        <v>0.1</v>
      </c>
      <c r="AE979" s="1">
        <v>8.0500000000000007</v>
      </c>
      <c r="AI979" s="1">
        <v>10.6</v>
      </c>
      <c r="AK979" s="1">
        <v>28</v>
      </c>
      <c r="AL979" s="1">
        <v>833</v>
      </c>
    </row>
    <row r="980" spans="4:38" x14ac:dyDescent="0.3">
      <c r="D980" s="2">
        <f t="shared" si="60"/>
        <v>2008</v>
      </c>
      <c r="E980" s="2">
        <f t="shared" si="61"/>
        <v>8</v>
      </c>
      <c r="F980" s="3" t="s">
        <v>179</v>
      </c>
      <c r="G980" s="4">
        <v>39666</v>
      </c>
      <c r="J980" s="1" t="s">
        <v>188</v>
      </c>
      <c r="K980" s="1"/>
      <c r="L980" s="1" t="str">
        <f t="shared" si="62"/>
        <v xml:space="preserve">Ravalen </v>
      </c>
      <c r="M980" s="1" t="s">
        <v>184</v>
      </c>
      <c r="Q980" s="1">
        <v>18</v>
      </c>
      <c r="R980" s="1">
        <v>4</v>
      </c>
      <c r="S980" s="1">
        <v>42</v>
      </c>
      <c r="W980" s="1">
        <v>24</v>
      </c>
      <c r="X980" s="1">
        <f t="shared" si="59"/>
        <v>0.48400083806932648</v>
      </c>
      <c r="Y980" s="1">
        <v>7.2999999999999995E-2</v>
      </c>
      <c r="Z980" s="1">
        <v>3</v>
      </c>
      <c r="AC980" s="1">
        <v>47.1</v>
      </c>
      <c r="AD980" s="1">
        <v>3</v>
      </c>
      <c r="AE980" s="1">
        <v>7.78</v>
      </c>
      <c r="AI980" s="1">
        <v>9</v>
      </c>
      <c r="AK980" s="1">
        <v>29</v>
      </c>
      <c r="AL980" s="1">
        <v>816</v>
      </c>
    </row>
    <row r="981" spans="4:38" x14ac:dyDescent="0.3">
      <c r="D981" s="2">
        <f t="shared" si="60"/>
        <v>2008</v>
      </c>
      <c r="E981" s="2">
        <f t="shared" si="61"/>
        <v>8</v>
      </c>
      <c r="F981" s="3" t="s">
        <v>179</v>
      </c>
      <c r="G981" s="4">
        <v>39666</v>
      </c>
      <c r="J981" s="1" t="s">
        <v>192</v>
      </c>
      <c r="K981" s="1"/>
      <c r="L981" s="1" t="str">
        <f t="shared" si="62"/>
        <v xml:space="preserve">Väsjön </v>
      </c>
      <c r="M981" s="1" t="s">
        <v>177</v>
      </c>
      <c r="P981" s="1">
        <v>2</v>
      </c>
      <c r="Q981" s="1">
        <v>19.100000000000001</v>
      </c>
      <c r="R981" s="1">
        <v>4.3</v>
      </c>
      <c r="S981" s="1">
        <v>47</v>
      </c>
      <c r="W981" s="1">
        <v>7</v>
      </c>
      <c r="X981" s="1">
        <f t="shared" si="59"/>
        <v>0.10174510187184653</v>
      </c>
      <c r="Y981" s="1">
        <v>7.0000000000000007E-2</v>
      </c>
      <c r="Z981" s="1">
        <v>0.1</v>
      </c>
      <c r="AB981" s="1">
        <v>6.0016538461538396</v>
      </c>
      <c r="AC981" s="1">
        <v>44.6</v>
      </c>
      <c r="AD981" s="1">
        <v>0.1</v>
      </c>
      <c r="AE981" s="1">
        <v>7.6</v>
      </c>
      <c r="AI981" s="1">
        <v>12.5</v>
      </c>
      <c r="AK981" s="1">
        <v>19</v>
      </c>
      <c r="AL981" s="1">
        <v>700</v>
      </c>
    </row>
    <row r="982" spans="4:38" x14ac:dyDescent="0.3">
      <c r="D982" s="2">
        <f t="shared" si="60"/>
        <v>2008</v>
      </c>
      <c r="E982" s="2">
        <f t="shared" si="61"/>
        <v>8</v>
      </c>
      <c r="F982" s="3" t="s">
        <v>179</v>
      </c>
      <c r="G982" s="4">
        <v>39666</v>
      </c>
      <c r="J982" s="1" t="s">
        <v>192</v>
      </c>
      <c r="K982" s="1"/>
      <c r="L982" s="1" t="str">
        <f t="shared" si="62"/>
        <v xml:space="preserve">Väsjön </v>
      </c>
      <c r="M982" s="1" t="s">
        <v>184</v>
      </c>
      <c r="Q982" s="1">
        <v>19.2</v>
      </c>
      <c r="R982" s="1">
        <v>4</v>
      </c>
      <c r="S982" s="1">
        <v>43</v>
      </c>
      <c r="W982" s="1">
        <v>6</v>
      </c>
      <c r="X982" s="1">
        <f t="shared" si="59"/>
        <v>0.11526471018852319</v>
      </c>
      <c r="Y982" s="1">
        <v>7.0000000000000007E-2</v>
      </c>
      <c r="Z982" s="1">
        <v>0.1</v>
      </c>
      <c r="AC982" s="1">
        <v>45</v>
      </c>
      <c r="AD982" s="1">
        <v>0.1</v>
      </c>
      <c r="AE982" s="1">
        <v>7.72</v>
      </c>
      <c r="AI982" s="1">
        <v>14.2</v>
      </c>
      <c r="AK982" s="1">
        <v>18</v>
      </c>
      <c r="AL982" s="1">
        <v>730</v>
      </c>
    </row>
    <row r="983" spans="4:38" x14ac:dyDescent="0.3">
      <c r="D983" s="2">
        <f t="shared" si="60"/>
        <v>2008</v>
      </c>
      <c r="E983" s="2">
        <f t="shared" si="61"/>
        <v>8</v>
      </c>
      <c r="F983" s="3" t="s">
        <v>179</v>
      </c>
      <c r="G983" s="4">
        <v>39667</v>
      </c>
      <c r="J983" s="1" t="s">
        <v>182</v>
      </c>
      <c r="K983" s="1"/>
      <c r="L983" s="1" t="str">
        <f t="shared" si="62"/>
        <v xml:space="preserve">Edssjön </v>
      </c>
      <c r="M983" s="1" t="s">
        <v>177</v>
      </c>
      <c r="P983" s="1">
        <v>0.9</v>
      </c>
      <c r="Q983" s="1">
        <v>19.5</v>
      </c>
      <c r="R983" s="1">
        <v>6.4</v>
      </c>
      <c r="S983" s="1">
        <v>69</v>
      </c>
      <c r="W983" s="1">
        <v>530</v>
      </c>
      <c r="X983" s="1">
        <f t="shared" si="59"/>
        <v>14.255306853671517</v>
      </c>
      <c r="Y983" s="1">
        <v>0.10299999999999999</v>
      </c>
      <c r="Z983" s="1">
        <v>37</v>
      </c>
      <c r="AB983" s="1">
        <v>53.132184000000002</v>
      </c>
      <c r="AC983" s="1">
        <v>40.5</v>
      </c>
      <c r="AD983" s="1">
        <v>1</v>
      </c>
      <c r="AE983" s="1">
        <v>7.86</v>
      </c>
      <c r="AI983" s="1">
        <v>10.4</v>
      </c>
      <c r="AK983" s="1">
        <v>130</v>
      </c>
      <c r="AL983" s="1">
        <v>1603</v>
      </c>
    </row>
    <row r="984" spans="4:38" x14ac:dyDescent="0.3">
      <c r="D984" s="2">
        <f t="shared" si="60"/>
        <v>2008</v>
      </c>
      <c r="E984" s="2">
        <f t="shared" si="61"/>
        <v>8</v>
      </c>
      <c r="F984" s="3" t="s">
        <v>179</v>
      </c>
      <c r="G984" s="4">
        <v>39667</v>
      </c>
      <c r="J984" s="1" t="s">
        <v>182</v>
      </c>
      <c r="K984" s="1"/>
      <c r="L984" s="1" t="str">
        <f t="shared" si="62"/>
        <v xml:space="preserve">Edssjön </v>
      </c>
      <c r="M984" s="1" t="s">
        <v>184</v>
      </c>
      <c r="Q984" s="1">
        <v>18.8</v>
      </c>
      <c r="R984" s="1">
        <v>1.7</v>
      </c>
      <c r="S984" s="1">
        <v>19</v>
      </c>
      <c r="W984" s="1">
        <v>683</v>
      </c>
      <c r="X984" s="1">
        <f t="shared" si="59"/>
        <v>9.7134962251349464</v>
      </c>
      <c r="Y984" s="1">
        <v>0.14199999999999999</v>
      </c>
      <c r="Z984" s="1">
        <v>56</v>
      </c>
      <c r="AC984" s="1">
        <v>39.9</v>
      </c>
      <c r="AD984" s="1">
        <v>20</v>
      </c>
      <c r="AE984" s="1">
        <v>7.6</v>
      </c>
      <c r="AF984" s="1">
        <v>2.5000000000000001E-2</v>
      </c>
      <c r="AI984" s="1">
        <v>9.9</v>
      </c>
      <c r="AK984" s="1">
        <v>116</v>
      </c>
      <c r="AL984" s="1">
        <v>1521</v>
      </c>
    </row>
    <row r="985" spans="4:38" x14ac:dyDescent="0.3">
      <c r="D985" s="2">
        <f t="shared" si="60"/>
        <v>2008</v>
      </c>
      <c r="E985" s="2">
        <f t="shared" si="61"/>
        <v>8</v>
      </c>
      <c r="F985" s="3" t="s">
        <v>179</v>
      </c>
      <c r="G985" s="4">
        <v>39667</v>
      </c>
      <c r="J985" s="1" t="s">
        <v>187</v>
      </c>
      <c r="K985" s="1"/>
      <c r="L985" s="1" t="str">
        <f t="shared" si="62"/>
        <v xml:space="preserve">Oxundasjön </v>
      </c>
      <c r="M985" s="1" t="s">
        <v>177</v>
      </c>
      <c r="P985" s="1">
        <v>1.7</v>
      </c>
      <c r="Q985" s="1">
        <v>19.899999999999999</v>
      </c>
      <c r="R985" s="1">
        <v>6.8</v>
      </c>
      <c r="S985" s="1">
        <v>75</v>
      </c>
      <c r="W985" s="1">
        <v>111</v>
      </c>
      <c r="X985" s="1">
        <f t="shared" si="59"/>
        <v>2.7461103638493065</v>
      </c>
      <c r="Y985" s="1">
        <v>0.115</v>
      </c>
      <c r="Z985" s="1">
        <v>71</v>
      </c>
      <c r="AB985" s="1">
        <v>8.0821400000000008</v>
      </c>
      <c r="AC985" s="1">
        <v>50.1</v>
      </c>
      <c r="AD985" s="1">
        <v>7</v>
      </c>
      <c r="AE985" s="1">
        <v>7.81</v>
      </c>
      <c r="AI985" s="1">
        <v>12.5</v>
      </c>
      <c r="AK985" s="1">
        <v>111</v>
      </c>
      <c r="AL985" s="1">
        <v>745</v>
      </c>
    </row>
    <row r="986" spans="4:38" x14ac:dyDescent="0.3">
      <c r="D986" s="2">
        <f t="shared" si="60"/>
        <v>2008</v>
      </c>
      <c r="E986" s="2">
        <f t="shared" si="61"/>
        <v>8</v>
      </c>
      <c r="F986" s="3" t="s">
        <v>179</v>
      </c>
      <c r="G986" s="4">
        <v>39667</v>
      </c>
      <c r="J986" s="1" t="s">
        <v>187</v>
      </c>
      <c r="K986" s="1"/>
      <c r="L986" s="1" t="str">
        <f t="shared" si="62"/>
        <v xml:space="preserve">Oxundasjön </v>
      </c>
      <c r="M986" s="1" t="s">
        <v>184</v>
      </c>
      <c r="Q986" s="1">
        <v>20</v>
      </c>
      <c r="R986" s="1">
        <v>6.6</v>
      </c>
      <c r="S986" s="1">
        <v>73</v>
      </c>
      <c r="W986" s="1">
        <v>114</v>
      </c>
      <c r="X986" s="1">
        <f t="shared" si="59"/>
        <v>2.8405255607542794</v>
      </c>
      <c r="Y986" s="1">
        <v>0.10199999999999999</v>
      </c>
      <c r="Z986" s="1">
        <v>74</v>
      </c>
      <c r="AC986" s="1">
        <v>50</v>
      </c>
      <c r="AD986" s="1">
        <v>7</v>
      </c>
      <c r="AE986" s="1">
        <v>7.81</v>
      </c>
      <c r="AI986" s="1">
        <v>8</v>
      </c>
      <c r="AK986" s="1">
        <v>119</v>
      </c>
      <c r="AL986" s="1">
        <v>751</v>
      </c>
    </row>
    <row r="987" spans="4:38" x14ac:dyDescent="0.3">
      <c r="D987" s="2">
        <f t="shared" si="60"/>
        <v>2008</v>
      </c>
      <c r="E987" s="2">
        <f t="shared" si="61"/>
        <v>8</v>
      </c>
      <c r="F987" s="3" t="s">
        <v>179</v>
      </c>
      <c r="G987" s="4">
        <v>39667</v>
      </c>
      <c r="J987" s="1" t="s">
        <v>189</v>
      </c>
      <c r="K987" s="1"/>
      <c r="L987" s="1" t="str">
        <f t="shared" si="62"/>
        <v xml:space="preserve">Rösjön </v>
      </c>
      <c r="M987" s="1" t="s">
        <v>177</v>
      </c>
      <c r="P987" s="1">
        <v>2.5</v>
      </c>
      <c r="Q987" s="1">
        <v>20.6</v>
      </c>
      <c r="R987" s="1">
        <v>7.6</v>
      </c>
      <c r="S987" s="1">
        <v>84</v>
      </c>
      <c r="W987" s="1">
        <v>15</v>
      </c>
      <c r="X987" s="1">
        <f t="shared" si="59"/>
        <v>0.34086435059975967</v>
      </c>
      <c r="Y987" s="1">
        <v>5.0999999999999997E-2</v>
      </c>
      <c r="Z987" s="1">
        <v>0.1</v>
      </c>
      <c r="AB987" s="1">
        <v>5.8174200000000003</v>
      </c>
      <c r="AC987" s="1">
        <v>24.6</v>
      </c>
      <c r="AD987" s="1">
        <v>0.1</v>
      </c>
      <c r="AE987" s="1">
        <v>7.75</v>
      </c>
      <c r="AI987" s="1">
        <v>11.8</v>
      </c>
      <c r="AK987" s="1">
        <v>22</v>
      </c>
      <c r="AL987" s="1">
        <v>604</v>
      </c>
    </row>
    <row r="988" spans="4:38" x14ac:dyDescent="0.3">
      <c r="D988" s="2">
        <f t="shared" si="60"/>
        <v>2008</v>
      </c>
      <c r="E988" s="2">
        <f t="shared" si="61"/>
        <v>8</v>
      </c>
      <c r="F988" s="3" t="s">
        <v>179</v>
      </c>
      <c r="G988" s="4">
        <v>39667</v>
      </c>
      <c r="J988" s="1" t="s">
        <v>189</v>
      </c>
      <c r="K988" s="1"/>
      <c r="L988" s="1" t="str">
        <f t="shared" si="62"/>
        <v xml:space="preserve">Rösjön </v>
      </c>
      <c r="M988" s="1" t="s">
        <v>184</v>
      </c>
      <c r="Q988" s="1">
        <v>19.8</v>
      </c>
      <c r="R988" s="1">
        <v>0.3</v>
      </c>
      <c r="S988" s="1">
        <v>2.2000000000000002</v>
      </c>
      <c r="W988" s="1">
        <v>85</v>
      </c>
      <c r="X988" s="1">
        <f t="shared" si="59"/>
        <v>1.0594160653467277</v>
      </c>
      <c r="Y988" s="1">
        <v>0.05</v>
      </c>
      <c r="Z988" s="1">
        <v>7</v>
      </c>
      <c r="AC988" s="1">
        <v>24.9</v>
      </c>
      <c r="AD988" s="1">
        <v>0.1</v>
      </c>
      <c r="AE988" s="1">
        <v>7.51</v>
      </c>
      <c r="AF988" s="1">
        <v>2.5000000000000001E-2</v>
      </c>
      <c r="AI988" s="1">
        <v>11.5</v>
      </c>
      <c r="AK988" s="1">
        <v>48</v>
      </c>
      <c r="AL988" s="1">
        <v>655</v>
      </c>
    </row>
    <row r="989" spans="4:38" x14ac:dyDescent="0.3">
      <c r="D989" s="2">
        <f t="shared" si="60"/>
        <v>2008</v>
      </c>
      <c r="E989" s="2">
        <f t="shared" si="61"/>
        <v>8</v>
      </c>
      <c r="F989" s="3" t="s">
        <v>179</v>
      </c>
      <c r="G989" s="4">
        <v>39667</v>
      </c>
      <c r="J989" s="1" t="s">
        <v>190</v>
      </c>
      <c r="K989" s="1"/>
      <c r="L989" s="1" t="str">
        <f t="shared" si="62"/>
        <v xml:space="preserve">Snuggan </v>
      </c>
      <c r="M989" s="1" t="s">
        <v>177</v>
      </c>
      <c r="P989" s="1">
        <v>1</v>
      </c>
      <c r="Q989" s="1">
        <v>17.8</v>
      </c>
      <c r="R989" s="1">
        <v>6.8</v>
      </c>
      <c r="S989" s="1">
        <v>71</v>
      </c>
      <c r="V989" s="1">
        <v>2.8497261410788399E-2</v>
      </c>
      <c r="W989" s="1">
        <v>3</v>
      </c>
      <c r="X989" s="1">
        <f t="shared" si="59"/>
        <v>4.5091359236296982E-4</v>
      </c>
      <c r="Y989" s="1">
        <v>0.40500000000000003</v>
      </c>
      <c r="Z989" s="1">
        <v>1</v>
      </c>
      <c r="AB989" s="1">
        <v>22.470424000000001</v>
      </c>
      <c r="AC989" s="1">
        <v>5.37</v>
      </c>
      <c r="AD989" s="1">
        <v>0.1</v>
      </c>
      <c r="AE989" s="1">
        <v>5.65</v>
      </c>
      <c r="AI989" s="1">
        <v>23.8</v>
      </c>
      <c r="AK989" s="1">
        <v>24</v>
      </c>
      <c r="AL989" s="1">
        <v>941</v>
      </c>
    </row>
    <row r="990" spans="4:38" x14ac:dyDescent="0.3">
      <c r="D990" s="2">
        <f t="shared" si="60"/>
        <v>2008</v>
      </c>
      <c r="E990" s="2">
        <f t="shared" si="61"/>
        <v>8</v>
      </c>
      <c r="F990" s="3" t="s">
        <v>179</v>
      </c>
      <c r="G990" s="4">
        <v>39667</v>
      </c>
      <c r="J990" s="1" t="s">
        <v>190</v>
      </c>
      <c r="K990" s="1"/>
      <c r="L990" s="1" t="str">
        <f t="shared" si="62"/>
        <v xml:space="preserve">Snuggan </v>
      </c>
      <c r="M990" s="1" t="s">
        <v>184</v>
      </c>
      <c r="Q990" s="1">
        <v>12.8</v>
      </c>
      <c r="R990" s="1">
        <v>0.1</v>
      </c>
      <c r="S990" s="1">
        <v>1</v>
      </c>
      <c r="V990" s="1">
        <v>0.179125643153527</v>
      </c>
      <c r="W990" s="1">
        <v>313</v>
      </c>
      <c r="X990" s="1">
        <f t="shared" si="59"/>
        <v>7.5581150856070325E-2</v>
      </c>
      <c r="Y990" s="1">
        <v>0.51200000000000001</v>
      </c>
      <c r="Z990" s="1">
        <v>0.1</v>
      </c>
      <c r="AC990" s="1">
        <v>6.23</v>
      </c>
      <c r="AD990" s="1">
        <v>0.1</v>
      </c>
      <c r="AE990" s="1">
        <v>6.02</v>
      </c>
      <c r="AF990" s="1">
        <v>2.5000000000000001E-2</v>
      </c>
      <c r="AI990" s="1">
        <v>25.9</v>
      </c>
      <c r="AK990" s="1">
        <v>45</v>
      </c>
      <c r="AL990" s="1">
        <v>1283</v>
      </c>
    </row>
    <row r="991" spans="4:38" x14ac:dyDescent="0.3">
      <c r="D991" s="2">
        <f t="shared" si="60"/>
        <v>2008</v>
      </c>
      <c r="E991" s="2">
        <f t="shared" si="61"/>
        <v>8</v>
      </c>
      <c r="F991" s="3" t="s">
        <v>179</v>
      </c>
      <c r="G991" s="4">
        <v>39667</v>
      </c>
      <c r="J991" s="1" t="s">
        <v>191</v>
      </c>
      <c r="K991" s="1">
        <v>1</v>
      </c>
      <c r="L991" s="1" t="str">
        <f t="shared" si="62"/>
        <v>Vallentunasjön 1</v>
      </c>
      <c r="M991" s="1" t="s">
        <v>177</v>
      </c>
      <c r="P991" s="1">
        <v>0.8</v>
      </c>
      <c r="Q991" s="1">
        <v>17.600000000000001</v>
      </c>
      <c r="R991" s="1">
        <v>9.8000000000000007</v>
      </c>
      <c r="S991" s="1">
        <v>103</v>
      </c>
      <c r="W991" s="1">
        <v>5</v>
      </c>
      <c r="X991" s="1">
        <f t="shared" si="59"/>
        <v>0.31703285595741204</v>
      </c>
      <c r="Y991" s="1">
        <v>0.11799999999999999</v>
      </c>
      <c r="Z991" s="1">
        <v>0.1</v>
      </c>
      <c r="AB991" s="1">
        <v>29.026427999999999</v>
      </c>
      <c r="AC991" s="1">
        <v>37.799999999999997</v>
      </c>
      <c r="AD991" s="1">
        <v>0.1</v>
      </c>
      <c r="AE991" s="1">
        <v>8.31</v>
      </c>
      <c r="AI991" s="1">
        <v>8.5</v>
      </c>
      <c r="AK991" s="1">
        <v>72</v>
      </c>
      <c r="AL991" s="1">
        <v>1155</v>
      </c>
    </row>
    <row r="992" spans="4:38" x14ac:dyDescent="0.3">
      <c r="D992" s="2">
        <f t="shared" si="60"/>
        <v>2008</v>
      </c>
      <c r="E992" s="2">
        <f t="shared" si="61"/>
        <v>8</v>
      </c>
      <c r="F992" s="3" t="s">
        <v>179</v>
      </c>
      <c r="G992" s="4">
        <v>39667</v>
      </c>
      <c r="J992" s="1" t="s">
        <v>191</v>
      </c>
      <c r="K992" s="1">
        <v>2</v>
      </c>
      <c r="L992" s="1" t="str">
        <f t="shared" si="62"/>
        <v>Vallentunasjön 2</v>
      </c>
      <c r="M992" s="1" t="s">
        <v>177</v>
      </c>
      <c r="P992" s="1">
        <v>0.8</v>
      </c>
      <c r="Q992" s="1">
        <v>19</v>
      </c>
      <c r="R992" s="1">
        <v>8.6999999999999993</v>
      </c>
      <c r="S992" s="1">
        <v>94</v>
      </c>
      <c r="W992" s="1">
        <v>5</v>
      </c>
      <c r="X992" s="1">
        <f t="shared" si="59"/>
        <v>0.34181686491825369</v>
      </c>
      <c r="Y992" s="1">
        <v>4.3999999999999997E-2</v>
      </c>
      <c r="Z992" s="1">
        <v>0.1</v>
      </c>
      <c r="AB992" s="1">
        <v>30.890855999999999</v>
      </c>
      <c r="AC992" s="1">
        <v>38.4</v>
      </c>
      <c r="AD992" s="1">
        <v>0.1</v>
      </c>
      <c r="AE992" s="1">
        <v>8.3000000000000007</v>
      </c>
      <c r="AI992" s="1">
        <v>13.6</v>
      </c>
      <c r="AK992" s="1">
        <v>71</v>
      </c>
      <c r="AL992" s="1">
        <v>1060</v>
      </c>
    </row>
    <row r="993" spans="4:51" x14ac:dyDescent="0.3">
      <c r="D993" s="2">
        <f t="shared" si="60"/>
        <v>2008</v>
      </c>
      <c r="E993" s="2">
        <f t="shared" si="61"/>
        <v>8</v>
      </c>
      <c r="F993" s="3" t="s">
        <v>179</v>
      </c>
      <c r="G993" s="4">
        <v>39667</v>
      </c>
      <c r="J993" s="1" t="s">
        <v>191</v>
      </c>
      <c r="K993" s="1">
        <v>1</v>
      </c>
      <c r="L993" s="1" t="str">
        <f t="shared" si="62"/>
        <v>Vallentunasjön 1</v>
      </c>
      <c r="M993" s="1" t="s">
        <v>184</v>
      </c>
      <c r="Q993" s="1">
        <v>17.600000000000001</v>
      </c>
      <c r="R993" s="1">
        <v>7.7</v>
      </c>
      <c r="S993" s="1">
        <v>84</v>
      </c>
      <c r="W993" s="1">
        <v>10</v>
      </c>
      <c r="X993" s="1">
        <f t="shared" si="59"/>
        <v>0.69101206427120498</v>
      </c>
      <c r="Y993" s="1">
        <v>0.12</v>
      </c>
      <c r="Z993" s="1">
        <v>0.1</v>
      </c>
      <c r="AC993" s="1">
        <v>37.799999999999997</v>
      </c>
      <c r="AD993" s="1">
        <v>0.1</v>
      </c>
      <c r="AE993" s="1">
        <v>8.35</v>
      </c>
      <c r="AI993" s="1">
        <v>11.7</v>
      </c>
      <c r="AK993" s="1">
        <v>70</v>
      </c>
      <c r="AL993" s="1">
        <v>1153</v>
      </c>
    </row>
    <row r="994" spans="4:51" x14ac:dyDescent="0.3">
      <c r="D994" s="2">
        <f t="shared" si="60"/>
        <v>2008</v>
      </c>
      <c r="E994" s="2">
        <f t="shared" si="61"/>
        <v>8</v>
      </c>
      <c r="F994" s="3" t="s">
        <v>179</v>
      </c>
      <c r="G994" s="4">
        <v>39667</v>
      </c>
      <c r="J994" s="1" t="s">
        <v>191</v>
      </c>
      <c r="K994" s="1">
        <v>2</v>
      </c>
      <c r="L994" s="1" t="str">
        <f t="shared" si="62"/>
        <v>Vallentunasjön 2</v>
      </c>
      <c r="M994" s="1" t="s">
        <v>184</v>
      </c>
      <c r="Q994" s="1">
        <v>18.5</v>
      </c>
      <c r="R994" s="1">
        <v>5.9</v>
      </c>
      <c r="S994" s="1">
        <v>63</v>
      </c>
      <c r="W994" s="1">
        <v>9</v>
      </c>
      <c r="X994" s="1">
        <f t="shared" si="59"/>
        <v>0.35981586767902535</v>
      </c>
      <c r="Y994" s="1">
        <v>5.7000000000000002E-2</v>
      </c>
      <c r="Z994" s="1">
        <v>0.1</v>
      </c>
      <c r="AC994" s="1">
        <v>38.4</v>
      </c>
      <c r="AD994" s="1">
        <v>0.1</v>
      </c>
      <c r="AE994" s="1">
        <v>8.07</v>
      </c>
      <c r="AI994" s="1">
        <v>10.7</v>
      </c>
      <c r="AK994" s="1">
        <v>84</v>
      </c>
      <c r="AL994" s="1">
        <v>1189</v>
      </c>
    </row>
    <row r="995" spans="4:51" x14ac:dyDescent="0.3">
      <c r="D995" s="2">
        <f t="shared" si="60"/>
        <v>2008</v>
      </c>
      <c r="E995" s="2">
        <f t="shared" si="61"/>
        <v>8</v>
      </c>
      <c r="F995" s="3" t="s">
        <v>179</v>
      </c>
      <c r="G995" s="4">
        <v>39667</v>
      </c>
      <c r="J995" s="1" t="s">
        <v>193</v>
      </c>
      <c r="K995" s="1"/>
      <c r="L995" s="1" t="str">
        <f t="shared" si="62"/>
        <v xml:space="preserve">Översjön </v>
      </c>
      <c r="M995" s="1" t="s">
        <v>177</v>
      </c>
      <c r="P995" s="1">
        <v>2</v>
      </c>
      <c r="Q995" s="1">
        <v>19.8</v>
      </c>
      <c r="R995" s="1">
        <v>7</v>
      </c>
      <c r="S995" s="1">
        <v>77</v>
      </c>
      <c r="W995" s="1">
        <v>91</v>
      </c>
      <c r="X995" s="1">
        <f t="shared" si="59"/>
        <v>1.3601774067750894</v>
      </c>
      <c r="Y995" s="1">
        <v>6.5000000000000002E-2</v>
      </c>
      <c r="Z995" s="1">
        <v>3</v>
      </c>
      <c r="AB995" s="1">
        <v>9.3457919999999994</v>
      </c>
      <c r="AC995" s="1">
        <v>38.700000000000003</v>
      </c>
      <c r="AD995" s="1">
        <v>3</v>
      </c>
      <c r="AE995" s="1">
        <v>7.59</v>
      </c>
      <c r="AI995" s="1">
        <v>11.2</v>
      </c>
      <c r="AK995" s="1">
        <v>52</v>
      </c>
      <c r="AL995" s="1">
        <v>987</v>
      </c>
    </row>
    <row r="996" spans="4:51" x14ac:dyDescent="0.3">
      <c r="D996" s="2">
        <f t="shared" si="60"/>
        <v>2008</v>
      </c>
      <c r="E996" s="2">
        <f t="shared" si="61"/>
        <v>8</v>
      </c>
      <c r="F996" s="3" t="s">
        <v>179</v>
      </c>
      <c r="G996" s="4">
        <v>39667</v>
      </c>
      <c r="J996" s="1" t="s">
        <v>193</v>
      </c>
      <c r="K996" s="1"/>
      <c r="L996" s="1" t="str">
        <f t="shared" si="62"/>
        <v xml:space="preserve">Översjön </v>
      </c>
      <c r="M996" s="1" t="s">
        <v>184</v>
      </c>
      <c r="Q996" s="1">
        <v>19.600000000000001</v>
      </c>
      <c r="R996" s="1">
        <v>4.8</v>
      </c>
      <c r="S996" s="1">
        <v>53</v>
      </c>
      <c r="W996" s="1">
        <v>146</v>
      </c>
      <c r="X996" s="1">
        <f t="shared" si="59"/>
        <v>1.8347997513315359</v>
      </c>
      <c r="Y996" s="1">
        <v>8.5999999999999993E-2</v>
      </c>
      <c r="Z996" s="1">
        <v>5</v>
      </c>
      <c r="AC996" s="1">
        <v>38.700000000000003</v>
      </c>
      <c r="AD996" s="1">
        <v>6</v>
      </c>
      <c r="AE996" s="1">
        <v>7.52</v>
      </c>
      <c r="AI996" s="1">
        <v>11.2</v>
      </c>
      <c r="AK996" s="1">
        <v>53</v>
      </c>
      <c r="AL996" s="1">
        <v>980</v>
      </c>
    </row>
    <row r="997" spans="4:51" x14ac:dyDescent="0.3">
      <c r="D997" s="2">
        <f t="shared" si="60"/>
        <v>2008</v>
      </c>
      <c r="E997" s="2">
        <f t="shared" si="61"/>
        <v>8</v>
      </c>
      <c r="F997" s="3" t="s">
        <v>179</v>
      </c>
      <c r="G997" s="4">
        <v>39679</v>
      </c>
      <c r="H997" s="1">
        <v>6606238</v>
      </c>
      <c r="I997" s="1">
        <v>661152</v>
      </c>
      <c r="J997" s="5" t="s">
        <v>176</v>
      </c>
      <c r="K997" s="1"/>
      <c r="L997" s="1" t="str">
        <f t="shared" si="62"/>
        <v xml:space="preserve">Oxundaån </v>
      </c>
      <c r="M997" s="1" t="s">
        <v>177</v>
      </c>
      <c r="N997" s="1">
        <v>0.5</v>
      </c>
      <c r="O997" s="1">
        <v>0.5</v>
      </c>
      <c r="Q997" s="1">
        <v>18.399999999999999</v>
      </c>
      <c r="T997" s="1">
        <v>49.2</v>
      </c>
      <c r="V997" s="1">
        <v>2.419</v>
      </c>
      <c r="W997" s="1">
        <v>109</v>
      </c>
      <c r="X997" s="1">
        <f t="shared" si="59"/>
        <v>1.5402549148717199</v>
      </c>
      <c r="Y997" s="1">
        <v>4.4999999999999998E-2</v>
      </c>
      <c r="Z997" s="1">
        <v>42</v>
      </c>
      <c r="AD997" s="1">
        <v>26</v>
      </c>
      <c r="AE997" s="1">
        <v>7.61</v>
      </c>
      <c r="AI997" s="1">
        <v>10.1</v>
      </c>
      <c r="AK997" s="1">
        <v>94</v>
      </c>
      <c r="AL997" s="1">
        <v>810</v>
      </c>
      <c r="AR997" s="1">
        <v>55.38</v>
      </c>
      <c r="AT997" s="1">
        <v>5.7867999999999995</v>
      </c>
      <c r="AU997" s="1">
        <v>11.289300000000001</v>
      </c>
      <c r="AV997" s="1">
        <v>38.144200000000005</v>
      </c>
      <c r="AW997" s="1">
        <v>27.528000000000002</v>
      </c>
      <c r="AX997" s="1">
        <v>69.0959</v>
      </c>
      <c r="AY997" s="1">
        <v>2.2400000000000002</v>
      </c>
    </row>
    <row r="998" spans="4:51" x14ac:dyDescent="0.3">
      <c r="D998" s="2">
        <f t="shared" si="60"/>
        <v>2008</v>
      </c>
      <c r="E998" s="2">
        <f t="shared" si="61"/>
        <v>8</v>
      </c>
      <c r="F998" s="3" t="s">
        <v>179</v>
      </c>
      <c r="G998" s="4">
        <v>39680</v>
      </c>
      <c r="J998" s="1" t="s">
        <v>181</v>
      </c>
      <c r="K998" s="1"/>
      <c r="L998" s="1" t="str">
        <f t="shared" si="62"/>
        <v xml:space="preserve">Fysingen </v>
      </c>
      <c r="M998" s="1" t="s">
        <v>177</v>
      </c>
      <c r="P998" s="1">
        <v>2.2999999999999998</v>
      </c>
      <c r="Q998" s="1">
        <v>18.8</v>
      </c>
      <c r="V998" s="1">
        <v>2.1739999999999999</v>
      </c>
      <c r="W998" s="1">
        <v>7</v>
      </c>
      <c r="X998" s="1">
        <f t="shared" si="59"/>
        <v>0.43305124736152173</v>
      </c>
      <c r="Y998" s="1">
        <v>2.9000000000000001E-2</v>
      </c>
      <c r="Z998" s="1">
        <v>2</v>
      </c>
      <c r="AB998" s="1">
        <v>12.3</v>
      </c>
      <c r="AC998" s="1">
        <v>57.7</v>
      </c>
      <c r="AD998" s="1">
        <v>3</v>
      </c>
      <c r="AE998" s="1">
        <v>8.26</v>
      </c>
      <c r="AI998" s="1">
        <v>9.6</v>
      </c>
      <c r="AK998" s="1">
        <v>21</v>
      </c>
      <c r="AL998" s="1">
        <v>613</v>
      </c>
      <c r="AV998" s="1">
        <v>37.399749999999997</v>
      </c>
      <c r="AX998" s="1">
        <v>125.60269999999998</v>
      </c>
      <c r="AY998" s="1">
        <v>0.32</v>
      </c>
    </row>
    <row r="999" spans="4:51" x14ac:dyDescent="0.3">
      <c r="D999" s="2">
        <f t="shared" si="60"/>
        <v>2008</v>
      </c>
      <c r="E999" s="2">
        <f t="shared" si="61"/>
        <v>9</v>
      </c>
      <c r="F999" s="3"/>
      <c r="G999" s="4">
        <v>39707</v>
      </c>
      <c r="H999" s="1">
        <v>6606238</v>
      </c>
      <c r="I999" s="1">
        <v>661152</v>
      </c>
      <c r="J999" s="5" t="s">
        <v>176</v>
      </c>
      <c r="K999" s="1"/>
      <c r="L999" s="1" t="str">
        <f t="shared" si="62"/>
        <v xml:space="preserve">Oxundaån </v>
      </c>
      <c r="M999" s="1" t="s">
        <v>177</v>
      </c>
      <c r="N999" s="1">
        <v>0.5</v>
      </c>
      <c r="O999" s="1">
        <v>0.5</v>
      </c>
      <c r="Q999" s="1">
        <v>13.4</v>
      </c>
      <c r="T999" s="1">
        <v>48.2</v>
      </c>
      <c r="V999" s="1">
        <v>2.3780000000000001</v>
      </c>
      <c r="W999" s="1">
        <v>92</v>
      </c>
      <c r="X999" s="1">
        <f t="shared" si="59"/>
        <v>0.98195469780616707</v>
      </c>
      <c r="Y999" s="1">
        <v>3.9E-2</v>
      </c>
      <c r="Z999" s="1">
        <v>78</v>
      </c>
      <c r="AD999" s="1">
        <v>41</v>
      </c>
      <c r="AE999" s="1">
        <v>7.65</v>
      </c>
      <c r="AI999" s="1">
        <v>10.6</v>
      </c>
      <c r="AK999" s="1">
        <v>102</v>
      </c>
      <c r="AL999" s="1">
        <v>755</v>
      </c>
      <c r="AR999" s="1">
        <v>53.440000000000005</v>
      </c>
      <c r="AT999" s="1">
        <v>5.8258999999999999</v>
      </c>
      <c r="AU999" s="1">
        <v>10.6722</v>
      </c>
      <c r="AV999" s="1">
        <v>39.774900000000009</v>
      </c>
      <c r="AW999" s="1">
        <v>28.904400000000003</v>
      </c>
      <c r="AX999" s="1">
        <v>68.182949999999991</v>
      </c>
      <c r="AY999" s="1">
        <v>0.87</v>
      </c>
    </row>
    <row r="1000" spans="4:51" x14ac:dyDescent="0.3">
      <c r="D1000" s="2">
        <f t="shared" si="60"/>
        <v>2008</v>
      </c>
      <c r="E1000" s="2">
        <f t="shared" si="61"/>
        <v>10</v>
      </c>
      <c r="F1000" s="3" t="s">
        <v>180</v>
      </c>
      <c r="G1000" s="4">
        <v>39729</v>
      </c>
      <c r="J1000" s="1" t="s">
        <v>181</v>
      </c>
      <c r="K1000" s="1"/>
      <c r="L1000" s="1" t="str">
        <f t="shared" si="62"/>
        <v xml:space="preserve">Fysingen </v>
      </c>
      <c r="M1000" s="1" t="s">
        <v>177</v>
      </c>
      <c r="P1000" s="1">
        <v>2</v>
      </c>
      <c r="Q1000" s="1">
        <v>10.4</v>
      </c>
      <c r="V1000" s="1">
        <v>2.2530000000000001</v>
      </c>
      <c r="W1000" s="1">
        <v>32</v>
      </c>
      <c r="X1000" s="1">
        <f t="shared" si="59"/>
        <v>0.58784946261947402</v>
      </c>
      <c r="Y1000" s="1">
        <v>2.7E-2</v>
      </c>
      <c r="Z1000" s="1">
        <v>1</v>
      </c>
      <c r="AB1000" s="1">
        <v>3.9</v>
      </c>
      <c r="AC1000" s="1">
        <v>58.7</v>
      </c>
      <c r="AD1000" s="1">
        <v>37</v>
      </c>
      <c r="AE1000" s="1">
        <v>7.99</v>
      </c>
      <c r="AI1000" s="1">
        <v>8.8000000000000007</v>
      </c>
      <c r="AK1000" s="1">
        <v>17</v>
      </c>
      <c r="AL1000" s="1">
        <v>645</v>
      </c>
      <c r="AV1000" s="1">
        <v>41.866450000000007</v>
      </c>
      <c r="AX1000" s="1">
        <v>124.83389999999999</v>
      </c>
      <c r="AY1000" s="1">
        <v>0.18</v>
      </c>
    </row>
    <row r="1001" spans="4:51" x14ac:dyDescent="0.3">
      <c r="D1001" s="2">
        <f t="shared" si="60"/>
        <v>2008</v>
      </c>
      <c r="E1001" s="2">
        <f t="shared" si="61"/>
        <v>10</v>
      </c>
      <c r="F1001" s="3" t="s">
        <v>180</v>
      </c>
      <c r="G1001" s="4">
        <v>39735</v>
      </c>
      <c r="H1001" s="1">
        <v>6606238</v>
      </c>
      <c r="I1001" s="1">
        <v>661152</v>
      </c>
      <c r="J1001" s="5" t="s">
        <v>176</v>
      </c>
      <c r="K1001" s="1"/>
      <c r="L1001" s="1" t="str">
        <f t="shared" si="62"/>
        <v xml:space="preserve">Oxundaån </v>
      </c>
      <c r="M1001" s="1" t="s">
        <v>177</v>
      </c>
      <c r="N1001" s="1">
        <v>0.5</v>
      </c>
      <c r="O1001" s="1">
        <v>0.5</v>
      </c>
      <c r="Q1001" s="1">
        <v>11</v>
      </c>
      <c r="T1001" s="1">
        <v>49.1</v>
      </c>
      <c r="V1001" s="1">
        <v>2.3740000000000001</v>
      </c>
      <c r="W1001" s="1">
        <v>71</v>
      </c>
      <c r="X1001" s="1">
        <f t="shared" si="59"/>
        <v>0.84827405306889769</v>
      </c>
      <c r="Y1001" s="1">
        <v>3.2000000000000001E-2</v>
      </c>
      <c r="Z1001" s="1">
        <v>62</v>
      </c>
      <c r="AD1001" s="1">
        <v>51</v>
      </c>
      <c r="AE1001" s="1">
        <v>7.78</v>
      </c>
      <c r="AI1001" s="1">
        <v>10.1</v>
      </c>
      <c r="AK1001" s="1">
        <v>82</v>
      </c>
      <c r="AL1001" s="1">
        <v>802</v>
      </c>
      <c r="AR1001" s="1">
        <v>52.400000000000006</v>
      </c>
      <c r="AT1001" s="1">
        <v>5.7867999999999995</v>
      </c>
      <c r="AU1001" s="1">
        <v>10.8537</v>
      </c>
      <c r="AV1001" s="1">
        <v>38.782300000000006</v>
      </c>
      <c r="AW1001" s="1">
        <v>26.908620000000003</v>
      </c>
      <c r="AX1001" s="1">
        <v>64.5792</v>
      </c>
      <c r="AY1001" s="1">
        <v>1.01</v>
      </c>
    </row>
    <row r="1002" spans="4:51" x14ac:dyDescent="0.3">
      <c r="D1002" s="2">
        <f t="shared" si="60"/>
        <v>2008</v>
      </c>
      <c r="E1002" s="2">
        <f t="shared" si="61"/>
        <v>11</v>
      </c>
      <c r="F1002" s="3" t="s">
        <v>180</v>
      </c>
      <c r="G1002" s="4">
        <v>39769</v>
      </c>
      <c r="H1002" s="1">
        <v>6606238</v>
      </c>
      <c r="I1002" s="1">
        <v>661152</v>
      </c>
      <c r="J1002" s="5" t="s">
        <v>176</v>
      </c>
      <c r="K1002" s="1"/>
      <c r="L1002" s="1" t="str">
        <f t="shared" si="62"/>
        <v xml:space="preserve">Oxundaån </v>
      </c>
      <c r="M1002" s="1" t="s">
        <v>177</v>
      </c>
      <c r="N1002" s="1">
        <v>0.5</v>
      </c>
      <c r="O1002" s="1">
        <v>0.5</v>
      </c>
      <c r="Q1002" s="1">
        <v>5</v>
      </c>
      <c r="T1002" s="1">
        <v>48.5</v>
      </c>
      <c r="V1002" s="1">
        <v>2.3839999999999999</v>
      </c>
      <c r="W1002" s="1">
        <v>124</v>
      </c>
      <c r="X1002" s="1">
        <f t="shared" si="59"/>
        <v>0.90262261682343869</v>
      </c>
      <c r="Y1002" s="1">
        <v>4.8000000000000001E-2</v>
      </c>
      <c r="Z1002" s="1">
        <v>60</v>
      </c>
      <c r="AD1002" s="1">
        <v>249</v>
      </c>
      <c r="AE1002" s="1">
        <v>7.77</v>
      </c>
      <c r="AI1002" s="1">
        <v>12</v>
      </c>
      <c r="AK1002" s="1">
        <v>69</v>
      </c>
      <c r="AL1002" s="1">
        <v>1015</v>
      </c>
      <c r="AR1002" s="1">
        <v>53.2</v>
      </c>
      <c r="AT1002" s="1">
        <v>5.7867999999999995</v>
      </c>
      <c r="AU1002" s="1">
        <v>10.817399999999999</v>
      </c>
      <c r="AV1002" s="1">
        <v>38.286000000000008</v>
      </c>
      <c r="AW1002" s="1">
        <v>27.596820000000005</v>
      </c>
      <c r="AX1002" s="1">
        <v>62.224749999999993</v>
      </c>
      <c r="AY1002" s="1">
        <v>1.98</v>
      </c>
    </row>
    <row r="1003" spans="4:51" x14ac:dyDescent="0.3">
      <c r="D1003" s="2">
        <f t="shared" si="60"/>
        <v>2008</v>
      </c>
      <c r="E1003" s="2">
        <f t="shared" si="61"/>
        <v>12</v>
      </c>
      <c r="F1003" s="3" t="s">
        <v>175</v>
      </c>
      <c r="G1003" s="4">
        <v>39798</v>
      </c>
      <c r="H1003" s="1">
        <v>6606238</v>
      </c>
      <c r="I1003" s="1">
        <v>661152</v>
      </c>
      <c r="J1003" s="5" t="s">
        <v>176</v>
      </c>
      <c r="K1003" s="1"/>
      <c r="L1003" s="1" t="str">
        <f t="shared" si="62"/>
        <v xml:space="preserve">Oxundaån </v>
      </c>
      <c r="M1003" s="1" t="s">
        <v>177</v>
      </c>
      <c r="N1003" s="1">
        <v>0.5</v>
      </c>
      <c r="O1003" s="1">
        <v>0.5</v>
      </c>
      <c r="Q1003" s="1">
        <v>1.5</v>
      </c>
      <c r="T1003" s="1">
        <v>47.9</v>
      </c>
      <c r="V1003" s="1">
        <v>2.194</v>
      </c>
      <c r="W1003" s="1">
        <v>109</v>
      </c>
      <c r="X1003" s="1">
        <f t="shared" si="59"/>
        <v>0.35989500361218629</v>
      </c>
      <c r="Y1003" s="1">
        <v>9.6000000000000002E-2</v>
      </c>
      <c r="Z1003" s="1">
        <v>46</v>
      </c>
      <c r="AD1003" s="1">
        <v>810</v>
      </c>
      <c r="AE1003" s="1">
        <v>7.55</v>
      </c>
      <c r="AI1003" s="1">
        <v>13.9</v>
      </c>
      <c r="AK1003" s="1">
        <v>71</v>
      </c>
      <c r="AL1003" s="1">
        <v>1404</v>
      </c>
      <c r="AR1003" s="1">
        <v>54.28</v>
      </c>
      <c r="AT1003" s="1">
        <v>5.9040999999999997</v>
      </c>
      <c r="AU1003" s="1">
        <v>11.0715</v>
      </c>
      <c r="AV1003" s="1">
        <v>35.556350000000002</v>
      </c>
      <c r="AW1003" s="1">
        <v>26.403940000000002</v>
      </c>
      <c r="AX1003" s="1">
        <v>67.173899999999989</v>
      </c>
      <c r="AY1003" s="1">
        <v>3.85</v>
      </c>
    </row>
    <row r="1004" spans="4:51" x14ac:dyDescent="0.3">
      <c r="D1004" s="2">
        <f t="shared" si="60"/>
        <v>2009</v>
      </c>
      <c r="E1004" s="2">
        <f t="shared" si="61"/>
        <v>1</v>
      </c>
      <c r="F1004" s="3" t="s">
        <v>175</v>
      </c>
      <c r="G1004" s="4">
        <v>39834</v>
      </c>
      <c r="H1004" s="1">
        <v>6606238</v>
      </c>
      <c r="I1004" s="1">
        <v>661152</v>
      </c>
      <c r="J1004" s="5" t="s">
        <v>176</v>
      </c>
      <c r="K1004" s="1"/>
      <c r="L1004" s="1" t="str">
        <f t="shared" si="62"/>
        <v xml:space="preserve">Oxundaån </v>
      </c>
      <c r="M1004" s="1" t="s">
        <v>177</v>
      </c>
      <c r="N1004" s="1">
        <v>0.5</v>
      </c>
      <c r="O1004" s="1">
        <v>0.5</v>
      </c>
      <c r="Q1004" s="1">
        <v>1</v>
      </c>
      <c r="T1004" s="1">
        <v>50.9</v>
      </c>
      <c r="V1004" s="1">
        <v>2.27</v>
      </c>
      <c r="W1004" s="1">
        <v>88</v>
      </c>
      <c r="X1004" s="1">
        <f t="shared" si="59"/>
        <v>0.21158980293053875</v>
      </c>
      <c r="Y1004" s="1">
        <v>9.0999999999999998E-2</v>
      </c>
      <c r="Z1004" s="1">
        <v>42</v>
      </c>
      <c r="AD1004" s="1">
        <v>1100</v>
      </c>
      <c r="AE1004" s="1">
        <v>7.43</v>
      </c>
      <c r="AI1004" s="1">
        <v>14</v>
      </c>
      <c r="AK1004" s="1">
        <v>67</v>
      </c>
      <c r="AL1004" s="1">
        <v>1808</v>
      </c>
      <c r="AR1004" s="1">
        <v>59.82</v>
      </c>
      <c r="AT1004" s="1">
        <v>5.9823000000000004</v>
      </c>
      <c r="AU1004" s="1">
        <v>12.0395</v>
      </c>
      <c r="AV1004" s="1">
        <v>35.20185</v>
      </c>
      <c r="AW1004" s="1">
        <v>26.082780000000003</v>
      </c>
      <c r="AX1004" s="1">
        <v>81.396699999999996</v>
      </c>
    </row>
    <row r="1005" spans="4:51" x14ac:dyDescent="0.3">
      <c r="D1005" s="2">
        <f t="shared" si="60"/>
        <v>2009</v>
      </c>
      <c r="E1005" s="2">
        <f t="shared" si="61"/>
        <v>2</v>
      </c>
      <c r="F1005" s="3" t="s">
        <v>175</v>
      </c>
      <c r="G1005" s="4">
        <v>39854</v>
      </c>
      <c r="J1005" s="1" t="s">
        <v>182</v>
      </c>
      <c r="K1005" s="1"/>
      <c r="L1005" s="1" t="str">
        <f t="shared" si="62"/>
        <v xml:space="preserve">Edssjön </v>
      </c>
      <c r="M1005" s="1" t="s">
        <v>177</v>
      </c>
      <c r="P1005" s="1">
        <v>2.1</v>
      </c>
      <c r="Q1005" s="1">
        <v>0.7</v>
      </c>
      <c r="R1005" s="1">
        <v>13.7</v>
      </c>
      <c r="S1005" s="1">
        <v>96</v>
      </c>
      <c r="W1005" s="1">
        <v>0.1</v>
      </c>
      <c r="Y1005" s="1">
        <v>8.3000000000000004E-2</v>
      </c>
      <c r="Z1005" s="1">
        <v>6</v>
      </c>
      <c r="AD1005" s="1">
        <v>735</v>
      </c>
      <c r="AK1005" s="1">
        <v>58</v>
      </c>
      <c r="AL1005" s="1">
        <v>1484</v>
      </c>
    </row>
    <row r="1006" spans="4:51" x14ac:dyDescent="0.3">
      <c r="D1006" s="2">
        <f t="shared" si="60"/>
        <v>2009</v>
      </c>
      <c r="E1006" s="2">
        <f t="shared" si="61"/>
        <v>2</v>
      </c>
      <c r="F1006" s="3" t="s">
        <v>175</v>
      </c>
      <c r="G1006" s="4">
        <v>39854</v>
      </c>
      <c r="J1006" s="1" t="s">
        <v>182</v>
      </c>
      <c r="K1006" s="1"/>
      <c r="L1006" s="1" t="str">
        <f t="shared" si="62"/>
        <v xml:space="preserve">Edssjön </v>
      </c>
      <c r="M1006" s="1" t="s">
        <v>184</v>
      </c>
      <c r="Q1006" s="1">
        <v>3</v>
      </c>
      <c r="R1006" s="1">
        <v>1.1000000000000001</v>
      </c>
      <c r="S1006" s="1">
        <v>8</v>
      </c>
      <c r="W1006" s="1">
        <v>81</v>
      </c>
      <c r="Z1006" s="1">
        <v>51</v>
      </c>
      <c r="AD1006" s="1">
        <v>762</v>
      </c>
      <c r="AK1006" s="1">
        <v>80</v>
      </c>
      <c r="AL1006" s="1">
        <v>1472</v>
      </c>
    </row>
    <row r="1007" spans="4:51" x14ac:dyDescent="0.3">
      <c r="D1007" s="2">
        <f t="shared" si="60"/>
        <v>2009</v>
      </c>
      <c r="E1007" s="2">
        <f t="shared" si="61"/>
        <v>2</v>
      </c>
      <c r="F1007" s="3" t="s">
        <v>175</v>
      </c>
      <c r="G1007" s="4">
        <v>39854</v>
      </c>
      <c r="J1007" s="1" t="s">
        <v>183</v>
      </c>
      <c r="K1007" s="1"/>
      <c r="L1007" s="1" t="str">
        <f t="shared" si="62"/>
        <v xml:space="preserve">Fjäturen </v>
      </c>
      <c r="M1007" s="1" t="s">
        <v>177</v>
      </c>
      <c r="P1007" s="1">
        <v>3.4</v>
      </c>
      <c r="Q1007" s="1">
        <v>1.1000000000000001</v>
      </c>
      <c r="R1007" s="1">
        <v>12.4</v>
      </c>
      <c r="S1007" s="1">
        <v>88</v>
      </c>
      <c r="W1007" s="1">
        <v>28</v>
      </c>
      <c r="Y1007" s="1">
        <v>0.11700000000000001</v>
      </c>
      <c r="Z1007" s="1">
        <v>3</v>
      </c>
      <c r="AD1007" s="1">
        <v>200</v>
      </c>
      <c r="AK1007" s="1">
        <v>18</v>
      </c>
      <c r="AL1007" s="1">
        <v>871</v>
      </c>
    </row>
    <row r="1008" spans="4:51" x14ac:dyDescent="0.3">
      <c r="D1008" s="2">
        <f t="shared" si="60"/>
        <v>2009</v>
      </c>
      <c r="E1008" s="2">
        <f t="shared" si="61"/>
        <v>2</v>
      </c>
      <c r="F1008" s="3" t="s">
        <v>175</v>
      </c>
      <c r="G1008" s="4">
        <v>39854</v>
      </c>
      <c r="J1008" s="1" t="s">
        <v>183</v>
      </c>
      <c r="K1008" s="1"/>
      <c r="L1008" s="1" t="str">
        <f t="shared" si="62"/>
        <v xml:space="preserve">Fjäturen </v>
      </c>
      <c r="M1008" s="1" t="s">
        <v>184</v>
      </c>
      <c r="Q1008" s="1">
        <v>3</v>
      </c>
      <c r="R1008" s="1">
        <v>3.6</v>
      </c>
      <c r="S1008" s="1">
        <v>27</v>
      </c>
      <c r="W1008" s="1">
        <v>201</v>
      </c>
      <c r="Z1008" s="1">
        <v>13</v>
      </c>
      <c r="AD1008" s="1">
        <v>168</v>
      </c>
      <c r="AK1008" s="1">
        <v>26</v>
      </c>
      <c r="AL1008" s="1">
        <v>998</v>
      </c>
    </row>
    <row r="1009" spans="4:50" x14ac:dyDescent="0.3">
      <c r="D1009" s="2">
        <f t="shared" si="60"/>
        <v>2009</v>
      </c>
      <c r="E1009" s="2">
        <f t="shared" si="61"/>
        <v>2</v>
      </c>
      <c r="F1009" s="3" t="s">
        <v>175</v>
      </c>
      <c r="G1009" s="4">
        <v>39854</v>
      </c>
      <c r="J1009" s="1" t="s">
        <v>181</v>
      </c>
      <c r="K1009" s="1"/>
      <c r="L1009" s="1" t="str">
        <f t="shared" si="62"/>
        <v xml:space="preserve">Fysingen </v>
      </c>
      <c r="M1009" s="1" t="s">
        <v>177</v>
      </c>
      <c r="Q1009" s="1">
        <v>0</v>
      </c>
      <c r="V1009" s="1">
        <v>1.9019999999999999</v>
      </c>
      <c r="W1009" s="1">
        <v>139</v>
      </c>
      <c r="X1009" s="1">
        <f>W1009 * (1/((10^((0.0901821 + (2729.92 /(273.15 + Q1009)))-AE1009)+1)))</f>
        <v>0.28037557153326903</v>
      </c>
      <c r="Y1009" s="1">
        <v>8.4000000000000005E-2</v>
      </c>
      <c r="Z1009" s="1">
        <v>26</v>
      </c>
      <c r="AB1009" s="1">
        <v>15.6</v>
      </c>
      <c r="AC1009" s="1">
        <v>53</v>
      </c>
      <c r="AD1009" s="1">
        <v>1384</v>
      </c>
      <c r="AE1009" s="1">
        <v>7.39</v>
      </c>
      <c r="AI1009" s="1">
        <v>16.7</v>
      </c>
      <c r="AK1009" s="1">
        <v>72</v>
      </c>
      <c r="AL1009" s="1">
        <v>2523</v>
      </c>
      <c r="AV1009" s="1">
        <v>32.578550000000007</v>
      </c>
      <c r="AX1009" s="1">
        <v>113.73434999999999</v>
      </c>
    </row>
    <row r="1010" spans="4:50" x14ac:dyDescent="0.3">
      <c r="D1010" s="2">
        <f t="shared" si="60"/>
        <v>2009</v>
      </c>
      <c r="E1010" s="2">
        <f t="shared" si="61"/>
        <v>2</v>
      </c>
      <c r="F1010" s="3" t="s">
        <v>175</v>
      </c>
      <c r="G1010" s="4">
        <v>39854</v>
      </c>
      <c r="J1010" s="1" t="s">
        <v>185</v>
      </c>
      <c r="K1010" s="1"/>
      <c r="L1010" s="1" t="str">
        <f t="shared" si="62"/>
        <v xml:space="preserve">Gullsjön </v>
      </c>
      <c r="M1010" s="1" t="s">
        <v>177</v>
      </c>
      <c r="P1010" s="1">
        <v>2</v>
      </c>
      <c r="Q1010" s="1">
        <v>1.3</v>
      </c>
      <c r="R1010" s="1">
        <v>0.3</v>
      </c>
      <c r="S1010" s="1">
        <v>2.2999999999999998</v>
      </c>
      <c r="W1010" s="1">
        <v>143</v>
      </c>
      <c r="Y1010" s="1">
        <v>0.26300000000000001</v>
      </c>
      <c r="Z1010" s="1">
        <v>2</v>
      </c>
      <c r="AD1010" s="1">
        <v>53</v>
      </c>
      <c r="AK1010" s="1">
        <v>29</v>
      </c>
      <c r="AL1010" s="1">
        <v>1232</v>
      </c>
    </row>
    <row r="1011" spans="4:50" x14ac:dyDescent="0.3">
      <c r="D1011" s="2">
        <f t="shared" si="60"/>
        <v>2009</v>
      </c>
      <c r="E1011" s="2">
        <f t="shared" si="61"/>
        <v>2</v>
      </c>
      <c r="F1011" s="3" t="s">
        <v>175</v>
      </c>
      <c r="G1011" s="4">
        <v>39854</v>
      </c>
      <c r="J1011" s="1" t="s">
        <v>185</v>
      </c>
      <c r="K1011" s="1"/>
      <c r="L1011" s="1" t="str">
        <f t="shared" si="62"/>
        <v xml:space="preserve">Gullsjön </v>
      </c>
      <c r="M1011" s="1" t="s">
        <v>184</v>
      </c>
      <c r="Q1011" s="1">
        <v>2.4</v>
      </c>
      <c r="R1011" s="1">
        <v>0.3</v>
      </c>
      <c r="S1011" s="1">
        <v>1.9</v>
      </c>
      <c r="W1011" s="1">
        <v>264</v>
      </c>
      <c r="Z1011" s="1">
        <v>1</v>
      </c>
      <c r="AD1011" s="1">
        <v>24</v>
      </c>
      <c r="AK1011" s="1">
        <v>29</v>
      </c>
      <c r="AL1011" s="1">
        <v>1177</v>
      </c>
    </row>
    <row r="1012" spans="4:50" x14ac:dyDescent="0.3">
      <c r="D1012" s="2">
        <f t="shared" si="60"/>
        <v>2009</v>
      </c>
      <c r="E1012" s="2">
        <f t="shared" si="61"/>
        <v>2</v>
      </c>
      <c r="F1012" s="3" t="s">
        <v>175</v>
      </c>
      <c r="G1012" s="4">
        <v>39854</v>
      </c>
      <c r="J1012" s="1" t="s">
        <v>201</v>
      </c>
      <c r="K1012" s="1"/>
      <c r="L1012" s="1" t="str">
        <f t="shared" si="62"/>
        <v xml:space="preserve">Mörtsjön </v>
      </c>
      <c r="M1012" s="1" t="s">
        <v>177</v>
      </c>
      <c r="P1012" s="1">
        <v>2.2999999999999998</v>
      </c>
      <c r="Q1012" s="1">
        <v>1.1000000000000001</v>
      </c>
      <c r="R1012" s="1">
        <v>7.4</v>
      </c>
      <c r="S1012" s="1">
        <v>53</v>
      </c>
      <c r="W1012" s="1">
        <v>145</v>
      </c>
      <c r="Y1012" s="1">
        <v>0.28499999999999998</v>
      </c>
      <c r="Z1012" s="1">
        <v>5</v>
      </c>
      <c r="AD1012" s="1">
        <v>916</v>
      </c>
      <c r="AK1012" s="1">
        <v>25</v>
      </c>
      <c r="AL1012" s="1">
        <v>1851</v>
      </c>
    </row>
    <row r="1013" spans="4:50" x14ac:dyDescent="0.3">
      <c r="D1013" s="2">
        <f t="shared" si="60"/>
        <v>2009</v>
      </c>
      <c r="E1013" s="2">
        <f t="shared" si="61"/>
        <v>2</v>
      </c>
      <c r="F1013" s="3" t="s">
        <v>175</v>
      </c>
      <c r="G1013" s="4">
        <v>39854</v>
      </c>
      <c r="J1013" s="1" t="s">
        <v>201</v>
      </c>
      <c r="K1013" s="1"/>
      <c r="L1013" s="1" t="str">
        <f t="shared" si="62"/>
        <v xml:space="preserve">Mörtsjön </v>
      </c>
      <c r="M1013" s="1" t="s">
        <v>184</v>
      </c>
      <c r="Q1013" s="1">
        <v>3.8</v>
      </c>
      <c r="R1013" s="1">
        <v>3.9</v>
      </c>
      <c r="S1013" s="1">
        <v>30</v>
      </c>
      <c r="W1013" s="1">
        <v>417</v>
      </c>
      <c r="Z1013" s="1">
        <v>18</v>
      </c>
      <c r="AD1013" s="1">
        <v>916</v>
      </c>
      <c r="AK1013" s="1">
        <v>37</v>
      </c>
      <c r="AL1013" s="1">
        <v>1737</v>
      </c>
    </row>
    <row r="1014" spans="4:50" x14ac:dyDescent="0.3">
      <c r="D1014" s="2">
        <f t="shared" si="60"/>
        <v>2009</v>
      </c>
      <c r="E1014" s="2">
        <f t="shared" si="61"/>
        <v>2</v>
      </c>
      <c r="F1014" s="3" t="s">
        <v>175</v>
      </c>
      <c r="G1014" s="4">
        <v>39854</v>
      </c>
      <c r="J1014" s="1" t="s">
        <v>186</v>
      </c>
      <c r="K1014" s="1">
        <v>1</v>
      </c>
      <c r="L1014" s="1" t="str">
        <f t="shared" si="62"/>
        <v>Norrviken 1</v>
      </c>
      <c r="M1014" s="1" t="s">
        <v>177</v>
      </c>
      <c r="P1014" s="1">
        <v>1.7</v>
      </c>
      <c r="Q1014" s="1">
        <v>0</v>
      </c>
      <c r="R1014" s="1">
        <v>13</v>
      </c>
      <c r="S1014" s="1">
        <v>89</v>
      </c>
      <c r="W1014" s="1">
        <v>188</v>
      </c>
      <c r="Y1014" s="1">
        <v>0.10299999999999999</v>
      </c>
      <c r="Z1014" s="1">
        <v>5</v>
      </c>
      <c r="AD1014" s="1">
        <v>748</v>
      </c>
      <c r="AK1014" s="1">
        <v>38</v>
      </c>
      <c r="AL1014" s="1">
        <v>1559</v>
      </c>
    </row>
    <row r="1015" spans="4:50" x14ac:dyDescent="0.3">
      <c r="D1015" s="2">
        <f t="shared" si="60"/>
        <v>2009</v>
      </c>
      <c r="E1015" s="2">
        <f t="shared" si="61"/>
        <v>2</v>
      </c>
      <c r="F1015" s="3" t="s">
        <v>175</v>
      </c>
      <c r="G1015" s="4">
        <v>39854</v>
      </c>
      <c r="J1015" s="1" t="s">
        <v>186</v>
      </c>
      <c r="K1015" s="1">
        <v>2</v>
      </c>
      <c r="L1015" s="1" t="str">
        <f t="shared" si="62"/>
        <v>Norrviken 2</v>
      </c>
      <c r="M1015" s="1" t="s">
        <v>177</v>
      </c>
      <c r="P1015" s="1">
        <v>3.4</v>
      </c>
      <c r="Q1015" s="1">
        <v>0.8</v>
      </c>
      <c r="R1015" s="1">
        <v>13.9</v>
      </c>
      <c r="S1015" s="1">
        <v>97</v>
      </c>
      <c r="W1015" s="1">
        <v>61</v>
      </c>
      <c r="Y1015" s="1">
        <v>0.10299999999999999</v>
      </c>
      <c r="Z1015" s="1">
        <v>3</v>
      </c>
      <c r="AD1015" s="1">
        <v>544</v>
      </c>
      <c r="AK1015" s="1">
        <v>33</v>
      </c>
      <c r="AL1015" s="1">
        <v>1400</v>
      </c>
    </row>
    <row r="1016" spans="4:50" x14ac:dyDescent="0.3">
      <c r="D1016" s="2">
        <f t="shared" si="60"/>
        <v>2009</v>
      </c>
      <c r="E1016" s="2">
        <f t="shared" si="61"/>
        <v>2</v>
      </c>
      <c r="F1016" s="3" t="s">
        <v>175</v>
      </c>
      <c r="G1016" s="4">
        <v>39854</v>
      </c>
      <c r="J1016" s="1" t="s">
        <v>186</v>
      </c>
      <c r="K1016" s="1">
        <v>3</v>
      </c>
      <c r="L1016" s="1" t="str">
        <f t="shared" si="62"/>
        <v>Norrviken 3</v>
      </c>
      <c r="M1016" s="1" t="s">
        <v>177</v>
      </c>
      <c r="P1016" s="1">
        <v>4.4000000000000004</v>
      </c>
      <c r="Q1016" s="1">
        <v>1.2</v>
      </c>
      <c r="R1016" s="1">
        <v>11.8</v>
      </c>
      <c r="S1016" s="1">
        <v>84</v>
      </c>
      <c r="W1016" s="1">
        <v>10</v>
      </c>
      <c r="Y1016" s="1">
        <v>0.08</v>
      </c>
      <c r="Z1016" s="1">
        <v>67</v>
      </c>
      <c r="AD1016" s="1">
        <v>697</v>
      </c>
      <c r="AK1016" s="1">
        <v>81</v>
      </c>
      <c r="AL1016" s="1">
        <v>1358</v>
      </c>
    </row>
    <row r="1017" spans="4:50" x14ac:dyDescent="0.3">
      <c r="D1017" s="2">
        <f t="shared" si="60"/>
        <v>2009</v>
      </c>
      <c r="E1017" s="2">
        <f t="shared" si="61"/>
        <v>2</v>
      </c>
      <c r="F1017" s="3" t="s">
        <v>175</v>
      </c>
      <c r="G1017" s="4">
        <v>39854</v>
      </c>
      <c r="J1017" s="1" t="s">
        <v>186</v>
      </c>
      <c r="K1017" s="1">
        <v>4</v>
      </c>
      <c r="L1017" s="1" t="str">
        <f t="shared" si="62"/>
        <v>Norrviken 4</v>
      </c>
      <c r="M1017" s="1" t="s">
        <v>177</v>
      </c>
      <c r="P1017" s="1">
        <v>1.8</v>
      </c>
      <c r="Q1017" s="1">
        <v>0.5</v>
      </c>
      <c r="R1017" s="1">
        <v>15.7</v>
      </c>
      <c r="S1017" s="1">
        <v>110</v>
      </c>
      <c r="W1017" s="1">
        <v>13</v>
      </c>
      <c r="Y1017" s="1">
        <v>0.127</v>
      </c>
      <c r="Z1017" s="1">
        <v>4</v>
      </c>
      <c r="AD1017" s="1">
        <v>565</v>
      </c>
      <c r="AK1017" s="1">
        <v>38</v>
      </c>
      <c r="AL1017" s="1">
        <v>1445</v>
      </c>
    </row>
    <row r="1018" spans="4:50" x14ac:dyDescent="0.3">
      <c r="D1018" s="2">
        <f t="shared" si="60"/>
        <v>2009</v>
      </c>
      <c r="E1018" s="2">
        <f t="shared" si="61"/>
        <v>2</v>
      </c>
      <c r="F1018" s="3" t="s">
        <v>175</v>
      </c>
      <c r="G1018" s="4">
        <v>39854</v>
      </c>
      <c r="J1018" s="1" t="s">
        <v>186</v>
      </c>
      <c r="K1018" s="1">
        <v>2</v>
      </c>
      <c r="L1018" s="1" t="str">
        <f t="shared" si="62"/>
        <v>Norrviken 2</v>
      </c>
      <c r="M1018" s="1" t="s">
        <v>184</v>
      </c>
      <c r="Q1018" s="1">
        <v>3.3</v>
      </c>
      <c r="R1018" s="1">
        <v>2.7</v>
      </c>
      <c r="S1018" s="1">
        <v>20</v>
      </c>
      <c r="W1018" s="1">
        <v>133</v>
      </c>
      <c r="Z1018" s="1">
        <v>34</v>
      </c>
      <c r="AD1018" s="1">
        <v>649</v>
      </c>
      <c r="AK1018" s="1">
        <v>59</v>
      </c>
      <c r="AL1018" s="1">
        <v>1372</v>
      </c>
    </row>
    <row r="1019" spans="4:50" x14ac:dyDescent="0.3">
      <c r="D1019" s="2">
        <f t="shared" si="60"/>
        <v>2009</v>
      </c>
      <c r="E1019" s="2">
        <f t="shared" si="61"/>
        <v>2</v>
      </c>
      <c r="F1019" s="3" t="s">
        <v>175</v>
      </c>
      <c r="G1019" s="4">
        <v>39854</v>
      </c>
      <c r="J1019" s="1" t="s">
        <v>186</v>
      </c>
      <c r="K1019" s="1">
        <v>3</v>
      </c>
      <c r="L1019" s="1" t="str">
        <f t="shared" si="62"/>
        <v>Norrviken 3</v>
      </c>
      <c r="M1019" s="1" t="s">
        <v>184</v>
      </c>
      <c r="Q1019" s="1">
        <v>3.6</v>
      </c>
      <c r="R1019" s="1">
        <v>0.2</v>
      </c>
      <c r="S1019" s="1">
        <v>1</v>
      </c>
      <c r="W1019" s="1">
        <v>260</v>
      </c>
      <c r="Z1019" s="1">
        <v>105</v>
      </c>
      <c r="AD1019" s="1">
        <v>453</v>
      </c>
      <c r="AK1019" s="1">
        <v>130</v>
      </c>
      <c r="AL1019" s="1">
        <v>1620</v>
      </c>
    </row>
    <row r="1020" spans="4:50" x14ac:dyDescent="0.3">
      <c r="D1020" s="2">
        <f t="shared" si="60"/>
        <v>2009</v>
      </c>
      <c r="E1020" s="2">
        <f t="shared" si="61"/>
        <v>2</v>
      </c>
      <c r="F1020" s="3" t="s">
        <v>175</v>
      </c>
      <c r="G1020" s="4">
        <v>39854</v>
      </c>
      <c r="J1020" s="1" t="s">
        <v>187</v>
      </c>
      <c r="K1020" s="1"/>
      <c r="L1020" s="1" t="str">
        <f t="shared" si="62"/>
        <v xml:space="preserve">Oxundasjön </v>
      </c>
      <c r="M1020" s="1" t="s">
        <v>177</v>
      </c>
      <c r="P1020" s="1">
        <v>1.4</v>
      </c>
      <c r="Q1020" s="1">
        <v>0.9</v>
      </c>
      <c r="R1020" s="1">
        <v>13.6</v>
      </c>
      <c r="S1020" s="1">
        <v>97</v>
      </c>
      <c r="W1020" s="1">
        <v>5</v>
      </c>
      <c r="Y1020" s="1">
        <v>8.6999999999999994E-2</v>
      </c>
      <c r="Z1020" s="1">
        <v>19</v>
      </c>
      <c r="AD1020" s="1">
        <v>800</v>
      </c>
      <c r="AK1020" s="1">
        <v>58</v>
      </c>
      <c r="AL1020" s="1">
        <v>1492</v>
      </c>
    </row>
    <row r="1021" spans="4:50" x14ac:dyDescent="0.3">
      <c r="D1021" s="2">
        <f t="shared" si="60"/>
        <v>2009</v>
      </c>
      <c r="E1021" s="2">
        <f t="shared" si="61"/>
        <v>2</v>
      </c>
      <c r="F1021" s="3" t="s">
        <v>175</v>
      </c>
      <c r="G1021" s="4">
        <v>39854</v>
      </c>
      <c r="J1021" s="1" t="s">
        <v>187</v>
      </c>
      <c r="K1021" s="1"/>
      <c r="L1021" s="1" t="str">
        <f t="shared" si="62"/>
        <v xml:space="preserve">Oxundasjön </v>
      </c>
      <c r="M1021" s="1" t="s">
        <v>184</v>
      </c>
      <c r="Q1021" s="1">
        <v>3.7</v>
      </c>
      <c r="R1021" s="1">
        <v>1.9</v>
      </c>
      <c r="S1021" s="1">
        <v>15</v>
      </c>
      <c r="W1021" s="1">
        <v>31</v>
      </c>
      <c r="Z1021" s="1">
        <v>45</v>
      </c>
      <c r="AD1021" s="1">
        <v>1085</v>
      </c>
      <c r="AK1021" s="1">
        <v>71</v>
      </c>
      <c r="AL1021" s="1">
        <v>1860</v>
      </c>
    </row>
    <row r="1022" spans="4:50" x14ac:dyDescent="0.3">
      <c r="D1022" s="2">
        <f t="shared" si="60"/>
        <v>2009</v>
      </c>
      <c r="E1022" s="2">
        <f t="shared" si="61"/>
        <v>2</v>
      </c>
      <c r="F1022" s="3" t="s">
        <v>175</v>
      </c>
      <c r="G1022" s="4">
        <v>39854</v>
      </c>
      <c r="J1022" s="1" t="s">
        <v>188</v>
      </c>
      <c r="K1022" s="1"/>
      <c r="L1022" s="1" t="str">
        <f t="shared" si="62"/>
        <v xml:space="preserve">Ravalen </v>
      </c>
      <c r="M1022" s="1" t="s">
        <v>177</v>
      </c>
      <c r="P1022" s="1">
        <v>1.5</v>
      </c>
      <c r="Q1022" s="1">
        <v>1.5</v>
      </c>
      <c r="R1022" s="1">
        <v>5.6</v>
      </c>
      <c r="S1022" s="1">
        <v>41</v>
      </c>
      <c r="W1022" s="1">
        <v>122</v>
      </c>
      <c r="Y1022" s="1">
        <v>0.16200000000000001</v>
      </c>
      <c r="Z1022" s="1">
        <v>20</v>
      </c>
      <c r="AD1022" s="1">
        <v>250</v>
      </c>
      <c r="AK1022" s="1">
        <v>75</v>
      </c>
      <c r="AL1022" s="1">
        <v>1552</v>
      </c>
    </row>
    <row r="1023" spans="4:50" x14ac:dyDescent="0.3">
      <c r="D1023" s="2">
        <f t="shared" si="60"/>
        <v>2009</v>
      </c>
      <c r="E1023" s="2">
        <f t="shared" si="61"/>
        <v>2</v>
      </c>
      <c r="F1023" s="3" t="s">
        <v>175</v>
      </c>
      <c r="G1023" s="4">
        <v>39854</v>
      </c>
      <c r="J1023" s="1" t="s">
        <v>188</v>
      </c>
      <c r="K1023" s="1"/>
      <c r="L1023" s="1" t="str">
        <f t="shared" si="62"/>
        <v xml:space="preserve">Ravalen </v>
      </c>
      <c r="M1023" s="1" t="s">
        <v>184</v>
      </c>
      <c r="Q1023" s="1">
        <v>2.6</v>
      </c>
      <c r="R1023" s="1">
        <v>0.7</v>
      </c>
      <c r="S1023" s="1">
        <v>5</v>
      </c>
      <c r="W1023" s="1">
        <v>131</v>
      </c>
      <c r="Z1023" s="1">
        <v>6</v>
      </c>
      <c r="AD1023" s="1">
        <v>154</v>
      </c>
      <c r="AK1023" s="1">
        <v>61</v>
      </c>
      <c r="AL1023" s="1">
        <v>1331</v>
      </c>
    </row>
    <row r="1024" spans="4:50" x14ac:dyDescent="0.3">
      <c r="D1024" s="2">
        <f t="shared" si="60"/>
        <v>2009</v>
      </c>
      <c r="E1024" s="2">
        <f t="shared" si="61"/>
        <v>2</v>
      </c>
      <c r="F1024" s="3" t="s">
        <v>175</v>
      </c>
      <c r="G1024" s="4">
        <v>39854</v>
      </c>
      <c r="J1024" s="1" t="s">
        <v>189</v>
      </c>
      <c r="K1024" s="1"/>
      <c r="L1024" s="1" t="str">
        <f t="shared" si="62"/>
        <v xml:space="preserve">Rösjön </v>
      </c>
      <c r="M1024" s="1" t="s">
        <v>177</v>
      </c>
      <c r="P1024" s="1">
        <v>5</v>
      </c>
      <c r="Q1024" s="1">
        <v>0.9</v>
      </c>
      <c r="R1024" s="1">
        <v>12.9</v>
      </c>
      <c r="S1024" s="1">
        <v>91</v>
      </c>
      <c r="W1024" s="1">
        <v>57</v>
      </c>
      <c r="Y1024" s="1">
        <v>6.0999999999999999E-2</v>
      </c>
      <c r="Z1024" s="1">
        <v>5</v>
      </c>
      <c r="AD1024" s="1">
        <v>105</v>
      </c>
      <c r="AK1024" s="1">
        <v>19</v>
      </c>
      <c r="AL1024" s="1">
        <v>743</v>
      </c>
    </row>
    <row r="1025" spans="4:51" x14ac:dyDescent="0.3">
      <c r="D1025" s="2">
        <f t="shared" si="60"/>
        <v>2009</v>
      </c>
      <c r="E1025" s="2">
        <f t="shared" si="61"/>
        <v>2</v>
      </c>
      <c r="F1025" s="3" t="s">
        <v>175</v>
      </c>
      <c r="G1025" s="4">
        <v>39854</v>
      </c>
      <c r="J1025" s="1" t="s">
        <v>189</v>
      </c>
      <c r="K1025" s="1"/>
      <c r="L1025" s="1" t="str">
        <f t="shared" si="62"/>
        <v xml:space="preserve">Rösjön </v>
      </c>
      <c r="M1025" s="1" t="s">
        <v>184</v>
      </c>
      <c r="Q1025" s="1">
        <v>3.3</v>
      </c>
      <c r="R1025" s="1">
        <v>3.9</v>
      </c>
      <c r="S1025" s="1">
        <v>29</v>
      </c>
      <c r="W1025" s="1">
        <v>88</v>
      </c>
      <c r="Z1025" s="1">
        <v>7</v>
      </c>
      <c r="AD1025" s="1">
        <v>119</v>
      </c>
      <c r="AK1025" s="1">
        <v>22</v>
      </c>
      <c r="AL1025" s="1">
        <v>760</v>
      </c>
    </row>
    <row r="1026" spans="4:51" x14ac:dyDescent="0.3">
      <c r="D1026" s="2">
        <f t="shared" ref="D1026:D1089" si="63">YEAR(G1026)</f>
        <v>2009</v>
      </c>
      <c r="E1026" s="2">
        <f t="shared" ref="E1026:E1089" si="64">MONTH(G1026)</f>
        <v>2</v>
      </c>
      <c r="F1026" s="3" t="s">
        <v>175</v>
      </c>
      <c r="G1026" s="4">
        <v>39854</v>
      </c>
      <c r="J1026" s="1" t="s">
        <v>190</v>
      </c>
      <c r="K1026" s="1"/>
      <c r="L1026" s="1" t="str">
        <f t="shared" ref="L1026:L1089" si="65">CONCATENATE(J1026," ",K1026)</f>
        <v xml:space="preserve">Snuggan </v>
      </c>
      <c r="M1026" s="1" t="s">
        <v>177</v>
      </c>
      <c r="P1026" s="1">
        <v>0.6</v>
      </c>
      <c r="Q1026" s="1">
        <v>0.9</v>
      </c>
      <c r="R1026" s="1">
        <v>10.4</v>
      </c>
      <c r="S1026" s="1">
        <v>74</v>
      </c>
      <c r="W1026" s="1">
        <v>361</v>
      </c>
      <c r="Y1026" s="1">
        <v>0.70299999999999996</v>
      </c>
      <c r="Z1026" s="1">
        <v>2</v>
      </c>
      <c r="AD1026" s="1">
        <v>54</v>
      </c>
      <c r="AK1026" s="1">
        <v>31</v>
      </c>
      <c r="AL1026" s="1">
        <v>1428</v>
      </c>
    </row>
    <row r="1027" spans="4:51" x14ac:dyDescent="0.3">
      <c r="D1027" s="2">
        <f t="shared" si="63"/>
        <v>2009</v>
      </c>
      <c r="E1027" s="2">
        <f t="shared" si="64"/>
        <v>2</v>
      </c>
      <c r="F1027" s="3" t="s">
        <v>175</v>
      </c>
      <c r="G1027" s="4">
        <v>39854</v>
      </c>
      <c r="J1027" s="1" t="s">
        <v>190</v>
      </c>
      <c r="K1027" s="1"/>
      <c r="L1027" s="1" t="str">
        <f t="shared" si="65"/>
        <v xml:space="preserve">Snuggan </v>
      </c>
      <c r="M1027" s="1" t="s">
        <v>184</v>
      </c>
      <c r="Q1027" s="1">
        <v>1.7</v>
      </c>
      <c r="R1027" s="1">
        <v>9.1</v>
      </c>
      <c r="S1027" s="1">
        <v>60</v>
      </c>
      <c r="W1027" s="1">
        <v>419</v>
      </c>
      <c r="Z1027" s="1">
        <v>2</v>
      </c>
      <c r="AD1027" s="1">
        <v>41</v>
      </c>
      <c r="AK1027" s="1">
        <v>33</v>
      </c>
      <c r="AL1027" s="1">
        <v>1398</v>
      </c>
    </row>
    <row r="1028" spans="4:51" x14ac:dyDescent="0.3">
      <c r="D1028" s="2">
        <f t="shared" si="63"/>
        <v>2009</v>
      </c>
      <c r="E1028" s="2">
        <f t="shared" si="64"/>
        <v>2</v>
      </c>
      <c r="F1028" s="3" t="s">
        <v>175</v>
      </c>
      <c r="G1028" s="4">
        <v>39854</v>
      </c>
      <c r="J1028" s="1" t="s">
        <v>191</v>
      </c>
      <c r="K1028" s="1" t="s">
        <v>206</v>
      </c>
      <c r="L1028" s="1" t="str">
        <f t="shared" si="65"/>
        <v>Vallentunasjön Blandprov</v>
      </c>
      <c r="M1028" s="1" t="s">
        <v>177</v>
      </c>
      <c r="P1028" s="1">
        <v>1.9</v>
      </c>
      <c r="W1028" s="1">
        <v>300</v>
      </c>
      <c r="Z1028" s="1">
        <v>0.1</v>
      </c>
      <c r="AB1028" s="1">
        <v>21.1</v>
      </c>
      <c r="AD1028" s="1">
        <v>400</v>
      </c>
      <c r="AK1028" s="1">
        <v>35</v>
      </c>
      <c r="AL1028" s="1">
        <v>1600</v>
      </c>
    </row>
    <row r="1029" spans="4:51" x14ac:dyDescent="0.3">
      <c r="D1029" s="2">
        <f t="shared" si="63"/>
        <v>2009</v>
      </c>
      <c r="E1029" s="2">
        <f t="shared" si="64"/>
        <v>2</v>
      </c>
      <c r="F1029" s="3" t="s">
        <v>175</v>
      </c>
      <c r="G1029" s="4">
        <v>39854</v>
      </c>
      <c r="J1029" s="1" t="s">
        <v>191</v>
      </c>
      <c r="K1029" s="1">
        <v>2</v>
      </c>
      <c r="L1029" s="1" t="str">
        <f t="shared" si="65"/>
        <v>Vallentunasjön 2</v>
      </c>
      <c r="M1029" s="1" t="s">
        <v>177</v>
      </c>
      <c r="Q1029" s="1">
        <v>1</v>
      </c>
      <c r="R1029" s="1">
        <v>17.600000000000001</v>
      </c>
      <c r="S1029" s="1">
        <v>125</v>
      </c>
    </row>
    <row r="1030" spans="4:51" x14ac:dyDescent="0.3">
      <c r="D1030" s="2">
        <f t="shared" si="63"/>
        <v>2009</v>
      </c>
      <c r="E1030" s="2">
        <f t="shared" si="64"/>
        <v>2</v>
      </c>
      <c r="F1030" s="3" t="s">
        <v>175</v>
      </c>
      <c r="G1030" s="4">
        <v>39854</v>
      </c>
      <c r="J1030" s="1" t="s">
        <v>191</v>
      </c>
      <c r="K1030" s="1">
        <v>2</v>
      </c>
      <c r="L1030" s="1" t="str">
        <f t="shared" si="65"/>
        <v>Vallentunasjön 2</v>
      </c>
      <c r="M1030" s="1" t="s">
        <v>184</v>
      </c>
      <c r="Q1030" s="1">
        <v>3</v>
      </c>
      <c r="R1030" s="1">
        <v>2.1</v>
      </c>
      <c r="S1030" s="1">
        <v>16</v>
      </c>
    </row>
    <row r="1031" spans="4:51" x14ac:dyDescent="0.3">
      <c r="D1031" s="2">
        <f t="shared" si="63"/>
        <v>2009</v>
      </c>
      <c r="E1031" s="2">
        <f t="shared" si="64"/>
        <v>2</v>
      </c>
      <c r="F1031" s="3" t="s">
        <v>175</v>
      </c>
      <c r="G1031" s="4">
        <v>39854</v>
      </c>
      <c r="J1031" s="1" t="s">
        <v>192</v>
      </c>
      <c r="K1031" s="1"/>
      <c r="L1031" s="1" t="str">
        <f t="shared" si="65"/>
        <v xml:space="preserve">Väsjön </v>
      </c>
      <c r="M1031" s="1" t="s">
        <v>177</v>
      </c>
      <c r="P1031" s="1">
        <v>2.4</v>
      </c>
      <c r="Q1031" s="1">
        <v>1.5</v>
      </c>
      <c r="R1031" s="1">
        <v>4.7</v>
      </c>
      <c r="S1031" s="1">
        <v>34</v>
      </c>
      <c r="W1031" s="1">
        <v>15</v>
      </c>
      <c r="Y1031" s="1">
        <v>0.155</v>
      </c>
      <c r="Z1031" s="1">
        <v>1</v>
      </c>
      <c r="AD1031" s="1">
        <v>87</v>
      </c>
      <c r="AK1031" s="1">
        <v>23</v>
      </c>
      <c r="AL1031" s="1">
        <v>899</v>
      </c>
    </row>
    <row r="1032" spans="4:51" x14ac:dyDescent="0.3">
      <c r="D1032" s="2">
        <f t="shared" si="63"/>
        <v>2009</v>
      </c>
      <c r="E1032" s="2">
        <f t="shared" si="64"/>
        <v>2</v>
      </c>
      <c r="F1032" s="3" t="s">
        <v>175</v>
      </c>
      <c r="G1032" s="4">
        <v>39854</v>
      </c>
      <c r="J1032" s="1" t="s">
        <v>192</v>
      </c>
      <c r="K1032" s="1"/>
      <c r="L1032" s="1" t="str">
        <f t="shared" si="65"/>
        <v xml:space="preserve">Väsjön </v>
      </c>
      <c r="M1032" s="1" t="s">
        <v>184</v>
      </c>
      <c r="Q1032" s="1">
        <v>4</v>
      </c>
      <c r="R1032" s="1">
        <v>0.2</v>
      </c>
      <c r="S1032" s="1">
        <v>1.9</v>
      </c>
      <c r="W1032" s="1">
        <v>61</v>
      </c>
      <c r="Z1032" s="1">
        <v>1</v>
      </c>
      <c r="AD1032" s="1">
        <v>35</v>
      </c>
      <c r="AK1032" s="1">
        <v>29</v>
      </c>
      <c r="AL1032" s="1">
        <v>895</v>
      </c>
    </row>
    <row r="1033" spans="4:51" x14ac:dyDescent="0.3">
      <c r="D1033" s="2">
        <f t="shared" si="63"/>
        <v>2009</v>
      </c>
      <c r="E1033" s="2">
        <f t="shared" si="64"/>
        <v>2</v>
      </c>
      <c r="F1033" s="3" t="s">
        <v>175</v>
      </c>
      <c r="G1033" s="4">
        <v>39854</v>
      </c>
      <c r="J1033" s="1" t="s">
        <v>193</v>
      </c>
      <c r="K1033" s="1"/>
      <c r="L1033" s="1" t="str">
        <f t="shared" si="65"/>
        <v xml:space="preserve">Översjön </v>
      </c>
      <c r="M1033" s="1" t="s">
        <v>177</v>
      </c>
      <c r="P1033" s="1">
        <v>3.5</v>
      </c>
      <c r="Q1033" s="1">
        <v>1.2</v>
      </c>
      <c r="R1033" s="1">
        <v>11.8</v>
      </c>
      <c r="S1033" s="1">
        <v>84</v>
      </c>
      <c r="W1033" s="1">
        <v>160</v>
      </c>
      <c r="Y1033" s="1">
        <v>7.3999999999999996E-2</v>
      </c>
      <c r="Z1033" s="1">
        <v>5</v>
      </c>
      <c r="AD1033" s="1">
        <v>130</v>
      </c>
      <c r="AK1033" s="1">
        <v>24</v>
      </c>
      <c r="AL1033" s="1">
        <v>1131</v>
      </c>
    </row>
    <row r="1034" spans="4:51" x14ac:dyDescent="0.3">
      <c r="D1034" s="2">
        <f t="shared" si="63"/>
        <v>2009</v>
      </c>
      <c r="E1034" s="2">
        <f t="shared" si="64"/>
        <v>2</v>
      </c>
      <c r="F1034" s="3" t="s">
        <v>175</v>
      </c>
      <c r="G1034" s="4">
        <v>39854</v>
      </c>
      <c r="J1034" s="1" t="s">
        <v>193</v>
      </c>
      <c r="K1034" s="1"/>
      <c r="L1034" s="1" t="str">
        <f t="shared" si="65"/>
        <v xml:space="preserve">Översjön </v>
      </c>
      <c r="M1034" s="1" t="s">
        <v>184</v>
      </c>
      <c r="Q1034" s="1">
        <v>3.2</v>
      </c>
      <c r="R1034" s="1">
        <v>2.1</v>
      </c>
      <c r="S1034" s="1">
        <v>16</v>
      </c>
      <c r="W1034" s="1">
        <v>309</v>
      </c>
      <c r="Z1034" s="1">
        <v>16</v>
      </c>
      <c r="AD1034" s="1">
        <v>111</v>
      </c>
      <c r="AK1034" s="1">
        <v>31</v>
      </c>
      <c r="AL1034" s="1">
        <v>1164</v>
      </c>
    </row>
    <row r="1035" spans="4:51" x14ac:dyDescent="0.3">
      <c r="D1035" s="2">
        <f t="shared" si="63"/>
        <v>2009</v>
      </c>
      <c r="E1035" s="2">
        <f t="shared" si="64"/>
        <v>2</v>
      </c>
      <c r="F1035" s="3" t="s">
        <v>175</v>
      </c>
      <c r="G1035" s="4">
        <v>39861</v>
      </c>
      <c r="H1035" s="1">
        <v>6606238</v>
      </c>
      <c r="I1035" s="1">
        <v>661152</v>
      </c>
      <c r="J1035" s="5" t="s">
        <v>176</v>
      </c>
      <c r="K1035" s="1"/>
      <c r="L1035" s="1" t="str">
        <f t="shared" si="65"/>
        <v xml:space="preserve">Oxundaån </v>
      </c>
      <c r="M1035" s="1" t="s">
        <v>177</v>
      </c>
      <c r="N1035" s="1">
        <v>0.5</v>
      </c>
      <c r="O1035" s="1">
        <v>0.5</v>
      </c>
      <c r="Q1035" s="1">
        <v>2</v>
      </c>
      <c r="T1035" s="1">
        <v>50.8</v>
      </c>
      <c r="V1035" s="1">
        <v>2.4849999999999999</v>
      </c>
      <c r="W1035" s="1">
        <v>34</v>
      </c>
      <c r="X1035" s="1">
        <f t="shared" ref="X1035:X1049" si="66">W1035 * (1/((10^((0.0901821 + (2729.92 /(273.15 + Q1035)))-AE1035)+1)))</f>
        <v>0.10195826986462822</v>
      </c>
      <c r="Y1035" s="1">
        <v>8.6999999999999994E-2</v>
      </c>
      <c r="Z1035" s="1">
        <v>20</v>
      </c>
      <c r="AD1035" s="1">
        <v>701</v>
      </c>
      <c r="AE1035" s="1">
        <v>7.49</v>
      </c>
      <c r="AI1035" s="1">
        <v>17</v>
      </c>
      <c r="AK1035" s="1">
        <v>32</v>
      </c>
      <c r="AL1035" s="1">
        <v>1737</v>
      </c>
      <c r="AR1035" s="1">
        <v>59.28</v>
      </c>
      <c r="AT1035" s="1">
        <v>6.0996000000000006</v>
      </c>
      <c r="AU1035" s="1">
        <v>11.095700000000001</v>
      </c>
      <c r="AV1035" s="1">
        <v>39.597650000000002</v>
      </c>
      <c r="AW1035" s="1">
        <v>29.019099999999998</v>
      </c>
      <c r="AX1035" s="1">
        <v>68.951750000000004</v>
      </c>
    </row>
    <row r="1036" spans="4:51" x14ac:dyDescent="0.3">
      <c r="D1036" s="2">
        <f t="shared" si="63"/>
        <v>2009</v>
      </c>
      <c r="E1036" s="2">
        <f t="shared" si="64"/>
        <v>3</v>
      </c>
      <c r="F1036" s="3" t="s">
        <v>175</v>
      </c>
      <c r="G1036" s="4">
        <v>39889</v>
      </c>
      <c r="H1036" s="1">
        <v>6606238</v>
      </c>
      <c r="I1036" s="1">
        <v>661152</v>
      </c>
      <c r="J1036" s="5" t="s">
        <v>176</v>
      </c>
      <c r="K1036" s="1"/>
      <c r="L1036" s="1" t="str">
        <f t="shared" si="65"/>
        <v xml:space="preserve">Oxundaån </v>
      </c>
      <c r="M1036" s="1" t="s">
        <v>177</v>
      </c>
      <c r="N1036" s="1">
        <v>0.5</v>
      </c>
      <c r="O1036" s="1">
        <v>0.5</v>
      </c>
      <c r="Q1036" s="1">
        <v>2</v>
      </c>
      <c r="T1036" s="1">
        <v>51.6</v>
      </c>
      <c r="V1036" s="1">
        <v>2.661</v>
      </c>
      <c r="W1036" s="1">
        <v>7</v>
      </c>
      <c r="X1036" s="1">
        <f t="shared" si="66"/>
        <v>3.3980715542967145E-2</v>
      </c>
      <c r="Y1036" s="1">
        <v>6.9000000000000006E-2</v>
      </c>
      <c r="Z1036" s="1">
        <v>9</v>
      </c>
      <c r="AD1036" s="1">
        <v>509</v>
      </c>
      <c r="AE1036" s="1">
        <v>7.7</v>
      </c>
      <c r="AI1036" s="1">
        <v>16.600000000000001</v>
      </c>
      <c r="AK1036" s="1">
        <v>51</v>
      </c>
      <c r="AL1036" s="1">
        <v>1297</v>
      </c>
      <c r="AR1036" s="1">
        <v>59.56</v>
      </c>
      <c r="AT1036" s="1">
        <v>5.9823000000000004</v>
      </c>
      <c r="AU1036" s="1">
        <v>10.018799999999999</v>
      </c>
      <c r="AV1036" s="1">
        <v>42.788150000000009</v>
      </c>
      <c r="AW1036" s="1">
        <v>29.386140000000001</v>
      </c>
      <c r="AX1036" s="1">
        <v>55.786049999999996</v>
      </c>
      <c r="AY1036" s="1">
        <v>1.89</v>
      </c>
    </row>
    <row r="1037" spans="4:51" x14ac:dyDescent="0.3">
      <c r="D1037" s="2">
        <f t="shared" si="63"/>
        <v>2009</v>
      </c>
      <c r="E1037" s="2">
        <f t="shared" si="64"/>
        <v>4</v>
      </c>
      <c r="F1037" s="3" t="s">
        <v>178</v>
      </c>
      <c r="G1037" s="4">
        <v>39918</v>
      </c>
      <c r="H1037" s="1">
        <v>6606238</v>
      </c>
      <c r="I1037" s="1">
        <v>661152</v>
      </c>
      <c r="J1037" s="5" t="s">
        <v>176</v>
      </c>
      <c r="K1037" s="1"/>
      <c r="L1037" s="1" t="str">
        <f t="shared" si="65"/>
        <v xml:space="preserve">Oxundaån </v>
      </c>
      <c r="M1037" s="1" t="s">
        <v>177</v>
      </c>
      <c r="N1037" s="1">
        <v>0.5</v>
      </c>
      <c r="O1037" s="1">
        <v>0.5</v>
      </c>
      <c r="Q1037" s="1">
        <v>9</v>
      </c>
      <c r="T1037" s="1">
        <v>40.6</v>
      </c>
      <c r="V1037" s="1">
        <v>2.0009999999999999</v>
      </c>
      <c r="W1037" s="1">
        <v>22</v>
      </c>
      <c r="X1037" s="1">
        <f t="shared" si="66"/>
        <v>0.19630310121935715</v>
      </c>
      <c r="Y1037" s="1">
        <v>0.06</v>
      </c>
      <c r="Z1037" s="1">
        <v>9</v>
      </c>
      <c r="AD1037" s="1">
        <v>320</v>
      </c>
      <c r="AE1037" s="1">
        <v>7.72</v>
      </c>
      <c r="AI1037" s="1">
        <v>14.9</v>
      </c>
      <c r="AK1037" s="1">
        <v>60</v>
      </c>
      <c r="AL1037" s="1">
        <v>1096</v>
      </c>
      <c r="AR1037" s="1">
        <v>45.620000000000005</v>
      </c>
      <c r="AT1037" s="1">
        <v>4.9266000000000005</v>
      </c>
      <c r="AU1037" s="1">
        <v>8.3127000000000013</v>
      </c>
      <c r="AV1037" s="1">
        <v>32.826700000000002</v>
      </c>
      <c r="AW1037" s="1">
        <v>23.192339999999998</v>
      </c>
      <c r="AX1037" s="1">
        <v>51.942049999999995</v>
      </c>
      <c r="AY1037" s="1">
        <v>2.46</v>
      </c>
    </row>
    <row r="1038" spans="4:51" x14ac:dyDescent="0.3">
      <c r="D1038" s="2">
        <f t="shared" si="63"/>
        <v>2009</v>
      </c>
      <c r="E1038" s="2">
        <f t="shared" si="64"/>
        <v>5</v>
      </c>
      <c r="F1038" s="3" t="s">
        <v>178</v>
      </c>
      <c r="G1038" s="4">
        <v>39945</v>
      </c>
      <c r="J1038" s="1" t="s">
        <v>181</v>
      </c>
      <c r="K1038" s="1"/>
      <c r="L1038" s="1" t="str">
        <f t="shared" si="65"/>
        <v xml:space="preserve">Fysingen </v>
      </c>
      <c r="M1038" s="1" t="s">
        <v>177</v>
      </c>
      <c r="P1038" s="1">
        <v>3.5</v>
      </c>
      <c r="Q1038" s="1">
        <v>13.3</v>
      </c>
      <c r="V1038" s="1">
        <v>1.893</v>
      </c>
      <c r="W1038" s="1">
        <v>14</v>
      </c>
      <c r="X1038" s="1">
        <f t="shared" si="66"/>
        <v>0.2444090957376458</v>
      </c>
      <c r="Y1038" s="1">
        <v>4.7E-2</v>
      </c>
      <c r="Z1038" s="1">
        <v>6</v>
      </c>
      <c r="AB1038" s="1">
        <v>9.9</v>
      </c>
      <c r="AC1038" s="1">
        <v>46.4</v>
      </c>
      <c r="AD1038" s="1">
        <v>432</v>
      </c>
      <c r="AE1038" s="1">
        <v>7.87</v>
      </c>
      <c r="AI1038" s="1">
        <v>12.3</v>
      </c>
      <c r="AK1038" s="1">
        <v>33</v>
      </c>
      <c r="AL1038" s="1">
        <v>1054</v>
      </c>
      <c r="AV1038" s="1">
        <v>32.649450000000002</v>
      </c>
      <c r="AX1038" s="1">
        <v>95.187049999999999</v>
      </c>
    </row>
    <row r="1039" spans="4:51" x14ac:dyDescent="0.3">
      <c r="D1039" s="2">
        <f t="shared" si="63"/>
        <v>2009</v>
      </c>
      <c r="E1039" s="2">
        <f t="shared" si="64"/>
        <v>5</v>
      </c>
      <c r="F1039" s="3" t="s">
        <v>178</v>
      </c>
      <c r="G1039" s="4">
        <v>39951</v>
      </c>
      <c r="H1039" s="1">
        <v>6606238</v>
      </c>
      <c r="I1039" s="1">
        <v>661152</v>
      </c>
      <c r="J1039" s="5" t="s">
        <v>176</v>
      </c>
      <c r="K1039" s="1"/>
      <c r="L1039" s="1" t="str">
        <f t="shared" si="65"/>
        <v xml:space="preserve">Oxundaån </v>
      </c>
      <c r="M1039" s="1" t="s">
        <v>177</v>
      </c>
      <c r="N1039" s="1">
        <v>0.5</v>
      </c>
      <c r="O1039" s="1">
        <v>0.5</v>
      </c>
      <c r="Q1039" s="1">
        <v>13.5</v>
      </c>
      <c r="T1039" s="1">
        <v>44.1</v>
      </c>
      <c r="V1039" s="1">
        <v>2.3210000000000002</v>
      </c>
      <c r="W1039" s="1">
        <v>21</v>
      </c>
      <c r="X1039" s="1">
        <f t="shared" si="66"/>
        <v>0.3806814977432057</v>
      </c>
      <c r="Y1039" s="1">
        <v>5.7000000000000002E-2</v>
      </c>
      <c r="Z1039" s="1">
        <v>6</v>
      </c>
      <c r="AD1039" s="1">
        <v>3</v>
      </c>
      <c r="AE1039" s="1">
        <v>7.88</v>
      </c>
      <c r="AI1039" s="1">
        <v>11.5</v>
      </c>
      <c r="AK1039" s="1">
        <v>42</v>
      </c>
      <c r="AL1039" s="1">
        <v>722</v>
      </c>
      <c r="AR1039" s="1">
        <v>50.64</v>
      </c>
      <c r="AT1039" s="1">
        <v>5.0439000000000007</v>
      </c>
      <c r="AU1039" s="1">
        <v>9.3653999999999993</v>
      </c>
      <c r="AV1039" s="1">
        <v>37.896050000000002</v>
      </c>
      <c r="AW1039" s="1">
        <v>23.742899999999999</v>
      </c>
      <c r="AX1039" s="1">
        <v>57.61195</v>
      </c>
      <c r="AY1039" s="1">
        <v>0.02</v>
      </c>
    </row>
    <row r="1040" spans="4:51" x14ac:dyDescent="0.3">
      <c r="D1040" s="2">
        <f t="shared" si="63"/>
        <v>2009</v>
      </c>
      <c r="E1040" s="2">
        <f t="shared" si="64"/>
        <v>6</v>
      </c>
      <c r="F1040" s="3"/>
      <c r="G1040" s="4">
        <v>39980</v>
      </c>
      <c r="H1040" s="1">
        <v>6606238</v>
      </c>
      <c r="I1040" s="1">
        <v>661152</v>
      </c>
      <c r="J1040" s="5" t="s">
        <v>176</v>
      </c>
      <c r="K1040" s="1"/>
      <c r="L1040" s="1" t="str">
        <f t="shared" si="65"/>
        <v xml:space="preserve">Oxundaån </v>
      </c>
      <c r="M1040" s="1" t="s">
        <v>177</v>
      </c>
      <c r="N1040" s="1">
        <v>0.5</v>
      </c>
      <c r="O1040" s="1">
        <v>0.5</v>
      </c>
      <c r="Q1040" s="1">
        <v>14.2</v>
      </c>
      <c r="T1040" s="1">
        <v>43.8</v>
      </c>
      <c r="V1040" s="1">
        <v>2.367</v>
      </c>
      <c r="W1040" s="1">
        <v>109</v>
      </c>
      <c r="X1040" s="1">
        <f t="shared" si="66"/>
        <v>1.4824048751351206</v>
      </c>
      <c r="Y1040" s="1">
        <v>6.0999999999999999E-2</v>
      </c>
      <c r="Z1040" s="1">
        <v>34</v>
      </c>
      <c r="AD1040" s="1">
        <v>49</v>
      </c>
      <c r="AE1040" s="1">
        <v>7.73</v>
      </c>
      <c r="AI1040" s="1">
        <v>11.2</v>
      </c>
      <c r="AK1040" s="1">
        <v>54</v>
      </c>
      <c r="AL1040" s="1">
        <v>836</v>
      </c>
      <c r="AR1040" s="1">
        <v>54.14</v>
      </c>
      <c r="AT1040" s="1">
        <v>5.5912999999999995</v>
      </c>
      <c r="AU1040" s="1">
        <v>9.837299999999999</v>
      </c>
      <c r="AV1040" s="1">
        <v>38.215100000000007</v>
      </c>
      <c r="AW1040" s="1">
        <v>25.991020000000002</v>
      </c>
      <c r="AX1040" s="1">
        <v>56.458750000000002</v>
      </c>
      <c r="AY1040" s="1">
        <v>1.1100000000000001</v>
      </c>
    </row>
    <row r="1041" spans="4:51" x14ac:dyDescent="0.3">
      <c r="D1041" s="2">
        <f t="shared" si="63"/>
        <v>2009</v>
      </c>
      <c r="E1041" s="2">
        <f t="shared" si="64"/>
        <v>7</v>
      </c>
      <c r="F1041" s="3" t="s">
        <v>179</v>
      </c>
      <c r="G1041" s="4">
        <v>40008</v>
      </c>
      <c r="H1041" s="1">
        <v>6606238</v>
      </c>
      <c r="I1041" s="1">
        <v>661152</v>
      </c>
      <c r="J1041" s="5" t="s">
        <v>176</v>
      </c>
      <c r="K1041" s="1"/>
      <c r="L1041" s="1" t="str">
        <f t="shared" si="65"/>
        <v xml:space="preserve">Oxundaån </v>
      </c>
      <c r="M1041" s="1" t="s">
        <v>177</v>
      </c>
      <c r="N1041" s="1">
        <v>0.5</v>
      </c>
      <c r="O1041" s="1">
        <v>0.5</v>
      </c>
      <c r="Q1041" s="1">
        <v>20.2</v>
      </c>
      <c r="T1041" s="1">
        <v>45</v>
      </c>
      <c r="V1041" s="1">
        <v>2.403</v>
      </c>
      <c r="W1041" s="1">
        <v>48</v>
      </c>
      <c r="X1041" s="1">
        <f t="shared" si="66"/>
        <v>1.1862457443808114</v>
      </c>
      <c r="Y1041" s="1">
        <v>4.5999999999999999E-2</v>
      </c>
      <c r="Z1041" s="1">
        <v>32</v>
      </c>
      <c r="AD1041" s="1">
        <v>13</v>
      </c>
      <c r="AE1041" s="1">
        <v>7.8</v>
      </c>
      <c r="AI1041" s="1">
        <v>14</v>
      </c>
      <c r="AK1041" s="1">
        <v>63</v>
      </c>
      <c r="AL1041" s="1">
        <v>755</v>
      </c>
      <c r="AR1041" s="1">
        <v>54.44</v>
      </c>
      <c r="AT1041" s="1">
        <v>5.6303999999999998</v>
      </c>
      <c r="AU1041" s="1">
        <v>9.9824999999999999</v>
      </c>
      <c r="AV1041" s="1">
        <v>37.896050000000002</v>
      </c>
      <c r="AW1041" s="1">
        <v>27.20684</v>
      </c>
      <c r="AX1041" s="1">
        <v>51.605699999999999</v>
      </c>
      <c r="AY1041" s="1">
        <v>0.74</v>
      </c>
    </row>
    <row r="1042" spans="4:51" x14ac:dyDescent="0.3">
      <c r="D1042" s="2">
        <f t="shared" si="63"/>
        <v>2009</v>
      </c>
      <c r="E1042" s="2">
        <f t="shared" si="64"/>
        <v>8</v>
      </c>
      <c r="F1042" s="3" t="s">
        <v>179</v>
      </c>
      <c r="G1042" s="4">
        <v>40028</v>
      </c>
      <c r="J1042" s="1" t="s">
        <v>186</v>
      </c>
      <c r="K1042" s="1">
        <v>1</v>
      </c>
      <c r="L1042" s="1" t="str">
        <f t="shared" si="65"/>
        <v>Norrviken 1</v>
      </c>
      <c r="M1042" s="1" t="s">
        <v>177</v>
      </c>
      <c r="P1042" s="1">
        <v>1.7</v>
      </c>
      <c r="Q1042" s="1">
        <v>21.7</v>
      </c>
      <c r="R1042" s="1">
        <v>9.6999999999999993</v>
      </c>
      <c r="S1042" s="1">
        <v>109</v>
      </c>
      <c r="W1042" s="1">
        <v>1</v>
      </c>
      <c r="X1042" s="1">
        <f t="shared" si="66"/>
        <v>5.1093697137642863E-2</v>
      </c>
      <c r="Y1042" s="1">
        <v>4.5999999999999999E-2</v>
      </c>
      <c r="Z1042" s="1">
        <v>9</v>
      </c>
      <c r="AB1042" s="1">
        <v>16.582944000000001</v>
      </c>
      <c r="AC1042" s="1">
        <v>44.1</v>
      </c>
      <c r="AD1042" s="1">
        <v>0.1</v>
      </c>
      <c r="AE1042" s="1">
        <v>8.08</v>
      </c>
      <c r="AK1042" s="1">
        <v>65</v>
      </c>
      <c r="AL1042" s="1">
        <v>985</v>
      </c>
    </row>
    <row r="1043" spans="4:51" x14ac:dyDescent="0.3">
      <c r="D1043" s="2">
        <f t="shared" si="63"/>
        <v>2009</v>
      </c>
      <c r="E1043" s="2">
        <f t="shared" si="64"/>
        <v>8</v>
      </c>
      <c r="F1043" s="3" t="s">
        <v>179</v>
      </c>
      <c r="G1043" s="4">
        <v>40028</v>
      </c>
      <c r="J1043" s="1" t="s">
        <v>186</v>
      </c>
      <c r="K1043" s="1">
        <v>2</v>
      </c>
      <c r="L1043" s="1" t="str">
        <f t="shared" si="65"/>
        <v>Norrviken 2</v>
      </c>
      <c r="M1043" s="1" t="s">
        <v>177</v>
      </c>
      <c r="P1043" s="1">
        <v>2.2999999999999998</v>
      </c>
      <c r="Q1043" s="1">
        <v>21.9</v>
      </c>
      <c r="R1043" s="1">
        <v>9.3000000000000007</v>
      </c>
      <c r="S1043" s="1">
        <v>104</v>
      </c>
      <c r="W1043" s="1">
        <v>9</v>
      </c>
      <c r="X1043" s="1">
        <f t="shared" si="66"/>
        <v>0.54280794350710559</v>
      </c>
      <c r="Y1043" s="1">
        <v>0.04</v>
      </c>
      <c r="Z1043" s="1">
        <v>7</v>
      </c>
      <c r="AB1043" s="1">
        <v>11.321405</v>
      </c>
      <c r="AC1043" s="1">
        <v>45.1</v>
      </c>
      <c r="AD1043" s="1">
        <v>0.1</v>
      </c>
      <c r="AE1043" s="1">
        <v>8.15</v>
      </c>
      <c r="AK1043" s="1">
        <v>46</v>
      </c>
      <c r="AL1043" s="1">
        <v>868</v>
      </c>
    </row>
    <row r="1044" spans="4:51" x14ac:dyDescent="0.3">
      <c r="D1044" s="2">
        <f t="shared" si="63"/>
        <v>2009</v>
      </c>
      <c r="E1044" s="2">
        <f t="shared" si="64"/>
        <v>8</v>
      </c>
      <c r="F1044" s="3" t="s">
        <v>179</v>
      </c>
      <c r="G1044" s="4">
        <v>40028</v>
      </c>
      <c r="J1044" s="1" t="s">
        <v>186</v>
      </c>
      <c r="K1044" s="1">
        <v>3</v>
      </c>
      <c r="L1044" s="1" t="str">
        <f t="shared" si="65"/>
        <v>Norrviken 3</v>
      </c>
      <c r="M1044" s="1" t="s">
        <v>177</v>
      </c>
      <c r="P1044" s="1">
        <v>3.1</v>
      </c>
      <c r="Q1044" s="1">
        <v>21.7</v>
      </c>
      <c r="R1044" s="1">
        <v>8.9</v>
      </c>
      <c r="S1044" s="1">
        <v>99</v>
      </c>
      <c r="W1044" s="1">
        <v>0.1</v>
      </c>
      <c r="X1044" s="1">
        <f t="shared" si="66"/>
        <v>5.5748317569013217E-3</v>
      </c>
      <c r="Y1044" s="1">
        <v>0.04</v>
      </c>
      <c r="Z1044" s="1">
        <v>7</v>
      </c>
      <c r="AB1044" s="1">
        <v>5.120825</v>
      </c>
      <c r="AC1044" s="1">
        <v>45.1</v>
      </c>
      <c r="AD1044" s="1">
        <v>0.1</v>
      </c>
      <c r="AE1044" s="1">
        <v>8.1199999999999992</v>
      </c>
      <c r="AK1044" s="1">
        <v>38</v>
      </c>
      <c r="AL1044" s="1">
        <v>775</v>
      </c>
    </row>
    <row r="1045" spans="4:51" x14ac:dyDescent="0.3">
      <c r="D1045" s="2">
        <f t="shared" si="63"/>
        <v>2009</v>
      </c>
      <c r="E1045" s="2">
        <f t="shared" si="64"/>
        <v>8</v>
      </c>
      <c r="F1045" s="3" t="s">
        <v>179</v>
      </c>
      <c r="G1045" s="4">
        <v>40028</v>
      </c>
      <c r="J1045" s="1" t="s">
        <v>186</v>
      </c>
      <c r="K1045" s="1">
        <v>4</v>
      </c>
      <c r="L1045" s="1" t="str">
        <f t="shared" si="65"/>
        <v>Norrviken 4</v>
      </c>
      <c r="M1045" s="1" t="s">
        <v>177</v>
      </c>
      <c r="P1045" s="1">
        <v>2</v>
      </c>
      <c r="Q1045" s="1">
        <v>22.4</v>
      </c>
      <c r="R1045" s="1">
        <v>8.6</v>
      </c>
      <c r="S1045" s="1">
        <v>98</v>
      </c>
      <c r="W1045" s="1">
        <v>0.1</v>
      </c>
      <c r="X1045" s="1">
        <f t="shared" si="66"/>
        <v>5.974719049575603E-3</v>
      </c>
      <c r="Y1045" s="1">
        <v>3.9E-2</v>
      </c>
      <c r="Z1045" s="1">
        <v>12</v>
      </c>
      <c r="AB1045" s="1">
        <v>4.406898</v>
      </c>
      <c r="AC1045" s="1">
        <v>45</v>
      </c>
      <c r="AD1045" s="1">
        <v>0.1</v>
      </c>
      <c r="AE1045" s="1">
        <v>8.1300000000000008</v>
      </c>
      <c r="AK1045" s="1">
        <v>42</v>
      </c>
      <c r="AL1045" s="1">
        <v>771</v>
      </c>
    </row>
    <row r="1046" spans="4:51" x14ac:dyDescent="0.3">
      <c r="D1046" s="2">
        <f t="shared" si="63"/>
        <v>2009</v>
      </c>
      <c r="E1046" s="2">
        <f t="shared" si="64"/>
        <v>8</v>
      </c>
      <c r="F1046" s="3" t="s">
        <v>179</v>
      </c>
      <c r="G1046" s="4">
        <v>40028</v>
      </c>
      <c r="J1046" s="1" t="s">
        <v>186</v>
      </c>
      <c r="K1046" s="1">
        <v>1</v>
      </c>
      <c r="L1046" s="1" t="str">
        <f t="shared" si="65"/>
        <v>Norrviken 1</v>
      </c>
      <c r="M1046" s="1" t="s">
        <v>184</v>
      </c>
      <c r="Q1046" s="1">
        <v>20.3</v>
      </c>
      <c r="R1046" s="1">
        <v>4.7</v>
      </c>
      <c r="S1046" s="1">
        <v>51</v>
      </c>
      <c r="W1046" s="1">
        <v>2</v>
      </c>
      <c r="X1046" s="1">
        <f t="shared" si="66"/>
        <v>3.1700321180799663E-2</v>
      </c>
      <c r="Y1046" s="1">
        <v>4.7E-2</v>
      </c>
      <c r="Z1046" s="1">
        <v>22</v>
      </c>
      <c r="AC1046" s="1">
        <v>44.3</v>
      </c>
      <c r="AD1046" s="1">
        <v>0.1</v>
      </c>
      <c r="AE1046" s="1">
        <v>7.6</v>
      </c>
      <c r="AK1046" s="1">
        <v>97</v>
      </c>
      <c r="AL1046" s="1">
        <v>1093</v>
      </c>
    </row>
    <row r="1047" spans="4:51" x14ac:dyDescent="0.3">
      <c r="D1047" s="2">
        <f t="shared" si="63"/>
        <v>2009</v>
      </c>
      <c r="E1047" s="2">
        <f t="shared" si="64"/>
        <v>8</v>
      </c>
      <c r="F1047" s="3" t="s">
        <v>179</v>
      </c>
      <c r="G1047" s="4">
        <v>40028</v>
      </c>
      <c r="J1047" s="1" t="s">
        <v>186</v>
      </c>
      <c r="K1047" s="1">
        <v>2</v>
      </c>
      <c r="L1047" s="1" t="str">
        <f t="shared" si="65"/>
        <v>Norrviken 2</v>
      </c>
      <c r="M1047" s="1" t="s">
        <v>184</v>
      </c>
      <c r="Q1047" s="1">
        <v>14.3</v>
      </c>
      <c r="R1047" s="1">
        <v>0.1</v>
      </c>
      <c r="S1047" s="1">
        <v>1</v>
      </c>
      <c r="W1047" s="1">
        <v>520</v>
      </c>
      <c r="X1047" s="1">
        <f t="shared" si="66"/>
        <v>2.8602254857687179</v>
      </c>
      <c r="Y1047" s="1">
        <v>4.9000000000000002E-2</v>
      </c>
      <c r="Z1047" s="1">
        <v>360</v>
      </c>
      <c r="AC1047" s="1">
        <v>47.2</v>
      </c>
      <c r="AD1047" s="1">
        <v>30</v>
      </c>
      <c r="AE1047" s="1">
        <v>7.33</v>
      </c>
      <c r="AK1047" s="1">
        <v>398</v>
      </c>
      <c r="AL1047" s="1">
        <v>1343</v>
      </c>
    </row>
    <row r="1048" spans="4:51" x14ac:dyDescent="0.3">
      <c r="D1048" s="2">
        <f t="shared" si="63"/>
        <v>2009</v>
      </c>
      <c r="E1048" s="2">
        <f t="shared" si="64"/>
        <v>8</v>
      </c>
      <c r="F1048" s="3" t="s">
        <v>179</v>
      </c>
      <c r="G1048" s="4">
        <v>40028</v>
      </c>
      <c r="J1048" s="1" t="s">
        <v>186</v>
      </c>
      <c r="K1048" s="1">
        <v>3</v>
      </c>
      <c r="L1048" s="1" t="str">
        <f t="shared" si="65"/>
        <v>Norrviken 3</v>
      </c>
      <c r="M1048" s="1" t="s">
        <v>184</v>
      </c>
      <c r="Q1048" s="1">
        <v>12.8</v>
      </c>
      <c r="R1048" s="1">
        <v>0.1</v>
      </c>
      <c r="S1048" s="1">
        <v>1</v>
      </c>
      <c r="W1048" s="1">
        <v>1483</v>
      </c>
      <c r="X1048" s="1">
        <f t="shared" si="66"/>
        <v>6.7939294559482084</v>
      </c>
      <c r="Y1048" s="1">
        <v>5.5E-2</v>
      </c>
      <c r="Z1048" s="1">
        <v>647</v>
      </c>
      <c r="AC1048" s="1">
        <v>49.1</v>
      </c>
      <c r="AD1048" s="1">
        <v>0.1</v>
      </c>
      <c r="AE1048" s="1">
        <v>7.3</v>
      </c>
      <c r="AK1048" s="1">
        <v>669</v>
      </c>
      <c r="AL1048" s="1">
        <v>2435</v>
      </c>
    </row>
    <row r="1049" spans="4:51" x14ac:dyDescent="0.3">
      <c r="D1049" s="2">
        <f t="shared" si="63"/>
        <v>2009</v>
      </c>
      <c r="E1049" s="2">
        <f t="shared" si="64"/>
        <v>8</v>
      </c>
      <c r="F1049" s="3" t="s">
        <v>179</v>
      </c>
      <c r="G1049" s="4">
        <v>40028</v>
      </c>
      <c r="J1049" s="1" t="s">
        <v>186</v>
      </c>
      <c r="K1049" s="1">
        <v>4</v>
      </c>
      <c r="L1049" s="1" t="str">
        <f t="shared" si="65"/>
        <v>Norrviken 4</v>
      </c>
      <c r="M1049" s="1" t="s">
        <v>184</v>
      </c>
      <c r="Q1049" s="1">
        <v>21.7</v>
      </c>
      <c r="R1049" s="1">
        <v>8.6</v>
      </c>
      <c r="S1049" s="1">
        <v>96</v>
      </c>
      <c r="W1049" s="1">
        <v>5</v>
      </c>
      <c r="X1049" s="1">
        <f t="shared" si="66"/>
        <v>0.28486440421403686</v>
      </c>
      <c r="Y1049" s="1">
        <v>4.2999999999999997E-2</v>
      </c>
      <c r="Z1049" s="1">
        <v>13</v>
      </c>
      <c r="AC1049" s="1">
        <v>45</v>
      </c>
      <c r="AD1049" s="1">
        <v>0.1</v>
      </c>
      <c r="AE1049" s="1">
        <v>8.1300000000000008</v>
      </c>
      <c r="AK1049" s="1">
        <v>46</v>
      </c>
      <c r="AL1049" s="1">
        <v>817</v>
      </c>
    </row>
    <row r="1050" spans="4:51" x14ac:dyDescent="0.3">
      <c r="D1050" s="2">
        <f t="shared" si="63"/>
        <v>2009</v>
      </c>
      <c r="E1050" s="2">
        <f t="shared" si="64"/>
        <v>8</v>
      </c>
      <c r="F1050" s="3" t="s">
        <v>179</v>
      </c>
      <c r="G1050" s="4">
        <v>40028</v>
      </c>
      <c r="J1050" s="1" t="s">
        <v>191</v>
      </c>
      <c r="K1050" s="1" t="s">
        <v>206</v>
      </c>
      <c r="L1050" s="1" t="str">
        <f t="shared" si="65"/>
        <v>Vallentunasjön Blandprov</v>
      </c>
      <c r="M1050" s="1" t="s">
        <v>177</v>
      </c>
      <c r="P1050" s="1">
        <v>0.9</v>
      </c>
      <c r="W1050" s="1">
        <v>1</v>
      </c>
      <c r="Z1050" s="1">
        <v>0.1</v>
      </c>
      <c r="AB1050" s="1">
        <v>36.1</v>
      </c>
      <c r="AD1050" s="1">
        <v>0.1</v>
      </c>
      <c r="AK1050" s="1">
        <v>66</v>
      </c>
      <c r="AL1050" s="1">
        <v>1400</v>
      </c>
    </row>
    <row r="1051" spans="4:51" x14ac:dyDescent="0.3">
      <c r="D1051" s="2">
        <f t="shared" si="63"/>
        <v>2009</v>
      </c>
      <c r="E1051" s="2">
        <f t="shared" si="64"/>
        <v>8</v>
      </c>
      <c r="F1051" s="3" t="s">
        <v>179</v>
      </c>
      <c r="G1051" s="4">
        <v>40029</v>
      </c>
      <c r="J1051" s="1" t="s">
        <v>181</v>
      </c>
      <c r="K1051" s="1"/>
      <c r="L1051" s="1" t="str">
        <f t="shared" si="65"/>
        <v xml:space="preserve">Fysingen </v>
      </c>
      <c r="M1051" s="1" t="s">
        <v>177</v>
      </c>
      <c r="P1051" s="1">
        <v>1.7</v>
      </c>
      <c r="Q1051" s="1">
        <v>22</v>
      </c>
      <c r="V1051" s="1">
        <v>2.105</v>
      </c>
      <c r="W1051" s="1">
        <v>12</v>
      </c>
      <c r="X1051" s="1">
        <f t="shared" ref="X1051:X1071" si="67">W1051 * (1/((10^((0.0901821 + (2729.92 /(273.15 + Q1051)))-AE1051)+1)))</f>
        <v>0.84711439380716635</v>
      </c>
      <c r="Y1051" s="1">
        <v>3.9E-2</v>
      </c>
      <c r="Z1051" s="1">
        <v>4</v>
      </c>
      <c r="AB1051" s="1">
        <v>6.7</v>
      </c>
      <c r="AC1051" s="1">
        <v>49.6</v>
      </c>
      <c r="AD1051" s="1">
        <v>1</v>
      </c>
      <c r="AE1051" s="1">
        <v>8.2200000000000006</v>
      </c>
      <c r="AI1051" s="1">
        <v>13.6</v>
      </c>
      <c r="AK1051" s="1">
        <v>23</v>
      </c>
      <c r="AL1051" s="1">
        <v>699</v>
      </c>
      <c r="AV1051" s="1">
        <v>34.421950000000002</v>
      </c>
      <c r="AX1051" s="1">
        <v>92.736499999999992</v>
      </c>
      <c r="AY1051" s="1">
        <v>1.86</v>
      </c>
    </row>
    <row r="1052" spans="4:51" x14ac:dyDescent="0.3">
      <c r="D1052" s="2">
        <f t="shared" si="63"/>
        <v>2009</v>
      </c>
      <c r="E1052" s="2">
        <f t="shared" si="64"/>
        <v>8</v>
      </c>
      <c r="F1052" s="3" t="s">
        <v>179</v>
      </c>
      <c r="G1052" s="4">
        <v>40029</v>
      </c>
      <c r="J1052" s="1" t="s">
        <v>185</v>
      </c>
      <c r="K1052" s="1"/>
      <c r="L1052" s="1" t="str">
        <f t="shared" si="65"/>
        <v xml:space="preserve">Gullsjön </v>
      </c>
      <c r="M1052" s="1" t="s">
        <v>177</v>
      </c>
      <c r="P1052" s="1">
        <v>2</v>
      </c>
      <c r="Q1052" s="1">
        <v>20.100000000000001</v>
      </c>
      <c r="R1052" s="1">
        <v>5</v>
      </c>
      <c r="S1052" s="1">
        <v>54</v>
      </c>
      <c r="W1052" s="1">
        <v>4</v>
      </c>
      <c r="X1052" s="1">
        <f t="shared" si="67"/>
        <v>1.9523731580066719E-2</v>
      </c>
      <c r="Y1052" s="1">
        <v>0.13800000000000001</v>
      </c>
      <c r="Z1052" s="1">
        <v>2</v>
      </c>
      <c r="AB1052" s="1">
        <v>3.9041757142857101</v>
      </c>
      <c r="AC1052" s="1">
        <v>36.4</v>
      </c>
      <c r="AD1052" s="1">
        <v>0.1</v>
      </c>
      <c r="AE1052" s="1">
        <v>7.09</v>
      </c>
      <c r="AK1052" s="1">
        <v>14</v>
      </c>
      <c r="AL1052" s="1">
        <v>802</v>
      </c>
    </row>
    <row r="1053" spans="4:51" x14ac:dyDescent="0.3">
      <c r="D1053" s="2">
        <f t="shared" si="63"/>
        <v>2009</v>
      </c>
      <c r="E1053" s="2">
        <f t="shared" si="64"/>
        <v>8</v>
      </c>
      <c r="F1053" s="3" t="s">
        <v>179</v>
      </c>
      <c r="G1053" s="4">
        <v>40029</v>
      </c>
      <c r="J1053" s="1" t="s">
        <v>185</v>
      </c>
      <c r="K1053" s="1"/>
      <c r="L1053" s="1" t="str">
        <f t="shared" si="65"/>
        <v xml:space="preserve">Gullsjön </v>
      </c>
      <c r="M1053" s="1" t="s">
        <v>184</v>
      </c>
      <c r="Q1053" s="1">
        <v>17.899999999999999</v>
      </c>
      <c r="R1053" s="1">
        <v>0.2</v>
      </c>
      <c r="S1053" s="1">
        <v>2</v>
      </c>
      <c r="W1053" s="1">
        <v>1</v>
      </c>
      <c r="X1053" s="1">
        <f t="shared" si="67"/>
        <v>1.6578320753957835E-3</v>
      </c>
      <c r="Y1053" s="1">
        <v>0.153</v>
      </c>
      <c r="Z1053" s="1">
        <v>4</v>
      </c>
      <c r="AC1053" s="1">
        <v>36.799999999999997</v>
      </c>
      <c r="AD1053" s="1">
        <v>0.1</v>
      </c>
      <c r="AE1053" s="1">
        <v>6.69</v>
      </c>
      <c r="AK1053" s="1">
        <v>20</v>
      </c>
      <c r="AL1053" s="1">
        <v>870</v>
      </c>
    </row>
    <row r="1054" spans="4:51" x14ac:dyDescent="0.3">
      <c r="D1054" s="2">
        <f t="shared" si="63"/>
        <v>2009</v>
      </c>
      <c r="E1054" s="2">
        <f t="shared" si="64"/>
        <v>8</v>
      </c>
      <c r="F1054" s="3" t="s">
        <v>179</v>
      </c>
      <c r="G1054" s="4">
        <v>40030</v>
      </c>
      <c r="J1054" s="1" t="s">
        <v>182</v>
      </c>
      <c r="K1054" s="1"/>
      <c r="L1054" s="1" t="str">
        <f t="shared" si="65"/>
        <v xml:space="preserve">Edssjön </v>
      </c>
      <c r="M1054" s="1" t="s">
        <v>177</v>
      </c>
      <c r="P1054" s="1">
        <v>1</v>
      </c>
      <c r="Q1054" s="1">
        <v>24.5</v>
      </c>
      <c r="R1054" s="1">
        <v>20</v>
      </c>
      <c r="S1054" s="1">
        <v>238</v>
      </c>
      <c r="W1054" s="1">
        <v>5</v>
      </c>
      <c r="X1054" s="1">
        <f t="shared" si="67"/>
        <v>1.6140603200811605</v>
      </c>
      <c r="Y1054" s="1">
        <v>6.4000000000000001E-2</v>
      </c>
      <c r="Z1054" s="1">
        <v>5</v>
      </c>
      <c r="AB1054" s="1">
        <v>102.62294</v>
      </c>
      <c r="AC1054" s="1">
        <v>39.799999999999997</v>
      </c>
      <c r="AD1054" s="1">
        <v>0.1</v>
      </c>
      <c r="AE1054" s="1">
        <v>8.94</v>
      </c>
      <c r="AK1054" s="1">
        <v>127</v>
      </c>
      <c r="AL1054" s="1">
        <v>1933</v>
      </c>
    </row>
    <row r="1055" spans="4:51" x14ac:dyDescent="0.3">
      <c r="D1055" s="2">
        <f t="shared" si="63"/>
        <v>2009</v>
      </c>
      <c r="E1055" s="2">
        <f t="shared" si="64"/>
        <v>8</v>
      </c>
      <c r="F1055" s="3" t="s">
        <v>179</v>
      </c>
      <c r="G1055" s="4">
        <v>40030</v>
      </c>
      <c r="J1055" s="1" t="s">
        <v>182</v>
      </c>
      <c r="K1055" s="1"/>
      <c r="L1055" s="1" t="str">
        <f t="shared" si="65"/>
        <v xml:space="preserve">Edssjön </v>
      </c>
      <c r="M1055" s="1" t="s">
        <v>184</v>
      </c>
      <c r="Q1055" s="1">
        <v>19.5</v>
      </c>
      <c r="R1055" s="1">
        <v>0.2</v>
      </c>
      <c r="S1055" s="1">
        <v>2.2000000000000002</v>
      </c>
      <c r="W1055" s="1">
        <v>265</v>
      </c>
      <c r="X1055" s="1">
        <f t="shared" si="67"/>
        <v>3.3822753959194007</v>
      </c>
      <c r="Y1055" s="1">
        <v>5.6000000000000001E-2</v>
      </c>
      <c r="Z1055" s="1">
        <v>112</v>
      </c>
      <c r="AC1055" s="1">
        <v>45.1</v>
      </c>
      <c r="AD1055" s="1">
        <v>5</v>
      </c>
      <c r="AE1055" s="1">
        <v>7.53</v>
      </c>
      <c r="AK1055" s="1">
        <v>202</v>
      </c>
      <c r="AL1055" s="1">
        <v>1232</v>
      </c>
    </row>
    <row r="1056" spans="4:51" x14ac:dyDescent="0.3">
      <c r="D1056" s="2">
        <f t="shared" si="63"/>
        <v>2009</v>
      </c>
      <c r="E1056" s="2">
        <f t="shared" si="64"/>
        <v>8</v>
      </c>
      <c r="F1056" s="3" t="s">
        <v>179</v>
      </c>
      <c r="G1056" s="4">
        <v>40030</v>
      </c>
      <c r="J1056" s="1" t="s">
        <v>183</v>
      </c>
      <c r="K1056" s="1"/>
      <c r="L1056" s="1" t="str">
        <f t="shared" si="65"/>
        <v xml:space="preserve">Fjäturen </v>
      </c>
      <c r="M1056" s="1" t="s">
        <v>177</v>
      </c>
      <c r="P1056" s="1">
        <v>4</v>
      </c>
      <c r="Q1056" s="1">
        <v>21.8</v>
      </c>
      <c r="R1056" s="1">
        <v>8</v>
      </c>
      <c r="S1056" s="1">
        <v>90</v>
      </c>
      <c r="W1056" s="1">
        <v>10</v>
      </c>
      <c r="X1056" s="1">
        <f t="shared" si="67"/>
        <v>0.31645886444223342</v>
      </c>
      <c r="Y1056" s="1">
        <v>0.06</v>
      </c>
      <c r="Z1056" s="1">
        <v>0.1</v>
      </c>
      <c r="AB1056" s="1">
        <v>2.1815199999999999</v>
      </c>
      <c r="AC1056" s="1">
        <v>31.6</v>
      </c>
      <c r="AD1056" s="1">
        <v>0.1</v>
      </c>
      <c r="AE1056" s="1">
        <v>7.86</v>
      </c>
      <c r="AK1056" s="1">
        <v>29</v>
      </c>
      <c r="AL1056" s="1">
        <v>647</v>
      </c>
    </row>
    <row r="1057" spans="4:38" x14ac:dyDescent="0.3">
      <c r="D1057" s="2">
        <f t="shared" si="63"/>
        <v>2009</v>
      </c>
      <c r="E1057" s="2">
        <f t="shared" si="64"/>
        <v>8</v>
      </c>
      <c r="F1057" s="3" t="s">
        <v>179</v>
      </c>
      <c r="G1057" s="4">
        <v>40030</v>
      </c>
      <c r="J1057" s="1" t="s">
        <v>183</v>
      </c>
      <c r="K1057" s="1"/>
      <c r="L1057" s="1" t="str">
        <f t="shared" si="65"/>
        <v xml:space="preserve">Fjäturen </v>
      </c>
      <c r="M1057" s="1" t="s">
        <v>184</v>
      </c>
      <c r="Q1057" s="1">
        <v>11.2</v>
      </c>
      <c r="R1057" s="1">
        <v>0.1</v>
      </c>
      <c r="S1057" s="1">
        <v>1</v>
      </c>
      <c r="W1057" s="1">
        <v>713</v>
      </c>
      <c r="X1057" s="1">
        <f t="shared" si="67"/>
        <v>2.6958737546638551</v>
      </c>
      <c r="Y1057" s="1">
        <v>0.108</v>
      </c>
      <c r="Z1057" s="1">
        <v>347</v>
      </c>
      <c r="AC1057" s="1">
        <v>33.9</v>
      </c>
      <c r="AD1057" s="1">
        <v>0.1</v>
      </c>
      <c r="AE1057" s="1">
        <v>7.27</v>
      </c>
      <c r="AK1057" s="1">
        <v>380</v>
      </c>
      <c r="AL1057" s="1">
        <v>1466</v>
      </c>
    </row>
    <row r="1058" spans="4:38" x14ac:dyDescent="0.3">
      <c r="D1058" s="2">
        <f t="shared" si="63"/>
        <v>2009</v>
      </c>
      <c r="E1058" s="2">
        <f t="shared" si="64"/>
        <v>8</v>
      </c>
      <c r="F1058" s="3" t="s">
        <v>179</v>
      </c>
      <c r="G1058" s="4">
        <v>40030</v>
      </c>
      <c r="J1058" s="1" t="s">
        <v>201</v>
      </c>
      <c r="K1058" s="1"/>
      <c r="L1058" s="1" t="str">
        <f t="shared" si="65"/>
        <v xml:space="preserve">Mörtsjön </v>
      </c>
      <c r="M1058" s="1" t="s">
        <v>177</v>
      </c>
      <c r="P1058" s="1">
        <v>1.6</v>
      </c>
      <c r="Q1058" s="1">
        <v>21</v>
      </c>
      <c r="R1058" s="1">
        <v>6.9</v>
      </c>
      <c r="S1058" s="1">
        <v>77</v>
      </c>
      <c r="W1058" s="1">
        <v>10</v>
      </c>
      <c r="X1058" s="1">
        <f t="shared" si="67"/>
        <v>0.15570247242058446</v>
      </c>
      <c r="Y1058" s="1">
        <v>0.154</v>
      </c>
      <c r="Z1058" s="1">
        <v>0.1</v>
      </c>
      <c r="AB1058" s="1">
        <v>11.815992</v>
      </c>
      <c r="AC1058" s="1">
        <v>30.6</v>
      </c>
      <c r="AD1058" s="1">
        <v>0.1</v>
      </c>
      <c r="AE1058" s="1">
        <v>7.57</v>
      </c>
      <c r="AK1058" s="1">
        <v>35</v>
      </c>
      <c r="AL1058" s="1">
        <v>842</v>
      </c>
    </row>
    <row r="1059" spans="4:38" x14ac:dyDescent="0.3">
      <c r="D1059" s="2">
        <f t="shared" si="63"/>
        <v>2009</v>
      </c>
      <c r="E1059" s="2">
        <f t="shared" si="64"/>
        <v>8</v>
      </c>
      <c r="F1059" s="3" t="s">
        <v>179</v>
      </c>
      <c r="G1059" s="4">
        <v>40030</v>
      </c>
      <c r="J1059" s="1" t="s">
        <v>201</v>
      </c>
      <c r="K1059" s="1"/>
      <c r="L1059" s="1" t="str">
        <f t="shared" si="65"/>
        <v xml:space="preserve">Mörtsjön </v>
      </c>
      <c r="M1059" s="1" t="s">
        <v>184</v>
      </c>
      <c r="Q1059" s="1">
        <v>11.5</v>
      </c>
      <c r="R1059" s="1">
        <v>0.1</v>
      </c>
      <c r="S1059" s="1">
        <v>1</v>
      </c>
      <c r="W1059" s="1">
        <v>1312</v>
      </c>
      <c r="X1059" s="1">
        <f t="shared" si="67"/>
        <v>2.1213121073063603</v>
      </c>
      <c r="Y1059" s="1">
        <v>0.25800000000000001</v>
      </c>
      <c r="Z1059" s="1">
        <v>98</v>
      </c>
      <c r="AC1059" s="1">
        <v>40.299999999999997</v>
      </c>
      <c r="AD1059" s="1">
        <v>0.1</v>
      </c>
      <c r="AE1059" s="1">
        <v>6.89</v>
      </c>
      <c r="AK1059" s="1">
        <v>174</v>
      </c>
      <c r="AL1059" s="1">
        <v>2386</v>
      </c>
    </row>
    <row r="1060" spans="4:38" x14ac:dyDescent="0.3">
      <c r="D1060" s="2">
        <f t="shared" si="63"/>
        <v>2009</v>
      </c>
      <c r="E1060" s="2">
        <f t="shared" si="64"/>
        <v>8</v>
      </c>
      <c r="F1060" s="3" t="s">
        <v>179</v>
      </c>
      <c r="G1060" s="4">
        <v>40030</v>
      </c>
      <c r="J1060" s="1" t="s">
        <v>187</v>
      </c>
      <c r="K1060" s="1"/>
      <c r="L1060" s="1" t="str">
        <f t="shared" si="65"/>
        <v xml:space="preserve">Oxundasjön </v>
      </c>
      <c r="M1060" s="1" t="s">
        <v>177</v>
      </c>
      <c r="P1060" s="1">
        <v>2.5</v>
      </c>
      <c r="Q1060" s="1">
        <v>24.2</v>
      </c>
      <c r="R1060" s="1">
        <v>10.5</v>
      </c>
      <c r="S1060" s="1">
        <v>122</v>
      </c>
      <c r="W1060" s="1">
        <v>5</v>
      </c>
      <c r="X1060" s="1">
        <f t="shared" si="67"/>
        <v>0.46316933541241512</v>
      </c>
      <c r="Y1060" s="1">
        <v>5.1999999999999998E-2</v>
      </c>
      <c r="Z1060" s="1">
        <v>40</v>
      </c>
      <c r="AB1060" s="1">
        <v>7.9251579999999997</v>
      </c>
      <c r="AC1060" s="1">
        <v>45.3</v>
      </c>
      <c r="AD1060" s="1">
        <v>0.1</v>
      </c>
      <c r="AE1060" s="1">
        <v>8.2799999999999994</v>
      </c>
      <c r="AK1060" s="1">
        <v>81</v>
      </c>
      <c r="AL1060" s="1">
        <v>825</v>
      </c>
    </row>
    <row r="1061" spans="4:38" x14ac:dyDescent="0.3">
      <c r="D1061" s="2">
        <f t="shared" si="63"/>
        <v>2009</v>
      </c>
      <c r="E1061" s="2">
        <f t="shared" si="64"/>
        <v>8</v>
      </c>
      <c r="F1061" s="3" t="s">
        <v>179</v>
      </c>
      <c r="G1061" s="4">
        <v>40030</v>
      </c>
      <c r="J1061" s="1" t="s">
        <v>187</v>
      </c>
      <c r="K1061" s="1"/>
      <c r="L1061" s="1" t="str">
        <f t="shared" si="65"/>
        <v xml:space="preserve">Oxundasjön </v>
      </c>
      <c r="M1061" s="1" t="s">
        <v>184</v>
      </c>
      <c r="Q1061" s="1">
        <v>19.8</v>
      </c>
      <c r="R1061" s="1">
        <v>0.9</v>
      </c>
      <c r="S1061" s="1">
        <v>9.9</v>
      </c>
      <c r="W1061" s="1">
        <v>118</v>
      </c>
      <c r="X1061" s="1">
        <f t="shared" si="67"/>
        <v>1.144833911689408</v>
      </c>
      <c r="Y1061" s="1">
        <v>5.6000000000000001E-2</v>
      </c>
      <c r="Z1061" s="1">
        <v>97</v>
      </c>
      <c r="AC1061" s="1">
        <v>46.6</v>
      </c>
      <c r="AD1061" s="1">
        <v>3</v>
      </c>
      <c r="AE1061" s="1">
        <v>7.4</v>
      </c>
      <c r="AK1061" s="1">
        <v>140</v>
      </c>
      <c r="AL1061" s="1">
        <v>914</v>
      </c>
    </row>
    <row r="1062" spans="4:38" x14ac:dyDescent="0.3">
      <c r="D1062" s="2">
        <f t="shared" si="63"/>
        <v>2009</v>
      </c>
      <c r="E1062" s="2">
        <f t="shared" si="64"/>
        <v>8</v>
      </c>
      <c r="F1062" s="3" t="s">
        <v>179</v>
      </c>
      <c r="G1062" s="4">
        <v>40030</v>
      </c>
      <c r="J1062" s="1" t="s">
        <v>188</v>
      </c>
      <c r="K1062" s="1"/>
      <c r="L1062" s="1" t="str">
        <f t="shared" si="65"/>
        <v xml:space="preserve">Ravalen </v>
      </c>
      <c r="M1062" s="1" t="s">
        <v>177</v>
      </c>
      <c r="Q1062" s="1">
        <v>23.3</v>
      </c>
      <c r="R1062" s="1">
        <v>11.3</v>
      </c>
      <c r="S1062" s="1">
        <v>130</v>
      </c>
      <c r="W1062" s="1">
        <v>14</v>
      </c>
      <c r="X1062" s="1">
        <f t="shared" si="67"/>
        <v>3.4293785972438178</v>
      </c>
      <c r="Y1062" s="1">
        <v>6.8000000000000005E-2</v>
      </c>
      <c r="Z1062" s="1">
        <v>0.1</v>
      </c>
      <c r="AB1062" s="1">
        <v>6.9496200000000004</v>
      </c>
      <c r="AC1062" s="1">
        <v>43.5</v>
      </c>
      <c r="AD1062" s="1">
        <v>0.1</v>
      </c>
      <c r="AE1062" s="1">
        <v>8.81</v>
      </c>
      <c r="AK1062" s="1">
        <v>32</v>
      </c>
      <c r="AL1062" s="1">
        <v>907</v>
      </c>
    </row>
    <row r="1063" spans="4:38" x14ac:dyDescent="0.3">
      <c r="D1063" s="2">
        <f t="shared" si="63"/>
        <v>2009</v>
      </c>
      <c r="E1063" s="2">
        <f t="shared" si="64"/>
        <v>8</v>
      </c>
      <c r="F1063" s="3" t="s">
        <v>179</v>
      </c>
      <c r="G1063" s="4">
        <v>40030</v>
      </c>
      <c r="J1063" s="1" t="s">
        <v>188</v>
      </c>
      <c r="K1063" s="1"/>
      <c r="L1063" s="1" t="str">
        <f t="shared" si="65"/>
        <v xml:space="preserve">Ravalen </v>
      </c>
      <c r="M1063" s="1" t="s">
        <v>184</v>
      </c>
      <c r="Q1063" s="1">
        <v>17.100000000000001</v>
      </c>
      <c r="R1063" s="1">
        <v>0.1</v>
      </c>
      <c r="S1063" s="1">
        <v>1.2</v>
      </c>
      <c r="W1063" s="1">
        <v>1154</v>
      </c>
      <c r="X1063" s="1">
        <f t="shared" si="67"/>
        <v>2.2686106848031993</v>
      </c>
      <c r="Y1063" s="1">
        <v>0.112</v>
      </c>
      <c r="Z1063" s="1">
        <v>255</v>
      </c>
      <c r="AC1063" s="1">
        <v>87</v>
      </c>
      <c r="AD1063" s="1">
        <v>0.1</v>
      </c>
      <c r="AE1063" s="1">
        <v>6.79</v>
      </c>
      <c r="AK1063" s="1">
        <v>416</v>
      </c>
      <c r="AL1063" s="1">
        <v>1906</v>
      </c>
    </row>
    <row r="1064" spans="4:38" x14ac:dyDescent="0.3">
      <c r="D1064" s="2">
        <f t="shared" si="63"/>
        <v>2009</v>
      </c>
      <c r="E1064" s="2">
        <f t="shared" si="64"/>
        <v>8</v>
      </c>
      <c r="F1064" s="3" t="s">
        <v>179</v>
      </c>
      <c r="G1064" s="4">
        <v>40030</v>
      </c>
      <c r="J1064" s="1" t="s">
        <v>189</v>
      </c>
      <c r="K1064" s="1"/>
      <c r="L1064" s="1" t="str">
        <f t="shared" si="65"/>
        <v xml:space="preserve">Rösjön </v>
      </c>
      <c r="M1064" s="1" t="s">
        <v>177</v>
      </c>
      <c r="P1064" s="1">
        <v>2.8</v>
      </c>
      <c r="Q1064" s="1">
        <v>21.3</v>
      </c>
      <c r="R1064" s="1">
        <v>8.4</v>
      </c>
      <c r="S1064" s="1">
        <v>93</v>
      </c>
      <c r="W1064" s="1">
        <v>9</v>
      </c>
      <c r="X1064" s="1">
        <f t="shared" si="67"/>
        <v>0.42819228159161238</v>
      </c>
      <c r="Y1064" s="1">
        <v>3.2000000000000001E-2</v>
      </c>
      <c r="Z1064" s="1">
        <v>0.1</v>
      </c>
      <c r="AB1064" s="1">
        <v>2.9872480000000001</v>
      </c>
      <c r="AC1064" s="1">
        <v>24.9</v>
      </c>
      <c r="AD1064" s="1">
        <v>0.1</v>
      </c>
      <c r="AE1064" s="1">
        <v>8.06</v>
      </c>
      <c r="AK1064" s="1">
        <v>20</v>
      </c>
      <c r="AL1064" s="1">
        <v>589</v>
      </c>
    </row>
    <row r="1065" spans="4:38" x14ac:dyDescent="0.3">
      <c r="D1065" s="2">
        <f t="shared" si="63"/>
        <v>2009</v>
      </c>
      <c r="E1065" s="2">
        <f t="shared" si="64"/>
        <v>8</v>
      </c>
      <c r="F1065" s="3" t="s">
        <v>179</v>
      </c>
      <c r="G1065" s="4">
        <v>40030</v>
      </c>
      <c r="J1065" s="1" t="s">
        <v>189</v>
      </c>
      <c r="K1065" s="1"/>
      <c r="L1065" s="1" t="str">
        <f t="shared" si="65"/>
        <v xml:space="preserve">Rösjön </v>
      </c>
      <c r="M1065" s="1" t="s">
        <v>184</v>
      </c>
      <c r="Q1065" s="1">
        <v>16.399999999999999</v>
      </c>
      <c r="R1065" s="1">
        <v>0.1</v>
      </c>
      <c r="S1065" s="1">
        <v>1</v>
      </c>
      <c r="W1065" s="1">
        <v>44</v>
      </c>
      <c r="X1065" s="1">
        <f t="shared" si="67"/>
        <v>0.16349583298913917</v>
      </c>
      <c r="Y1065" s="1">
        <v>4.2000000000000003E-2</v>
      </c>
      <c r="Z1065" s="1">
        <v>73</v>
      </c>
      <c r="AC1065" s="1">
        <v>26.1</v>
      </c>
      <c r="AD1065" s="1">
        <v>0.1</v>
      </c>
      <c r="AE1065" s="1">
        <v>7.09</v>
      </c>
      <c r="AK1065" s="1">
        <v>207</v>
      </c>
      <c r="AL1065" s="1">
        <v>809</v>
      </c>
    </row>
    <row r="1066" spans="4:38" x14ac:dyDescent="0.3">
      <c r="D1066" s="2">
        <f t="shared" si="63"/>
        <v>2009</v>
      </c>
      <c r="E1066" s="2">
        <f t="shared" si="64"/>
        <v>8</v>
      </c>
      <c r="F1066" s="3" t="s">
        <v>179</v>
      </c>
      <c r="G1066" s="4">
        <v>40030</v>
      </c>
      <c r="J1066" s="1" t="s">
        <v>190</v>
      </c>
      <c r="K1066" s="1"/>
      <c r="L1066" s="1" t="str">
        <f t="shared" si="65"/>
        <v xml:space="preserve">Snuggan </v>
      </c>
      <c r="M1066" s="1" t="s">
        <v>177</v>
      </c>
      <c r="P1066" s="1">
        <v>1.1000000000000001</v>
      </c>
      <c r="Q1066" s="1">
        <v>22.5</v>
      </c>
      <c r="R1066" s="1">
        <v>8.6999999999999993</v>
      </c>
      <c r="S1066" s="1">
        <v>99</v>
      </c>
      <c r="V1066" s="1">
        <v>4.6121025641025701E-2</v>
      </c>
      <c r="W1066" s="1">
        <v>0.1</v>
      </c>
      <c r="X1066" s="1">
        <f t="shared" si="67"/>
        <v>5.0813174710708902E-5</v>
      </c>
      <c r="Y1066" s="1">
        <v>0.55700000000000005</v>
      </c>
      <c r="Z1066" s="1">
        <v>2</v>
      </c>
      <c r="AB1066" s="1">
        <v>20.649173333333302</v>
      </c>
      <c r="AC1066" s="1">
        <v>4.9400000000000004</v>
      </c>
      <c r="AD1066" s="1">
        <v>0.1</v>
      </c>
      <c r="AE1066" s="1">
        <v>6.03</v>
      </c>
      <c r="AK1066" s="1">
        <v>33</v>
      </c>
      <c r="AL1066" s="1">
        <v>1083</v>
      </c>
    </row>
    <row r="1067" spans="4:38" x14ac:dyDescent="0.3">
      <c r="D1067" s="2">
        <f t="shared" si="63"/>
        <v>2009</v>
      </c>
      <c r="E1067" s="2">
        <f t="shared" si="64"/>
        <v>8</v>
      </c>
      <c r="F1067" s="3" t="s">
        <v>179</v>
      </c>
      <c r="G1067" s="4">
        <v>40030</v>
      </c>
      <c r="J1067" s="1" t="s">
        <v>190</v>
      </c>
      <c r="K1067" s="1"/>
      <c r="L1067" s="1" t="str">
        <f t="shared" si="65"/>
        <v xml:space="preserve">Snuggan </v>
      </c>
      <c r="M1067" s="1" t="s">
        <v>184</v>
      </c>
      <c r="Q1067" s="1">
        <v>12</v>
      </c>
      <c r="R1067" s="1">
        <v>0.1</v>
      </c>
      <c r="S1067" s="1">
        <v>1</v>
      </c>
      <c r="V1067" s="1">
        <v>0.35638974358974401</v>
      </c>
      <c r="W1067" s="1">
        <v>914</v>
      </c>
      <c r="X1067" s="1">
        <f t="shared" si="67"/>
        <v>0.20278686165512363</v>
      </c>
      <c r="Y1067" s="1">
        <v>0.80100000000000005</v>
      </c>
      <c r="Z1067" s="1">
        <v>5</v>
      </c>
      <c r="AC1067" s="1">
        <v>7.64</v>
      </c>
      <c r="AD1067" s="1">
        <v>0.1</v>
      </c>
      <c r="AE1067" s="1">
        <v>6.01</v>
      </c>
      <c r="AK1067" s="1">
        <v>63</v>
      </c>
      <c r="AL1067" s="1">
        <v>1992</v>
      </c>
    </row>
    <row r="1068" spans="4:38" x14ac:dyDescent="0.3">
      <c r="D1068" s="2">
        <f t="shared" si="63"/>
        <v>2009</v>
      </c>
      <c r="E1068" s="2">
        <f t="shared" si="64"/>
        <v>8</v>
      </c>
      <c r="F1068" s="3" t="s">
        <v>179</v>
      </c>
      <c r="G1068" s="4">
        <v>40030</v>
      </c>
      <c r="J1068" s="1" t="s">
        <v>192</v>
      </c>
      <c r="K1068" s="1"/>
      <c r="L1068" s="1" t="str">
        <f t="shared" si="65"/>
        <v xml:space="preserve">Väsjön </v>
      </c>
      <c r="M1068" s="1" t="s">
        <v>177</v>
      </c>
      <c r="P1068" s="1">
        <v>2.5</v>
      </c>
      <c r="Q1068" s="1">
        <v>21.7</v>
      </c>
      <c r="R1068" s="1">
        <v>9.8000000000000007</v>
      </c>
      <c r="S1068" s="1">
        <v>110</v>
      </c>
      <c r="W1068" s="1">
        <v>6</v>
      </c>
      <c r="X1068" s="1">
        <f t="shared" si="67"/>
        <v>0.30656218282585718</v>
      </c>
      <c r="Y1068" s="1">
        <v>6.7000000000000004E-2</v>
      </c>
      <c r="Z1068" s="1">
        <v>1</v>
      </c>
      <c r="AB1068" s="1">
        <v>3.0737700000000001</v>
      </c>
      <c r="AC1068" s="1">
        <v>46.3</v>
      </c>
      <c r="AD1068" s="1">
        <v>0.1</v>
      </c>
      <c r="AE1068" s="1">
        <v>8.08</v>
      </c>
      <c r="AK1068" s="1">
        <v>24</v>
      </c>
      <c r="AL1068" s="1">
        <v>734</v>
      </c>
    </row>
    <row r="1069" spans="4:38" x14ac:dyDescent="0.3">
      <c r="D1069" s="2">
        <f t="shared" si="63"/>
        <v>2009</v>
      </c>
      <c r="E1069" s="2">
        <f t="shared" si="64"/>
        <v>8</v>
      </c>
      <c r="F1069" s="3" t="s">
        <v>179</v>
      </c>
      <c r="G1069" s="4">
        <v>40030</v>
      </c>
      <c r="J1069" s="1" t="s">
        <v>192</v>
      </c>
      <c r="K1069" s="1"/>
      <c r="L1069" s="1" t="str">
        <f t="shared" si="65"/>
        <v xml:space="preserve">Väsjön </v>
      </c>
      <c r="M1069" s="1" t="s">
        <v>184</v>
      </c>
      <c r="Q1069" s="1">
        <v>19.899999999999999</v>
      </c>
      <c r="R1069" s="1">
        <v>0.6</v>
      </c>
      <c r="S1069" s="1">
        <v>6.3</v>
      </c>
      <c r="W1069" s="1">
        <v>6</v>
      </c>
      <c r="X1069" s="1">
        <f t="shared" si="67"/>
        <v>0.25897846551265258</v>
      </c>
      <c r="Y1069" s="1">
        <v>7.0000000000000007E-2</v>
      </c>
      <c r="Z1069" s="1">
        <v>1</v>
      </c>
      <c r="AC1069" s="1">
        <v>46</v>
      </c>
      <c r="AD1069" s="1">
        <v>0.1</v>
      </c>
      <c r="AE1069" s="1">
        <v>8.06</v>
      </c>
      <c r="AK1069" s="1">
        <v>27</v>
      </c>
      <c r="AL1069" s="1">
        <v>781</v>
      </c>
    </row>
    <row r="1070" spans="4:38" x14ac:dyDescent="0.3">
      <c r="D1070" s="2">
        <f t="shared" si="63"/>
        <v>2009</v>
      </c>
      <c r="E1070" s="2">
        <f t="shared" si="64"/>
        <v>8</v>
      </c>
      <c r="F1070" s="3" t="s">
        <v>179</v>
      </c>
      <c r="G1070" s="4">
        <v>40030</v>
      </c>
      <c r="J1070" s="1" t="s">
        <v>193</v>
      </c>
      <c r="K1070" s="1"/>
      <c r="L1070" s="1" t="str">
        <f t="shared" si="65"/>
        <v xml:space="preserve">Översjön </v>
      </c>
      <c r="M1070" s="1" t="s">
        <v>177</v>
      </c>
      <c r="P1070" s="1">
        <v>2.5</v>
      </c>
      <c r="Q1070" s="1">
        <v>22.5</v>
      </c>
      <c r="R1070" s="1">
        <v>10.1</v>
      </c>
      <c r="S1070" s="1">
        <v>114</v>
      </c>
      <c r="W1070" s="1">
        <v>5</v>
      </c>
      <c r="X1070" s="1">
        <f t="shared" si="67"/>
        <v>0.43239949389398818</v>
      </c>
      <c r="Y1070" s="1">
        <v>4.8000000000000001E-2</v>
      </c>
      <c r="Z1070" s="1">
        <v>1</v>
      </c>
      <c r="AB1070" s="1">
        <v>8.5949910000000003</v>
      </c>
      <c r="AC1070" s="1">
        <v>39.700000000000003</v>
      </c>
      <c r="AD1070" s="1">
        <v>0.1</v>
      </c>
      <c r="AE1070" s="1">
        <v>8.3000000000000007</v>
      </c>
      <c r="AK1070" s="1">
        <v>38</v>
      </c>
      <c r="AL1070" s="1">
        <v>915</v>
      </c>
    </row>
    <row r="1071" spans="4:38" x14ac:dyDescent="0.3">
      <c r="D1071" s="2">
        <f t="shared" si="63"/>
        <v>2009</v>
      </c>
      <c r="E1071" s="2">
        <f t="shared" si="64"/>
        <v>8</v>
      </c>
      <c r="F1071" s="3" t="s">
        <v>179</v>
      </c>
      <c r="G1071" s="4">
        <v>40030</v>
      </c>
      <c r="J1071" s="1" t="s">
        <v>193</v>
      </c>
      <c r="K1071" s="1"/>
      <c r="L1071" s="1" t="str">
        <f t="shared" si="65"/>
        <v xml:space="preserve">Översjön </v>
      </c>
      <c r="M1071" s="1" t="s">
        <v>184</v>
      </c>
      <c r="Q1071" s="1">
        <v>20.3</v>
      </c>
      <c r="R1071" s="1">
        <v>2.7</v>
      </c>
      <c r="S1071" s="1">
        <v>29</v>
      </c>
      <c r="W1071" s="1">
        <v>5</v>
      </c>
      <c r="X1071" s="1">
        <f t="shared" si="67"/>
        <v>5.8991312417055471E-2</v>
      </c>
      <c r="Y1071" s="1">
        <v>5.1999999999999998E-2</v>
      </c>
      <c r="Z1071" s="1">
        <v>1</v>
      </c>
      <c r="AC1071" s="1">
        <v>39.799999999999997</v>
      </c>
      <c r="AD1071" s="1">
        <v>0.1</v>
      </c>
      <c r="AE1071" s="1">
        <v>7.47</v>
      </c>
      <c r="AK1071" s="1">
        <v>40</v>
      </c>
      <c r="AL1071" s="1">
        <v>943</v>
      </c>
    </row>
    <row r="1072" spans="4:38" x14ac:dyDescent="0.3">
      <c r="D1072" s="2">
        <f t="shared" si="63"/>
        <v>2009</v>
      </c>
      <c r="E1072" s="2">
        <f t="shared" si="64"/>
        <v>8</v>
      </c>
      <c r="F1072" s="3" t="s">
        <v>179</v>
      </c>
      <c r="G1072" s="4">
        <v>40036</v>
      </c>
      <c r="J1072" s="1" t="s">
        <v>191</v>
      </c>
      <c r="K1072" s="1">
        <v>2</v>
      </c>
      <c r="L1072" s="1" t="str">
        <f t="shared" si="65"/>
        <v>Vallentunasjön 2</v>
      </c>
      <c r="M1072" s="1" t="s">
        <v>177</v>
      </c>
      <c r="Q1072" s="1">
        <v>22.5</v>
      </c>
      <c r="R1072" s="1">
        <v>9.6</v>
      </c>
      <c r="S1072" s="1">
        <v>110</v>
      </c>
    </row>
    <row r="1073" spans="4:51" x14ac:dyDescent="0.3">
      <c r="D1073" s="2">
        <f t="shared" si="63"/>
        <v>2009</v>
      </c>
      <c r="E1073" s="2">
        <f t="shared" si="64"/>
        <v>8</v>
      </c>
      <c r="F1073" s="3" t="s">
        <v>179</v>
      </c>
      <c r="G1073" s="4">
        <v>40036</v>
      </c>
      <c r="J1073" s="1" t="s">
        <v>191</v>
      </c>
      <c r="K1073" s="1">
        <v>2</v>
      </c>
      <c r="L1073" s="1" t="str">
        <f t="shared" si="65"/>
        <v>Vallentunasjön 2</v>
      </c>
      <c r="M1073" s="1" t="s">
        <v>184</v>
      </c>
      <c r="Q1073" s="1">
        <v>22.5</v>
      </c>
      <c r="R1073" s="1">
        <v>8.6999999999999993</v>
      </c>
      <c r="S1073" s="1">
        <v>100</v>
      </c>
    </row>
    <row r="1074" spans="4:51" x14ac:dyDescent="0.3">
      <c r="D1074" s="2">
        <f t="shared" si="63"/>
        <v>2009</v>
      </c>
      <c r="E1074" s="2">
        <f t="shared" si="64"/>
        <v>8</v>
      </c>
      <c r="F1074" s="3" t="s">
        <v>179</v>
      </c>
      <c r="G1074" s="4">
        <v>40043</v>
      </c>
      <c r="H1074" s="1">
        <v>6606238</v>
      </c>
      <c r="I1074" s="1">
        <v>661152</v>
      </c>
      <c r="J1074" s="5" t="s">
        <v>176</v>
      </c>
      <c r="K1074" s="1"/>
      <c r="L1074" s="1" t="str">
        <f t="shared" si="65"/>
        <v xml:space="preserve">Oxundaån </v>
      </c>
      <c r="M1074" s="1" t="s">
        <v>177</v>
      </c>
      <c r="N1074" s="1">
        <v>0.5</v>
      </c>
      <c r="O1074" s="1">
        <v>0.5</v>
      </c>
      <c r="Q1074" s="1">
        <v>20</v>
      </c>
      <c r="T1074" s="1">
        <v>45.6</v>
      </c>
      <c r="V1074" s="1">
        <v>2.41</v>
      </c>
      <c r="W1074" s="1">
        <v>51</v>
      </c>
      <c r="X1074" s="1">
        <f t="shared" ref="X1074:X1081" si="68">W1074 * (1/((10^((0.0901821 + (2729.92 /(273.15 + Q1074)))-AE1074)+1)))</f>
        <v>1.0377534247509352</v>
      </c>
      <c r="Y1074" s="1">
        <v>6.3E-2</v>
      </c>
      <c r="Z1074" s="1">
        <v>89</v>
      </c>
      <c r="AD1074" s="1">
        <v>16</v>
      </c>
      <c r="AE1074" s="1">
        <v>7.72</v>
      </c>
      <c r="AI1074" s="1">
        <v>14.3</v>
      </c>
      <c r="AK1074" s="1">
        <v>122</v>
      </c>
      <c r="AL1074" s="1">
        <v>754</v>
      </c>
      <c r="AR1074" s="1">
        <v>53.339999999999996</v>
      </c>
      <c r="AT1074" s="1">
        <v>5.8258999999999999</v>
      </c>
      <c r="AU1074" s="1">
        <v>10.0672</v>
      </c>
      <c r="AV1074" s="1">
        <v>37.435200000000002</v>
      </c>
      <c r="AW1074" s="1">
        <v>28.216200000000001</v>
      </c>
      <c r="AX1074" s="1">
        <v>51.509599999999999</v>
      </c>
      <c r="AY1074" s="1">
        <v>0.9</v>
      </c>
    </row>
    <row r="1075" spans="4:51" x14ac:dyDescent="0.3">
      <c r="D1075" s="2">
        <f t="shared" si="63"/>
        <v>2009</v>
      </c>
      <c r="E1075" s="2">
        <f t="shared" si="64"/>
        <v>9</v>
      </c>
      <c r="F1075" s="3"/>
      <c r="G1075" s="4">
        <v>40071</v>
      </c>
      <c r="H1075" s="1">
        <v>6606238</v>
      </c>
      <c r="I1075" s="1">
        <v>661152</v>
      </c>
      <c r="J1075" s="5" t="s">
        <v>176</v>
      </c>
      <c r="K1075" s="1"/>
      <c r="L1075" s="1" t="str">
        <f t="shared" si="65"/>
        <v xml:space="preserve">Oxundaån </v>
      </c>
      <c r="M1075" s="1" t="s">
        <v>177</v>
      </c>
      <c r="N1075" s="1">
        <v>0.5</v>
      </c>
      <c r="O1075" s="1">
        <v>0.5</v>
      </c>
      <c r="Q1075" s="1">
        <v>17</v>
      </c>
      <c r="T1075" s="1">
        <v>44.8</v>
      </c>
      <c r="V1075" s="1">
        <v>2.3559999999999999</v>
      </c>
      <c r="W1075" s="1">
        <v>87</v>
      </c>
      <c r="X1075" s="1">
        <f t="shared" si="68"/>
        <v>1.3304353088068184</v>
      </c>
      <c r="Y1075" s="1">
        <v>3.5999999999999997E-2</v>
      </c>
      <c r="Z1075" s="1">
        <v>76</v>
      </c>
      <c r="AD1075" s="1">
        <v>34</v>
      </c>
      <c r="AE1075" s="1">
        <v>7.69</v>
      </c>
      <c r="AI1075" s="1">
        <v>11.7</v>
      </c>
      <c r="AK1075" s="1">
        <v>98</v>
      </c>
      <c r="AL1075" s="1">
        <v>789</v>
      </c>
      <c r="AR1075" s="1">
        <v>49.68</v>
      </c>
      <c r="AT1075" s="1">
        <v>5.4740000000000011</v>
      </c>
      <c r="AU1075" s="1">
        <v>9.4621999999999993</v>
      </c>
      <c r="AV1075" s="1">
        <v>37.718800000000002</v>
      </c>
      <c r="AW1075" s="1">
        <v>25.532220000000002</v>
      </c>
      <c r="AX1075" s="1">
        <v>51.269349999999996</v>
      </c>
      <c r="AY1075" s="1">
        <v>1.53</v>
      </c>
    </row>
    <row r="1076" spans="4:51" x14ac:dyDescent="0.3">
      <c r="D1076" s="2">
        <f t="shared" si="63"/>
        <v>2009</v>
      </c>
      <c r="E1076" s="2">
        <f t="shared" si="64"/>
        <v>10</v>
      </c>
      <c r="F1076" s="3" t="s">
        <v>180</v>
      </c>
      <c r="G1076" s="4">
        <v>40092</v>
      </c>
      <c r="J1076" s="1" t="s">
        <v>181</v>
      </c>
      <c r="K1076" s="1"/>
      <c r="L1076" s="1" t="str">
        <f t="shared" si="65"/>
        <v xml:space="preserve">Fysingen </v>
      </c>
      <c r="M1076" s="1" t="s">
        <v>177</v>
      </c>
      <c r="P1076" s="1">
        <v>2.6</v>
      </c>
      <c r="Q1076" s="1">
        <v>9.8000000000000007</v>
      </c>
      <c r="V1076" s="1">
        <v>2.298</v>
      </c>
      <c r="W1076" s="1">
        <v>32</v>
      </c>
      <c r="X1076" s="1">
        <f t="shared" si="68"/>
        <v>0.6144445408533461</v>
      </c>
      <c r="Y1076" s="1">
        <v>2.5999999999999999E-2</v>
      </c>
      <c r="Z1076" s="1">
        <v>1</v>
      </c>
      <c r="AB1076" s="1">
        <v>2.9</v>
      </c>
      <c r="AC1076" s="1">
        <v>51.5</v>
      </c>
      <c r="AD1076" s="1">
        <v>29</v>
      </c>
      <c r="AE1076" s="1">
        <v>8.0299999999999994</v>
      </c>
      <c r="AI1076" s="1">
        <v>9.5</v>
      </c>
      <c r="AK1076" s="1">
        <v>15</v>
      </c>
      <c r="AL1076" s="1">
        <v>682</v>
      </c>
      <c r="AV1076" s="1">
        <v>37.825150000000001</v>
      </c>
      <c r="AX1076" s="1">
        <v>89.084699999999998</v>
      </c>
      <c r="AY1076" s="1">
        <v>0.12</v>
      </c>
    </row>
    <row r="1077" spans="4:51" x14ac:dyDescent="0.3">
      <c r="D1077" s="2">
        <f t="shared" si="63"/>
        <v>2009</v>
      </c>
      <c r="E1077" s="2">
        <f t="shared" si="64"/>
        <v>10</v>
      </c>
      <c r="F1077" s="3" t="s">
        <v>180</v>
      </c>
      <c r="G1077" s="4">
        <v>40099</v>
      </c>
      <c r="H1077" s="1">
        <v>6606238</v>
      </c>
      <c r="I1077" s="1">
        <v>661152</v>
      </c>
      <c r="J1077" s="5" t="s">
        <v>176</v>
      </c>
      <c r="K1077" s="1"/>
      <c r="L1077" s="1" t="str">
        <f t="shared" si="65"/>
        <v xml:space="preserve">Oxundaån </v>
      </c>
      <c r="M1077" s="1" t="s">
        <v>177</v>
      </c>
      <c r="N1077" s="1">
        <v>0.5</v>
      </c>
      <c r="O1077" s="1">
        <v>0.5</v>
      </c>
      <c r="Q1077" s="1">
        <v>7</v>
      </c>
      <c r="T1077" s="1">
        <v>44.9</v>
      </c>
      <c r="V1077" s="1">
        <v>2.347</v>
      </c>
      <c r="W1077" s="1">
        <v>56</v>
      </c>
      <c r="X1077" s="1">
        <f t="shared" si="68"/>
        <v>0.52411682783972291</v>
      </c>
      <c r="Y1077" s="1">
        <v>3.9E-2</v>
      </c>
      <c r="Z1077" s="1">
        <v>67</v>
      </c>
      <c r="AD1077" s="1">
        <v>93</v>
      </c>
      <c r="AE1077" s="1">
        <v>7.81</v>
      </c>
      <c r="AI1077" s="1">
        <v>14.2</v>
      </c>
      <c r="AK1077" s="1">
        <v>88</v>
      </c>
      <c r="AL1077" s="1">
        <v>770</v>
      </c>
      <c r="AR1077" s="1">
        <v>53.64</v>
      </c>
      <c r="AT1077" s="1">
        <v>5.7867999999999995</v>
      </c>
      <c r="AU1077" s="1">
        <v>9.9703999999999997</v>
      </c>
      <c r="AV1077" s="1">
        <v>35.0246</v>
      </c>
      <c r="AW1077" s="1">
        <v>27.573879999999999</v>
      </c>
      <c r="AX1077" s="1">
        <v>47.473399999999998</v>
      </c>
      <c r="AY1077" s="1">
        <v>1.74</v>
      </c>
    </row>
    <row r="1078" spans="4:51" x14ac:dyDescent="0.3">
      <c r="D1078" s="2">
        <f t="shared" si="63"/>
        <v>2009</v>
      </c>
      <c r="E1078" s="2">
        <f t="shared" si="64"/>
        <v>11</v>
      </c>
      <c r="F1078" s="3" t="s">
        <v>180</v>
      </c>
      <c r="G1078" s="4">
        <v>40135</v>
      </c>
      <c r="H1078" s="1">
        <v>6606238</v>
      </c>
      <c r="I1078" s="1">
        <v>661152</v>
      </c>
      <c r="J1078" s="5" t="s">
        <v>176</v>
      </c>
      <c r="K1078" s="1"/>
      <c r="L1078" s="1" t="str">
        <f t="shared" si="65"/>
        <v xml:space="preserve">Oxundaån </v>
      </c>
      <c r="M1078" s="1" t="s">
        <v>177</v>
      </c>
      <c r="N1078" s="1">
        <v>0.5</v>
      </c>
      <c r="O1078" s="1">
        <v>0.5</v>
      </c>
      <c r="Q1078" s="1">
        <v>5</v>
      </c>
      <c r="T1078" s="1">
        <v>47.9</v>
      </c>
      <c r="V1078" s="1">
        <v>2.359</v>
      </c>
      <c r="W1078" s="1">
        <v>71</v>
      </c>
      <c r="X1078" s="1">
        <f t="shared" si="68"/>
        <v>0.43040276220218021</v>
      </c>
      <c r="Y1078" s="1">
        <v>4.1000000000000002E-2</v>
      </c>
      <c r="Z1078" s="1">
        <v>50</v>
      </c>
      <c r="AD1078" s="1">
        <v>168</v>
      </c>
      <c r="AE1078" s="1">
        <v>7.69</v>
      </c>
      <c r="AI1078" s="1">
        <v>15.4</v>
      </c>
      <c r="AK1078" s="1">
        <v>73</v>
      </c>
      <c r="AL1078" s="1">
        <v>937</v>
      </c>
      <c r="AR1078" s="1">
        <v>59.22</v>
      </c>
      <c r="AT1078" s="1">
        <v>6.2560000000000002</v>
      </c>
      <c r="AU1078" s="1">
        <v>10.998900000000001</v>
      </c>
      <c r="AV1078" s="1">
        <v>38.179650000000002</v>
      </c>
      <c r="AW1078" s="1">
        <v>29.29438</v>
      </c>
      <c r="AX1078" s="1">
        <v>66.501199999999997</v>
      </c>
      <c r="AY1078" s="1">
        <v>1.56</v>
      </c>
    </row>
    <row r="1079" spans="4:51" x14ac:dyDescent="0.3">
      <c r="D1079" s="2">
        <f t="shared" si="63"/>
        <v>2009</v>
      </c>
      <c r="E1079" s="2">
        <f t="shared" si="64"/>
        <v>12</v>
      </c>
      <c r="F1079" s="3" t="s">
        <v>175</v>
      </c>
      <c r="G1079" s="4">
        <v>40161</v>
      </c>
      <c r="H1079" s="1">
        <v>6606238</v>
      </c>
      <c r="I1079" s="1">
        <v>661152</v>
      </c>
      <c r="J1079" s="5" t="s">
        <v>176</v>
      </c>
      <c r="K1079" s="1"/>
      <c r="L1079" s="1" t="str">
        <f t="shared" si="65"/>
        <v xml:space="preserve">Oxundaån </v>
      </c>
      <c r="M1079" s="1" t="s">
        <v>177</v>
      </c>
      <c r="N1079" s="1">
        <v>0.5</v>
      </c>
      <c r="O1079" s="1">
        <v>0.5</v>
      </c>
      <c r="Q1079" s="1">
        <v>2.5</v>
      </c>
      <c r="T1079" s="1">
        <v>49.2</v>
      </c>
      <c r="V1079" s="1">
        <v>2.3849999999999998</v>
      </c>
      <c r="W1079" s="1">
        <v>96</v>
      </c>
      <c r="X1079" s="1">
        <f t="shared" si="68"/>
        <v>0.38615823116524572</v>
      </c>
      <c r="Y1079" s="1">
        <v>4.7E-2</v>
      </c>
      <c r="Z1079" s="1">
        <v>44</v>
      </c>
      <c r="AD1079" s="1">
        <v>404</v>
      </c>
      <c r="AE1079" s="1">
        <v>7.6</v>
      </c>
      <c r="AI1079" s="1">
        <v>12.8</v>
      </c>
      <c r="AK1079" s="1">
        <v>57</v>
      </c>
      <c r="AL1079" s="1">
        <v>1108</v>
      </c>
      <c r="AR1079" s="1">
        <v>53.099999999999994</v>
      </c>
      <c r="AT1079" s="1">
        <v>5.6303999999999998</v>
      </c>
      <c r="AU1079" s="1">
        <v>10.4907</v>
      </c>
      <c r="AV1079" s="1">
        <v>35.910849999999996</v>
      </c>
      <c r="AW1079" s="1">
        <v>25.945140000000002</v>
      </c>
      <c r="AX1079" s="1">
        <v>68.038799999999995</v>
      </c>
      <c r="AY1079" s="1">
        <v>2.79</v>
      </c>
    </row>
    <row r="1080" spans="4:51" x14ac:dyDescent="0.3">
      <c r="D1080" s="2">
        <f t="shared" si="63"/>
        <v>2010</v>
      </c>
      <c r="E1080" s="2">
        <f t="shared" si="64"/>
        <v>1</v>
      </c>
      <c r="F1080" s="3" t="s">
        <v>175</v>
      </c>
      <c r="G1080" s="4">
        <v>40191</v>
      </c>
      <c r="H1080" s="1">
        <v>6606238</v>
      </c>
      <c r="I1080" s="1">
        <v>661152</v>
      </c>
      <c r="J1080" s="5" t="s">
        <v>176</v>
      </c>
      <c r="K1080" s="1"/>
      <c r="L1080" s="1" t="str">
        <f t="shared" si="65"/>
        <v xml:space="preserve">Oxundaån </v>
      </c>
      <c r="M1080" s="1" t="s">
        <v>177</v>
      </c>
      <c r="N1080" s="1">
        <v>0.5</v>
      </c>
      <c r="O1080" s="1">
        <v>0.5</v>
      </c>
      <c r="Q1080" s="1">
        <v>0</v>
      </c>
      <c r="T1080" s="1">
        <v>52</v>
      </c>
      <c r="V1080" s="1">
        <v>2.629</v>
      </c>
      <c r="W1080" s="1">
        <v>87</v>
      </c>
      <c r="X1080" s="1">
        <f t="shared" si="68"/>
        <v>0.25342799588924386</v>
      </c>
      <c r="Y1080" s="1">
        <v>4.4999999999999998E-2</v>
      </c>
      <c r="Z1080" s="1">
        <v>34</v>
      </c>
      <c r="AA1080" s="1">
        <v>3</v>
      </c>
      <c r="AD1080" s="1">
        <v>529</v>
      </c>
      <c r="AE1080" s="1">
        <v>7.55</v>
      </c>
      <c r="AG1080" s="1">
        <v>1.8</v>
      </c>
      <c r="AI1080" s="1">
        <v>13.1</v>
      </c>
      <c r="AK1080" s="1">
        <v>45</v>
      </c>
      <c r="AL1080" s="1">
        <v>1203</v>
      </c>
      <c r="AR1080" s="1">
        <v>59.160000000000004</v>
      </c>
      <c r="AT1080" s="1">
        <v>6.1387</v>
      </c>
      <c r="AU1080" s="1">
        <v>11.507099999999999</v>
      </c>
      <c r="AV1080" s="1">
        <v>39.24315</v>
      </c>
      <c r="AW1080" s="1">
        <v>28.376780000000004</v>
      </c>
      <c r="AX1080" s="1">
        <v>72.459400000000002</v>
      </c>
      <c r="AY1080" s="1">
        <v>3.24</v>
      </c>
    </row>
    <row r="1081" spans="4:51" x14ac:dyDescent="0.3">
      <c r="D1081" s="2">
        <f t="shared" si="63"/>
        <v>2010</v>
      </c>
      <c r="E1081" s="2">
        <f t="shared" si="64"/>
        <v>2</v>
      </c>
      <c r="F1081" s="3" t="s">
        <v>175</v>
      </c>
      <c r="G1081" s="4">
        <v>40225</v>
      </c>
      <c r="H1081" s="1">
        <v>6606238</v>
      </c>
      <c r="I1081" s="1">
        <v>661152</v>
      </c>
      <c r="J1081" s="5" t="s">
        <v>176</v>
      </c>
      <c r="K1081" s="1"/>
      <c r="L1081" s="1" t="str">
        <f t="shared" si="65"/>
        <v xml:space="preserve">Oxundaån </v>
      </c>
      <c r="M1081" s="1" t="s">
        <v>177</v>
      </c>
      <c r="N1081" s="1">
        <v>0.5</v>
      </c>
      <c r="O1081" s="1">
        <v>0.5</v>
      </c>
      <c r="Q1081" s="1">
        <v>0</v>
      </c>
      <c r="T1081" s="1">
        <v>55.1</v>
      </c>
      <c r="V1081" s="1">
        <v>2.7160000000000002</v>
      </c>
      <c r="W1081" s="1">
        <v>11</v>
      </c>
      <c r="X1081" s="1">
        <f t="shared" si="68"/>
        <v>2.2703752947995204E-2</v>
      </c>
      <c r="Y1081" s="1">
        <v>4.2000000000000003E-2</v>
      </c>
      <c r="Z1081" s="1">
        <v>37</v>
      </c>
      <c r="AA1081" s="1">
        <v>1.9</v>
      </c>
      <c r="AD1081" s="1">
        <v>732</v>
      </c>
      <c r="AE1081" s="1">
        <v>7.4</v>
      </c>
      <c r="AG1081" s="1">
        <v>1.5</v>
      </c>
      <c r="AI1081" s="1">
        <v>12</v>
      </c>
      <c r="AK1081" s="1">
        <v>50</v>
      </c>
      <c r="AL1081" s="1">
        <v>1301</v>
      </c>
      <c r="AR1081" s="1">
        <v>56.8</v>
      </c>
      <c r="AT1081" s="1">
        <v>6.0605000000000002</v>
      </c>
      <c r="AU1081" s="1">
        <v>11.095700000000001</v>
      </c>
      <c r="AV1081" s="1">
        <v>41.831000000000003</v>
      </c>
      <c r="AW1081" s="1">
        <v>27.826220000000003</v>
      </c>
      <c r="AX1081" s="1">
        <v>70.681550000000001</v>
      </c>
      <c r="AY1081" s="1">
        <v>3.03</v>
      </c>
    </row>
    <row r="1082" spans="4:51" x14ac:dyDescent="0.3">
      <c r="D1082" s="2">
        <f t="shared" si="63"/>
        <v>2010</v>
      </c>
      <c r="E1082" s="2">
        <f t="shared" si="64"/>
        <v>2</v>
      </c>
      <c r="F1082" s="3" t="s">
        <v>175</v>
      </c>
      <c r="G1082" s="4">
        <v>40226</v>
      </c>
      <c r="J1082" s="1" t="s">
        <v>191</v>
      </c>
      <c r="K1082" s="1" t="s">
        <v>206</v>
      </c>
      <c r="L1082" s="1" t="str">
        <f t="shared" si="65"/>
        <v>Vallentunasjön Blandprov</v>
      </c>
      <c r="M1082" s="1" t="s">
        <v>177</v>
      </c>
      <c r="P1082" s="1">
        <v>1.5</v>
      </c>
      <c r="W1082" s="1">
        <v>930</v>
      </c>
      <c r="Z1082" s="1">
        <v>4</v>
      </c>
      <c r="AB1082" s="1">
        <v>6.5</v>
      </c>
      <c r="AD1082" s="1">
        <v>140</v>
      </c>
      <c r="AK1082" s="1">
        <v>36</v>
      </c>
      <c r="AL1082" s="1">
        <v>1800</v>
      </c>
    </row>
    <row r="1083" spans="4:51" x14ac:dyDescent="0.3">
      <c r="D1083" s="2">
        <f t="shared" si="63"/>
        <v>2010</v>
      </c>
      <c r="E1083" s="2">
        <f t="shared" si="64"/>
        <v>2</v>
      </c>
      <c r="F1083" s="3" t="s">
        <v>175</v>
      </c>
      <c r="G1083" s="4">
        <v>40226</v>
      </c>
      <c r="J1083" s="1" t="s">
        <v>191</v>
      </c>
      <c r="K1083" s="1">
        <v>2</v>
      </c>
      <c r="L1083" s="1" t="str">
        <f t="shared" si="65"/>
        <v>Vallentunasjön 2</v>
      </c>
      <c r="M1083" s="1" t="s">
        <v>177</v>
      </c>
      <c r="Q1083" s="1">
        <v>0.4</v>
      </c>
      <c r="R1083" s="1">
        <v>10.3</v>
      </c>
      <c r="S1083" s="1">
        <v>71</v>
      </c>
    </row>
    <row r="1084" spans="4:51" x14ac:dyDescent="0.3">
      <c r="D1084" s="2">
        <f t="shared" si="63"/>
        <v>2010</v>
      </c>
      <c r="E1084" s="2">
        <f t="shared" si="64"/>
        <v>2</v>
      </c>
      <c r="F1084" s="3" t="s">
        <v>175</v>
      </c>
      <c r="G1084" s="4">
        <v>40226</v>
      </c>
      <c r="J1084" s="1" t="s">
        <v>191</v>
      </c>
      <c r="K1084" s="1">
        <v>2</v>
      </c>
      <c r="L1084" s="1" t="str">
        <f t="shared" si="65"/>
        <v>Vallentunasjön 2</v>
      </c>
      <c r="M1084" s="1" t="s">
        <v>184</v>
      </c>
      <c r="Q1084" s="1">
        <v>3.8</v>
      </c>
      <c r="R1084" s="1">
        <v>0.9</v>
      </c>
      <c r="S1084" s="1">
        <v>7</v>
      </c>
    </row>
    <row r="1085" spans="4:51" x14ac:dyDescent="0.3">
      <c r="D1085" s="2">
        <f t="shared" si="63"/>
        <v>2010</v>
      </c>
      <c r="E1085" s="2">
        <f t="shared" si="64"/>
        <v>3</v>
      </c>
      <c r="F1085" s="3" t="s">
        <v>175</v>
      </c>
      <c r="G1085" s="4">
        <v>40245</v>
      </c>
      <c r="J1085" s="1" t="s">
        <v>182</v>
      </c>
      <c r="K1085" s="1"/>
      <c r="L1085" s="1" t="str">
        <f t="shared" si="65"/>
        <v xml:space="preserve">Edssjön </v>
      </c>
      <c r="M1085" s="1" t="s">
        <v>177</v>
      </c>
      <c r="P1085" s="1">
        <v>2.9</v>
      </c>
      <c r="Q1085" s="1">
        <v>0.3</v>
      </c>
      <c r="R1085" s="1">
        <v>8.3000000000000007</v>
      </c>
      <c r="S1085" s="1">
        <v>56</v>
      </c>
      <c r="W1085" s="1">
        <v>60</v>
      </c>
      <c r="Z1085" s="1">
        <v>49</v>
      </c>
      <c r="AD1085" s="1">
        <v>400</v>
      </c>
      <c r="AK1085" s="1">
        <v>70</v>
      </c>
      <c r="AL1085" s="1">
        <v>1200</v>
      </c>
    </row>
    <row r="1086" spans="4:51" x14ac:dyDescent="0.3">
      <c r="D1086" s="2">
        <f t="shared" si="63"/>
        <v>2010</v>
      </c>
      <c r="E1086" s="2">
        <f t="shared" si="64"/>
        <v>3</v>
      </c>
      <c r="F1086" s="3" t="s">
        <v>175</v>
      </c>
      <c r="G1086" s="4">
        <v>40245</v>
      </c>
      <c r="J1086" s="1" t="s">
        <v>182</v>
      </c>
      <c r="K1086" s="1"/>
      <c r="L1086" s="1" t="str">
        <f t="shared" si="65"/>
        <v xml:space="preserve">Edssjön </v>
      </c>
      <c r="M1086" s="1" t="s">
        <v>184</v>
      </c>
      <c r="Q1086" s="1">
        <v>4</v>
      </c>
      <c r="R1086" s="1">
        <v>0.2</v>
      </c>
      <c r="S1086" s="1">
        <v>1.2</v>
      </c>
      <c r="W1086" s="1">
        <v>70</v>
      </c>
      <c r="Z1086" s="1">
        <v>51</v>
      </c>
      <c r="AD1086" s="1">
        <v>450</v>
      </c>
      <c r="AK1086" s="1">
        <v>69</v>
      </c>
      <c r="AL1086" s="1">
        <v>1300</v>
      </c>
    </row>
    <row r="1087" spans="4:51" x14ac:dyDescent="0.3">
      <c r="D1087" s="2">
        <f t="shared" si="63"/>
        <v>2010</v>
      </c>
      <c r="E1087" s="2">
        <f t="shared" si="64"/>
        <v>3</v>
      </c>
      <c r="F1087" s="3" t="s">
        <v>175</v>
      </c>
      <c r="G1087" s="4">
        <v>40245</v>
      </c>
      <c r="J1087" s="1" t="s">
        <v>183</v>
      </c>
      <c r="K1087" s="1"/>
      <c r="L1087" s="1" t="str">
        <f t="shared" si="65"/>
        <v xml:space="preserve">Fjäturen </v>
      </c>
      <c r="M1087" s="1" t="s">
        <v>177</v>
      </c>
      <c r="P1087" s="1">
        <v>3.9</v>
      </c>
      <c r="Q1087" s="1">
        <v>0.5</v>
      </c>
      <c r="R1087" s="1">
        <v>10.3</v>
      </c>
      <c r="S1087" s="1">
        <v>71</v>
      </c>
      <c r="W1087" s="1">
        <v>20</v>
      </c>
      <c r="Z1087" s="1">
        <v>8</v>
      </c>
      <c r="AD1087" s="1">
        <v>260</v>
      </c>
      <c r="AK1087" s="1">
        <v>20</v>
      </c>
      <c r="AL1087" s="1">
        <v>800</v>
      </c>
    </row>
    <row r="1088" spans="4:51" x14ac:dyDescent="0.3">
      <c r="D1088" s="2">
        <f t="shared" si="63"/>
        <v>2010</v>
      </c>
      <c r="E1088" s="2">
        <f t="shared" si="64"/>
        <v>3</v>
      </c>
      <c r="F1088" s="3" t="s">
        <v>175</v>
      </c>
      <c r="G1088" s="4">
        <v>40245</v>
      </c>
      <c r="J1088" s="1" t="s">
        <v>183</v>
      </c>
      <c r="K1088" s="1"/>
      <c r="L1088" s="1" t="str">
        <f t="shared" si="65"/>
        <v xml:space="preserve">Fjäturen </v>
      </c>
      <c r="M1088" s="1" t="s">
        <v>184</v>
      </c>
      <c r="Q1088" s="1">
        <v>3.6</v>
      </c>
      <c r="R1088" s="1">
        <v>0.7</v>
      </c>
      <c r="S1088" s="1">
        <v>5</v>
      </c>
      <c r="W1088" s="1">
        <v>110</v>
      </c>
      <c r="Z1088" s="1">
        <v>21</v>
      </c>
      <c r="AD1088" s="1">
        <v>320</v>
      </c>
      <c r="AK1088" s="1">
        <v>38</v>
      </c>
      <c r="AL1088" s="1">
        <v>940</v>
      </c>
    </row>
    <row r="1089" spans="4:38" x14ac:dyDescent="0.3">
      <c r="D1089" s="2">
        <f t="shared" si="63"/>
        <v>2010</v>
      </c>
      <c r="E1089" s="2">
        <f t="shared" si="64"/>
        <v>3</v>
      </c>
      <c r="F1089" s="3" t="s">
        <v>175</v>
      </c>
      <c r="G1089" s="4">
        <v>40245</v>
      </c>
      <c r="J1089" s="1" t="s">
        <v>185</v>
      </c>
      <c r="K1089" s="1"/>
      <c r="L1089" s="1" t="str">
        <f t="shared" si="65"/>
        <v xml:space="preserve">Gullsjön </v>
      </c>
      <c r="M1089" s="1" t="s">
        <v>177</v>
      </c>
      <c r="P1089" s="1">
        <v>1.3</v>
      </c>
      <c r="Q1089" s="1">
        <v>0.7</v>
      </c>
      <c r="R1089" s="1">
        <v>0.9</v>
      </c>
      <c r="S1089" s="1">
        <v>6</v>
      </c>
      <c r="W1089" s="1">
        <v>190</v>
      </c>
      <c r="Z1089" s="1">
        <v>1.5</v>
      </c>
      <c r="AD1089" s="1">
        <v>0</v>
      </c>
      <c r="AK1089" s="1">
        <v>26</v>
      </c>
      <c r="AL1089" s="1">
        <v>870</v>
      </c>
    </row>
    <row r="1090" spans="4:38" x14ac:dyDescent="0.3">
      <c r="D1090" s="2">
        <f t="shared" ref="D1090:D1153" si="69">YEAR(G1090)</f>
        <v>2010</v>
      </c>
      <c r="E1090" s="2">
        <f t="shared" ref="E1090:E1153" si="70">MONTH(G1090)</f>
        <v>3</v>
      </c>
      <c r="F1090" s="3" t="s">
        <v>175</v>
      </c>
      <c r="G1090" s="4">
        <v>40245</v>
      </c>
      <c r="J1090" s="1" t="s">
        <v>185</v>
      </c>
      <c r="K1090" s="1"/>
      <c r="L1090" s="1" t="str">
        <f t="shared" ref="L1090:L1153" si="71">CONCATENATE(J1090," ",K1090)</f>
        <v xml:space="preserve">Gullsjön </v>
      </c>
      <c r="M1090" s="1" t="s">
        <v>184</v>
      </c>
      <c r="Q1090" s="1">
        <v>2.6</v>
      </c>
      <c r="R1090" s="1">
        <v>0.2</v>
      </c>
      <c r="S1090" s="1">
        <v>2</v>
      </c>
      <c r="W1090" s="1">
        <v>270</v>
      </c>
      <c r="Z1090" s="1">
        <v>6</v>
      </c>
      <c r="AD1090" s="1">
        <v>0</v>
      </c>
      <c r="AK1090" s="1">
        <v>31</v>
      </c>
      <c r="AL1090" s="1">
        <v>960</v>
      </c>
    </row>
    <row r="1091" spans="4:38" x14ac:dyDescent="0.3">
      <c r="D1091" s="2">
        <f t="shared" si="69"/>
        <v>2010</v>
      </c>
      <c r="E1091" s="2">
        <f t="shared" si="70"/>
        <v>3</v>
      </c>
      <c r="F1091" s="3" t="s">
        <v>175</v>
      </c>
      <c r="G1091" s="4">
        <v>40245</v>
      </c>
      <c r="J1091" s="1" t="s">
        <v>201</v>
      </c>
      <c r="K1091" s="1"/>
      <c r="L1091" s="1" t="str">
        <f t="shared" si="71"/>
        <v xml:space="preserve">Mörtsjön </v>
      </c>
      <c r="M1091" s="1" t="s">
        <v>177</v>
      </c>
      <c r="P1091" s="1">
        <v>2.1</v>
      </c>
      <c r="Q1091" s="1">
        <v>0.5</v>
      </c>
      <c r="R1091" s="1">
        <v>5.4</v>
      </c>
      <c r="S1091" s="1">
        <v>37</v>
      </c>
      <c r="W1091" s="1">
        <v>18</v>
      </c>
      <c r="Z1091" s="1">
        <v>10</v>
      </c>
      <c r="AD1091" s="1">
        <v>500</v>
      </c>
      <c r="AK1091" s="1">
        <v>22</v>
      </c>
      <c r="AL1091" s="1">
        <v>1000</v>
      </c>
    </row>
    <row r="1092" spans="4:38" x14ac:dyDescent="0.3">
      <c r="D1092" s="2">
        <f t="shared" si="69"/>
        <v>2010</v>
      </c>
      <c r="E1092" s="2">
        <f t="shared" si="70"/>
        <v>3</v>
      </c>
      <c r="F1092" s="3" t="s">
        <v>175</v>
      </c>
      <c r="G1092" s="4">
        <v>40245</v>
      </c>
      <c r="J1092" s="1" t="s">
        <v>201</v>
      </c>
      <c r="K1092" s="1"/>
      <c r="L1092" s="1" t="str">
        <f t="shared" si="71"/>
        <v xml:space="preserve">Mörtsjön </v>
      </c>
      <c r="M1092" s="1" t="s">
        <v>184</v>
      </c>
      <c r="Q1092" s="1">
        <v>3.9</v>
      </c>
      <c r="R1092" s="1">
        <v>0.3</v>
      </c>
      <c r="S1092" s="1">
        <v>2</v>
      </c>
      <c r="W1092" s="1">
        <v>230</v>
      </c>
      <c r="Z1092" s="1">
        <v>37</v>
      </c>
      <c r="AD1092" s="1">
        <v>390</v>
      </c>
      <c r="AK1092" s="1">
        <v>56</v>
      </c>
      <c r="AL1092" s="1">
        <v>1100</v>
      </c>
    </row>
    <row r="1093" spans="4:38" x14ac:dyDescent="0.3">
      <c r="D1093" s="2">
        <f t="shared" si="69"/>
        <v>2010</v>
      </c>
      <c r="E1093" s="2">
        <f t="shared" si="70"/>
        <v>3</v>
      </c>
      <c r="F1093" s="3" t="s">
        <v>175</v>
      </c>
      <c r="G1093" s="4">
        <v>40245</v>
      </c>
      <c r="J1093" s="1" t="s">
        <v>186</v>
      </c>
      <c r="K1093" s="1">
        <v>1</v>
      </c>
      <c r="L1093" s="1" t="str">
        <f t="shared" si="71"/>
        <v>Norrviken 1</v>
      </c>
      <c r="M1093" s="1" t="s">
        <v>177</v>
      </c>
      <c r="P1093" s="1">
        <v>1.4</v>
      </c>
      <c r="Q1093" s="1">
        <v>0.2</v>
      </c>
      <c r="R1093" s="1">
        <v>8</v>
      </c>
      <c r="S1093" s="1">
        <v>54</v>
      </c>
      <c r="W1093" s="1">
        <v>510</v>
      </c>
      <c r="Z1093" s="1">
        <v>8</v>
      </c>
      <c r="AD1093" s="1">
        <v>380</v>
      </c>
      <c r="AK1093" s="1">
        <v>33</v>
      </c>
      <c r="AL1093" s="1">
        <v>1600</v>
      </c>
    </row>
    <row r="1094" spans="4:38" x14ac:dyDescent="0.3">
      <c r="D1094" s="2">
        <f t="shared" si="69"/>
        <v>2010</v>
      </c>
      <c r="E1094" s="2">
        <f t="shared" si="70"/>
        <v>3</v>
      </c>
      <c r="F1094" s="3" t="s">
        <v>175</v>
      </c>
      <c r="G1094" s="4">
        <v>40245</v>
      </c>
      <c r="J1094" s="1" t="s">
        <v>186</v>
      </c>
      <c r="K1094" s="1">
        <v>2</v>
      </c>
      <c r="L1094" s="1" t="str">
        <f t="shared" si="71"/>
        <v>Norrviken 2</v>
      </c>
      <c r="M1094" s="1" t="s">
        <v>177</v>
      </c>
      <c r="P1094" s="1">
        <v>4.2</v>
      </c>
      <c r="Q1094" s="1">
        <v>0.9</v>
      </c>
      <c r="R1094" s="1">
        <v>9.1999999999999993</v>
      </c>
      <c r="S1094" s="1">
        <v>64</v>
      </c>
      <c r="W1094" s="1">
        <v>17</v>
      </c>
      <c r="Z1094" s="1">
        <v>55</v>
      </c>
      <c r="AD1094" s="1">
        <v>540</v>
      </c>
      <c r="AK1094" s="1">
        <v>73</v>
      </c>
      <c r="AL1094" s="1">
        <v>1100</v>
      </c>
    </row>
    <row r="1095" spans="4:38" x14ac:dyDescent="0.3">
      <c r="D1095" s="2">
        <f t="shared" si="69"/>
        <v>2010</v>
      </c>
      <c r="E1095" s="2">
        <f t="shared" si="70"/>
        <v>3</v>
      </c>
      <c r="F1095" s="3" t="s">
        <v>175</v>
      </c>
      <c r="G1095" s="4">
        <v>40245</v>
      </c>
      <c r="J1095" s="1" t="s">
        <v>186</v>
      </c>
      <c r="K1095" s="1">
        <v>3</v>
      </c>
      <c r="L1095" s="1" t="str">
        <f t="shared" si="71"/>
        <v>Norrviken 3</v>
      </c>
      <c r="M1095" s="1" t="s">
        <v>177</v>
      </c>
      <c r="P1095" s="1">
        <v>5</v>
      </c>
      <c r="Q1095" s="1">
        <v>1.5</v>
      </c>
      <c r="R1095" s="1">
        <v>8.8000000000000007</v>
      </c>
      <c r="S1095" s="1">
        <v>63</v>
      </c>
      <c r="W1095" s="1">
        <v>0</v>
      </c>
      <c r="Z1095" s="1">
        <v>57</v>
      </c>
      <c r="AD1095" s="1">
        <v>490</v>
      </c>
      <c r="AK1095" s="1">
        <v>79</v>
      </c>
      <c r="AL1095" s="1">
        <v>1100</v>
      </c>
    </row>
    <row r="1096" spans="4:38" x14ac:dyDescent="0.3">
      <c r="D1096" s="2">
        <f t="shared" si="69"/>
        <v>2010</v>
      </c>
      <c r="E1096" s="2">
        <f t="shared" si="70"/>
        <v>3</v>
      </c>
      <c r="F1096" s="3" t="s">
        <v>175</v>
      </c>
      <c r="G1096" s="4">
        <v>40245</v>
      </c>
      <c r="J1096" s="1" t="s">
        <v>186</v>
      </c>
      <c r="K1096" s="1">
        <v>4</v>
      </c>
      <c r="L1096" s="1" t="str">
        <f t="shared" si="71"/>
        <v>Norrviken 4</v>
      </c>
      <c r="M1096" s="1" t="s">
        <v>177</v>
      </c>
      <c r="P1096" s="1">
        <v>2</v>
      </c>
      <c r="Q1096" s="1">
        <v>0.7</v>
      </c>
      <c r="R1096" s="1">
        <v>9.1</v>
      </c>
      <c r="S1096" s="1">
        <v>63</v>
      </c>
      <c r="W1096" s="1">
        <v>30</v>
      </c>
      <c r="Z1096" s="1">
        <v>47</v>
      </c>
      <c r="AD1096" s="1">
        <v>590</v>
      </c>
      <c r="AK1096" s="1">
        <v>68</v>
      </c>
      <c r="AL1096" s="1">
        <v>1200</v>
      </c>
    </row>
    <row r="1097" spans="4:38" x14ac:dyDescent="0.3">
      <c r="D1097" s="2">
        <f t="shared" si="69"/>
        <v>2010</v>
      </c>
      <c r="E1097" s="2">
        <f t="shared" si="70"/>
        <v>3</v>
      </c>
      <c r="F1097" s="3" t="s">
        <v>175</v>
      </c>
      <c r="G1097" s="4">
        <v>40245</v>
      </c>
      <c r="J1097" s="1" t="s">
        <v>186</v>
      </c>
      <c r="K1097" s="1">
        <v>1</v>
      </c>
      <c r="L1097" s="1" t="str">
        <f t="shared" si="71"/>
        <v>Norrviken 1</v>
      </c>
      <c r="M1097" s="1" t="s">
        <v>184</v>
      </c>
      <c r="Q1097" s="1">
        <v>2.2000000000000002</v>
      </c>
      <c r="R1097" s="1">
        <v>2.6</v>
      </c>
      <c r="S1097" s="1">
        <v>19</v>
      </c>
      <c r="W1097" s="1">
        <v>430</v>
      </c>
      <c r="Z1097" s="1">
        <v>26</v>
      </c>
      <c r="AD1097" s="1">
        <v>440</v>
      </c>
      <c r="AK1097" s="1">
        <v>51</v>
      </c>
      <c r="AL1097" s="1">
        <v>1500</v>
      </c>
    </row>
    <row r="1098" spans="4:38" x14ac:dyDescent="0.3">
      <c r="D1098" s="2">
        <f t="shared" si="69"/>
        <v>2010</v>
      </c>
      <c r="E1098" s="2">
        <f t="shared" si="70"/>
        <v>3</v>
      </c>
      <c r="F1098" s="3" t="s">
        <v>175</v>
      </c>
      <c r="G1098" s="4">
        <v>40245</v>
      </c>
      <c r="J1098" s="1" t="s">
        <v>186</v>
      </c>
      <c r="K1098" s="1">
        <v>2</v>
      </c>
      <c r="L1098" s="1" t="str">
        <f t="shared" si="71"/>
        <v>Norrviken 2</v>
      </c>
      <c r="M1098" s="1" t="s">
        <v>184</v>
      </c>
      <c r="Q1098" s="1">
        <v>4</v>
      </c>
      <c r="R1098" s="1">
        <v>0.2</v>
      </c>
      <c r="S1098" s="1">
        <v>1.7</v>
      </c>
      <c r="W1098" s="1">
        <v>100</v>
      </c>
      <c r="Z1098" s="1">
        <v>46</v>
      </c>
      <c r="AD1098" s="1">
        <v>510</v>
      </c>
      <c r="AK1098" s="1">
        <v>69</v>
      </c>
      <c r="AL1098" s="1">
        <v>1200</v>
      </c>
    </row>
    <row r="1099" spans="4:38" x14ac:dyDescent="0.3">
      <c r="D1099" s="2">
        <f t="shared" si="69"/>
        <v>2010</v>
      </c>
      <c r="E1099" s="2">
        <f t="shared" si="70"/>
        <v>3</v>
      </c>
      <c r="F1099" s="3" t="s">
        <v>175</v>
      </c>
      <c r="G1099" s="4">
        <v>40245</v>
      </c>
      <c r="J1099" s="1" t="s">
        <v>186</v>
      </c>
      <c r="K1099" s="1">
        <v>3</v>
      </c>
      <c r="L1099" s="1" t="str">
        <f t="shared" si="71"/>
        <v>Norrviken 3</v>
      </c>
      <c r="M1099" s="1" t="s">
        <v>184</v>
      </c>
      <c r="Q1099" s="1">
        <v>4.5</v>
      </c>
      <c r="R1099" s="1">
        <v>0.1</v>
      </c>
      <c r="S1099" s="1">
        <v>1</v>
      </c>
      <c r="W1099" s="1">
        <v>280</v>
      </c>
      <c r="Z1099" s="1">
        <v>89</v>
      </c>
      <c r="AD1099" s="1">
        <v>550</v>
      </c>
      <c r="AK1099" s="1">
        <v>120</v>
      </c>
      <c r="AL1099" s="1">
        <v>1400</v>
      </c>
    </row>
    <row r="1100" spans="4:38" x14ac:dyDescent="0.3">
      <c r="D1100" s="2">
        <f t="shared" si="69"/>
        <v>2010</v>
      </c>
      <c r="E1100" s="2">
        <f t="shared" si="70"/>
        <v>3</v>
      </c>
      <c r="F1100" s="3" t="s">
        <v>175</v>
      </c>
      <c r="G1100" s="4">
        <v>40245</v>
      </c>
      <c r="J1100" s="1" t="s">
        <v>186</v>
      </c>
      <c r="K1100" s="1">
        <v>4</v>
      </c>
      <c r="L1100" s="1" t="str">
        <f t="shared" si="71"/>
        <v>Norrviken 4</v>
      </c>
      <c r="M1100" s="1" t="s">
        <v>184</v>
      </c>
      <c r="Q1100" s="1">
        <v>1.7</v>
      </c>
      <c r="R1100" s="1">
        <v>8.1999999999999993</v>
      </c>
      <c r="S1100" s="1">
        <v>58</v>
      </c>
      <c r="W1100" s="1">
        <v>34</v>
      </c>
      <c r="Z1100" s="1">
        <v>50</v>
      </c>
      <c r="AD1100" s="1">
        <v>540</v>
      </c>
      <c r="AK1100" s="1">
        <v>66</v>
      </c>
      <c r="AL1100" s="1">
        <v>1100</v>
      </c>
    </row>
    <row r="1101" spans="4:38" x14ac:dyDescent="0.3">
      <c r="D1101" s="2">
        <f t="shared" si="69"/>
        <v>2010</v>
      </c>
      <c r="E1101" s="2">
        <f t="shared" si="70"/>
        <v>3</v>
      </c>
      <c r="F1101" s="3" t="s">
        <v>175</v>
      </c>
      <c r="G1101" s="4">
        <v>40245</v>
      </c>
      <c r="J1101" s="1" t="s">
        <v>187</v>
      </c>
      <c r="K1101" s="1"/>
      <c r="L1101" s="1" t="str">
        <f t="shared" si="71"/>
        <v xml:space="preserve">Oxundasjön </v>
      </c>
      <c r="M1101" s="1" t="s">
        <v>177</v>
      </c>
      <c r="P1101" s="1">
        <v>3.3</v>
      </c>
      <c r="Q1101" s="1">
        <v>0.4</v>
      </c>
      <c r="R1101" s="1">
        <v>7.8</v>
      </c>
      <c r="S1101" s="1">
        <v>53</v>
      </c>
      <c r="W1101" s="1">
        <v>18</v>
      </c>
      <c r="Z1101" s="1">
        <v>49</v>
      </c>
      <c r="AD1101" s="1">
        <v>510</v>
      </c>
      <c r="AK1101" s="1">
        <v>67</v>
      </c>
      <c r="AL1101" s="1">
        <v>1300</v>
      </c>
    </row>
    <row r="1102" spans="4:38" x14ac:dyDescent="0.3">
      <c r="D1102" s="2">
        <f t="shared" si="69"/>
        <v>2010</v>
      </c>
      <c r="E1102" s="2">
        <f t="shared" si="70"/>
        <v>3</v>
      </c>
      <c r="F1102" s="3" t="s">
        <v>175</v>
      </c>
      <c r="G1102" s="4">
        <v>40245</v>
      </c>
      <c r="J1102" s="1" t="s">
        <v>187</v>
      </c>
      <c r="K1102" s="1"/>
      <c r="L1102" s="1" t="str">
        <f t="shared" si="71"/>
        <v xml:space="preserve">Oxundasjön </v>
      </c>
      <c r="M1102" s="1" t="s">
        <v>184</v>
      </c>
      <c r="Q1102" s="1">
        <v>3.8</v>
      </c>
      <c r="R1102" s="1">
        <v>1.3</v>
      </c>
      <c r="S1102" s="1">
        <v>10</v>
      </c>
      <c r="W1102" s="1">
        <v>26</v>
      </c>
      <c r="Z1102" s="1">
        <v>30</v>
      </c>
      <c r="AD1102" s="1">
        <v>560</v>
      </c>
      <c r="AK1102" s="1">
        <v>51</v>
      </c>
      <c r="AL1102" s="1">
        <v>1300</v>
      </c>
    </row>
    <row r="1103" spans="4:38" x14ac:dyDescent="0.3">
      <c r="D1103" s="2">
        <f t="shared" si="69"/>
        <v>2010</v>
      </c>
      <c r="E1103" s="2">
        <f t="shared" si="70"/>
        <v>3</v>
      </c>
      <c r="F1103" s="3" t="s">
        <v>175</v>
      </c>
      <c r="G1103" s="4">
        <v>40245</v>
      </c>
      <c r="J1103" s="1" t="s">
        <v>188</v>
      </c>
      <c r="K1103" s="1"/>
      <c r="L1103" s="1" t="str">
        <f t="shared" si="71"/>
        <v xml:space="preserve">Ravalen </v>
      </c>
      <c r="M1103" s="1" t="s">
        <v>177</v>
      </c>
      <c r="P1103" s="1">
        <v>1.5</v>
      </c>
      <c r="Q1103" s="1">
        <v>0.7</v>
      </c>
      <c r="R1103" s="1">
        <v>0.4</v>
      </c>
      <c r="S1103" s="1">
        <v>3</v>
      </c>
      <c r="W1103" s="1">
        <v>940</v>
      </c>
      <c r="Z1103" s="1">
        <v>46</v>
      </c>
      <c r="AD1103" s="1">
        <v>0</v>
      </c>
      <c r="AK1103" s="1">
        <v>79</v>
      </c>
      <c r="AL1103" s="1">
        <v>1700</v>
      </c>
    </row>
    <row r="1104" spans="4:38" x14ac:dyDescent="0.3">
      <c r="D1104" s="2">
        <f t="shared" si="69"/>
        <v>2010</v>
      </c>
      <c r="E1104" s="2">
        <f t="shared" si="70"/>
        <v>3</v>
      </c>
      <c r="F1104" s="3" t="s">
        <v>175</v>
      </c>
      <c r="G1104" s="4">
        <v>40245</v>
      </c>
      <c r="J1104" s="1" t="s">
        <v>188</v>
      </c>
      <c r="K1104" s="1"/>
      <c r="L1104" s="1" t="str">
        <f t="shared" si="71"/>
        <v xml:space="preserve">Ravalen </v>
      </c>
      <c r="M1104" s="1" t="s">
        <v>184</v>
      </c>
      <c r="Q1104" s="1">
        <v>3.6</v>
      </c>
      <c r="R1104" s="1">
        <v>0.1</v>
      </c>
      <c r="S1104" s="1">
        <v>1</v>
      </c>
      <c r="W1104" s="1">
        <v>2100</v>
      </c>
      <c r="Z1104" s="1">
        <v>97</v>
      </c>
      <c r="AD1104" s="1">
        <v>0</v>
      </c>
      <c r="AK1104" s="1">
        <v>120</v>
      </c>
      <c r="AL1104" s="1">
        <v>2600</v>
      </c>
    </row>
    <row r="1105" spans="4:51" x14ac:dyDescent="0.3">
      <c r="D1105" s="2">
        <f t="shared" si="69"/>
        <v>2010</v>
      </c>
      <c r="E1105" s="2">
        <f t="shared" si="70"/>
        <v>3</v>
      </c>
      <c r="F1105" s="3" t="s">
        <v>175</v>
      </c>
      <c r="G1105" s="4">
        <v>40245</v>
      </c>
      <c r="J1105" s="1" t="s">
        <v>189</v>
      </c>
      <c r="K1105" s="1"/>
      <c r="L1105" s="1" t="str">
        <f t="shared" si="71"/>
        <v xml:space="preserve">Rösjön </v>
      </c>
      <c r="M1105" s="1" t="s">
        <v>177</v>
      </c>
      <c r="P1105" s="1">
        <v>4.9000000000000004</v>
      </c>
      <c r="Q1105" s="1">
        <v>0.5</v>
      </c>
      <c r="R1105" s="1">
        <v>11</v>
      </c>
      <c r="S1105" s="1">
        <v>75</v>
      </c>
      <c r="W1105" s="1">
        <v>15</v>
      </c>
      <c r="Z1105" s="1">
        <v>10</v>
      </c>
      <c r="AD1105" s="1">
        <v>230</v>
      </c>
      <c r="AK1105" s="1">
        <v>21</v>
      </c>
      <c r="AL1105" s="1">
        <v>690</v>
      </c>
    </row>
    <row r="1106" spans="4:51" x14ac:dyDescent="0.3">
      <c r="D1106" s="2">
        <f t="shared" si="69"/>
        <v>2010</v>
      </c>
      <c r="E1106" s="2">
        <f t="shared" si="70"/>
        <v>3</v>
      </c>
      <c r="F1106" s="3" t="s">
        <v>175</v>
      </c>
      <c r="G1106" s="4">
        <v>40245</v>
      </c>
      <c r="J1106" s="1" t="s">
        <v>189</v>
      </c>
      <c r="K1106" s="1"/>
      <c r="L1106" s="1" t="str">
        <f t="shared" si="71"/>
        <v xml:space="preserve">Rösjön </v>
      </c>
      <c r="M1106" s="1" t="s">
        <v>184</v>
      </c>
      <c r="Q1106" s="1">
        <v>4.5</v>
      </c>
      <c r="R1106" s="1">
        <v>0.3</v>
      </c>
      <c r="S1106" s="1">
        <v>3</v>
      </c>
      <c r="W1106" s="1">
        <v>300</v>
      </c>
      <c r="Z1106" s="1">
        <v>89</v>
      </c>
      <c r="AD1106" s="1">
        <v>200</v>
      </c>
      <c r="AK1106" s="1">
        <v>110</v>
      </c>
      <c r="AL1106" s="1">
        <v>930</v>
      </c>
    </row>
    <row r="1107" spans="4:51" x14ac:dyDescent="0.3">
      <c r="D1107" s="2">
        <f t="shared" si="69"/>
        <v>2010</v>
      </c>
      <c r="E1107" s="2">
        <f t="shared" si="70"/>
        <v>3</v>
      </c>
      <c r="F1107" s="3" t="s">
        <v>175</v>
      </c>
      <c r="G1107" s="4">
        <v>40245</v>
      </c>
      <c r="J1107" s="1" t="s">
        <v>190</v>
      </c>
      <c r="K1107" s="1"/>
      <c r="L1107" s="1" t="str">
        <f t="shared" si="71"/>
        <v xml:space="preserve">Snuggan </v>
      </c>
      <c r="M1107" s="1" t="s">
        <v>177</v>
      </c>
      <c r="P1107" s="1">
        <v>0.6</v>
      </c>
      <c r="Q1107" s="1">
        <v>0.5</v>
      </c>
      <c r="R1107" s="1">
        <v>8.3000000000000007</v>
      </c>
      <c r="S1107" s="1">
        <v>57</v>
      </c>
      <c r="W1107" s="1">
        <v>600</v>
      </c>
      <c r="Z1107" s="1">
        <v>1.5</v>
      </c>
      <c r="AD1107" s="1">
        <v>62</v>
      </c>
      <c r="AI1107" s="1">
        <v>30.2</v>
      </c>
      <c r="AK1107" s="1">
        <v>27</v>
      </c>
      <c r="AL1107" s="1">
        <v>1500</v>
      </c>
      <c r="AR1107" s="1">
        <v>4.29</v>
      </c>
      <c r="AT1107" s="1">
        <v>0.67300000000000004</v>
      </c>
      <c r="AU1107" s="1">
        <v>0.93899999999999995</v>
      </c>
      <c r="AV1107" s="1">
        <v>6.37</v>
      </c>
      <c r="AW1107" s="1">
        <v>5.23</v>
      </c>
      <c r="AX1107" s="1">
        <v>2.5</v>
      </c>
    </row>
    <row r="1108" spans="4:51" x14ac:dyDescent="0.3">
      <c r="D1108" s="2">
        <f t="shared" si="69"/>
        <v>2010</v>
      </c>
      <c r="E1108" s="2">
        <f t="shared" si="70"/>
        <v>3</v>
      </c>
      <c r="F1108" s="3" t="s">
        <v>175</v>
      </c>
      <c r="G1108" s="4">
        <v>40245</v>
      </c>
      <c r="J1108" s="1" t="s">
        <v>190</v>
      </c>
      <c r="K1108" s="1"/>
      <c r="L1108" s="1" t="str">
        <f t="shared" si="71"/>
        <v xml:space="preserve">Snuggan </v>
      </c>
      <c r="M1108" s="1" t="s">
        <v>184</v>
      </c>
      <c r="Q1108" s="1">
        <v>3.2</v>
      </c>
      <c r="R1108" s="1">
        <v>1.5</v>
      </c>
      <c r="S1108" s="1">
        <v>11</v>
      </c>
      <c r="W1108" s="1">
        <v>640</v>
      </c>
      <c r="Z1108" s="1">
        <v>3</v>
      </c>
      <c r="AD1108" s="1">
        <v>63</v>
      </c>
      <c r="AI1108" s="1">
        <v>31.8</v>
      </c>
      <c r="AK1108" s="1">
        <v>31</v>
      </c>
      <c r="AL1108" s="1">
        <v>1600</v>
      </c>
      <c r="AR1108" s="1">
        <v>4.3600000000000003</v>
      </c>
      <c r="AT1108" s="1">
        <v>0.72599999999999998</v>
      </c>
      <c r="AU1108" s="1">
        <v>0.94699999999999995</v>
      </c>
      <c r="AV1108" s="1">
        <v>6.18</v>
      </c>
      <c r="AW1108" s="1">
        <v>5.23</v>
      </c>
      <c r="AX1108" s="1">
        <v>2.5</v>
      </c>
    </row>
    <row r="1109" spans="4:51" x14ac:dyDescent="0.3">
      <c r="D1109" s="2">
        <f t="shared" si="69"/>
        <v>2010</v>
      </c>
      <c r="E1109" s="2">
        <f t="shared" si="70"/>
        <v>3</v>
      </c>
      <c r="F1109" s="3" t="s">
        <v>175</v>
      </c>
      <c r="G1109" s="4">
        <v>40245</v>
      </c>
      <c r="J1109" s="1" t="s">
        <v>192</v>
      </c>
      <c r="K1109" s="1"/>
      <c r="L1109" s="1" t="str">
        <f t="shared" si="71"/>
        <v xml:space="preserve">Väsjön </v>
      </c>
      <c r="M1109" s="1" t="s">
        <v>177</v>
      </c>
      <c r="P1109" s="1">
        <v>2.4</v>
      </c>
      <c r="Q1109" s="1">
        <v>0.7</v>
      </c>
      <c r="R1109" s="1">
        <v>0.3</v>
      </c>
      <c r="S1109" s="1">
        <v>2</v>
      </c>
      <c r="W1109" s="1">
        <v>170</v>
      </c>
      <c r="Z1109" s="1">
        <v>1.5</v>
      </c>
      <c r="AD1109" s="1">
        <v>0</v>
      </c>
      <c r="AK1109" s="1">
        <v>24</v>
      </c>
      <c r="AL1109" s="1">
        <v>830</v>
      </c>
    </row>
    <row r="1110" spans="4:51" x14ac:dyDescent="0.3">
      <c r="D1110" s="2">
        <f t="shared" si="69"/>
        <v>2010</v>
      </c>
      <c r="E1110" s="2">
        <f t="shared" si="70"/>
        <v>3</v>
      </c>
      <c r="F1110" s="3" t="s">
        <v>175</v>
      </c>
      <c r="G1110" s="4">
        <v>40245</v>
      </c>
      <c r="J1110" s="1" t="s">
        <v>192</v>
      </c>
      <c r="K1110" s="1"/>
      <c r="L1110" s="1" t="str">
        <f t="shared" si="71"/>
        <v xml:space="preserve">Väsjön </v>
      </c>
      <c r="M1110" s="1" t="s">
        <v>184</v>
      </c>
      <c r="Q1110" s="1">
        <v>3.5</v>
      </c>
      <c r="R1110" s="1">
        <v>0.2</v>
      </c>
      <c r="S1110" s="1">
        <v>2</v>
      </c>
      <c r="W1110" s="1">
        <v>170</v>
      </c>
      <c r="Z1110" s="1">
        <v>1.5</v>
      </c>
      <c r="AD1110" s="1">
        <v>9</v>
      </c>
      <c r="AK1110" s="1">
        <v>27</v>
      </c>
      <c r="AL1110" s="1">
        <v>850</v>
      </c>
    </row>
    <row r="1111" spans="4:51" x14ac:dyDescent="0.3">
      <c r="D1111" s="2">
        <f t="shared" si="69"/>
        <v>2010</v>
      </c>
      <c r="E1111" s="2">
        <f t="shared" si="70"/>
        <v>3</v>
      </c>
      <c r="F1111" s="3" t="s">
        <v>175</v>
      </c>
      <c r="G1111" s="4">
        <v>40245</v>
      </c>
      <c r="J1111" s="1" t="s">
        <v>193</v>
      </c>
      <c r="K1111" s="1"/>
      <c r="L1111" s="1" t="str">
        <f t="shared" si="71"/>
        <v xml:space="preserve">Översjön </v>
      </c>
      <c r="M1111" s="1" t="s">
        <v>177</v>
      </c>
      <c r="P1111" s="1">
        <v>3.5</v>
      </c>
      <c r="Q1111" s="1">
        <v>0.6</v>
      </c>
      <c r="R1111" s="1">
        <v>8.9</v>
      </c>
      <c r="S1111" s="1">
        <v>61</v>
      </c>
      <c r="W1111" s="1">
        <v>280</v>
      </c>
      <c r="Z1111" s="1">
        <v>9</v>
      </c>
      <c r="AD1111" s="1">
        <v>66</v>
      </c>
      <c r="AK1111" s="1">
        <v>27</v>
      </c>
      <c r="AL1111" s="1">
        <v>1100</v>
      </c>
    </row>
    <row r="1112" spans="4:51" x14ac:dyDescent="0.3">
      <c r="D1112" s="2">
        <f t="shared" si="69"/>
        <v>2010</v>
      </c>
      <c r="E1112" s="2">
        <f t="shared" si="70"/>
        <v>3</v>
      </c>
      <c r="F1112" s="3" t="s">
        <v>175</v>
      </c>
      <c r="G1112" s="4">
        <v>40245</v>
      </c>
      <c r="J1112" s="1" t="s">
        <v>193</v>
      </c>
      <c r="K1112" s="1"/>
      <c r="L1112" s="1" t="str">
        <f t="shared" si="71"/>
        <v xml:space="preserve">Översjön </v>
      </c>
      <c r="M1112" s="1" t="s">
        <v>184</v>
      </c>
      <c r="Q1112" s="1">
        <v>3.3</v>
      </c>
      <c r="R1112" s="1">
        <v>0.9</v>
      </c>
      <c r="S1112" s="1">
        <v>6.7</v>
      </c>
      <c r="W1112" s="1">
        <v>440</v>
      </c>
      <c r="Z1112" s="1">
        <v>21</v>
      </c>
      <c r="AD1112" s="1">
        <v>63</v>
      </c>
      <c r="AK1112" s="1">
        <v>55</v>
      </c>
      <c r="AL1112" s="1">
        <v>1300</v>
      </c>
    </row>
    <row r="1113" spans="4:51" x14ac:dyDescent="0.3">
      <c r="D1113" s="2">
        <f t="shared" si="69"/>
        <v>2010</v>
      </c>
      <c r="E1113" s="2">
        <f t="shared" si="70"/>
        <v>3</v>
      </c>
      <c r="F1113" s="3" t="s">
        <v>175</v>
      </c>
      <c r="G1113" s="4">
        <v>40246</v>
      </c>
      <c r="J1113" s="1" t="s">
        <v>181</v>
      </c>
      <c r="K1113" s="1"/>
      <c r="L1113" s="1" t="str">
        <f t="shared" si="71"/>
        <v xml:space="preserve">Fysingen </v>
      </c>
      <c r="M1113" s="1" t="s">
        <v>177</v>
      </c>
      <c r="Q1113" s="1">
        <v>0.2</v>
      </c>
      <c r="V1113" s="1">
        <v>2.5339999999999998</v>
      </c>
      <c r="W1113" s="1">
        <v>27</v>
      </c>
      <c r="X1113" s="1">
        <f t="shared" ref="X1113:X1119" si="72">W1113 * (1/((10^((0.0901821 + (2729.92 /(273.15 + Q1113)))-AE1113)+1)))</f>
        <v>4.4011879850417143E-2</v>
      </c>
      <c r="Y1113" s="1">
        <v>4.7E-2</v>
      </c>
      <c r="Z1113" s="1">
        <v>5</v>
      </c>
      <c r="AB1113" s="1">
        <v>1.5</v>
      </c>
      <c r="AC1113" s="1">
        <v>56.9</v>
      </c>
      <c r="AD1113" s="1">
        <v>876</v>
      </c>
      <c r="AE1113" s="1">
        <v>7.29</v>
      </c>
      <c r="AI1113" s="1">
        <v>10.199999999999999</v>
      </c>
      <c r="AK1113" s="1">
        <v>19</v>
      </c>
      <c r="AL1113" s="1">
        <v>1489</v>
      </c>
      <c r="AV1113" s="1">
        <v>40.483899999999998</v>
      </c>
      <c r="AX1113" s="1">
        <v>106.04634999999999</v>
      </c>
      <c r="AY1113" s="1">
        <v>4.29</v>
      </c>
    </row>
    <row r="1114" spans="4:51" x14ac:dyDescent="0.3">
      <c r="D1114" s="2">
        <f t="shared" si="69"/>
        <v>2010</v>
      </c>
      <c r="E1114" s="2">
        <f t="shared" si="70"/>
        <v>3</v>
      </c>
      <c r="F1114" s="3" t="s">
        <v>175</v>
      </c>
      <c r="G1114" s="4">
        <v>40253</v>
      </c>
      <c r="H1114" s="1">
        <v>6606238</v>
      </c>
      <c r="I1114" s="1">
        <v>661152</v>
      </c>
      <c r="J1114" s="5" t="s">
        <v>176</v>
      </c>
      <c r="K1114" s="1"/>
      <c r="L1114" s="1" t="str">
        <f t="shared" si="71"/>
        <v xml:space="preserve">Oxundaån </v>
      </c>
      <c r="M1114" s="1" t="s">
        <v>177</v>
      </c>
      <c r="N1114" s="1">
        <v>0.5</v>
      </c>
      <c r="O1114" s="1">
        <v>0.5</v>
      </c>
      <c r="Q1114" s="1">
        <v>2</v>
      </c>
      <c r="T1114" s="1">
        <v>55.8</v>
      </c>
      <c r="V1114" s="1">
        <v>2.7549999999999999</v>
      </c>
      <c r="W1114" s="1">
        <v>72</v>
      </c>
      <c r="X1114" s="1">
        <f t="shared" si="72"/>
        <v>0.15298771575429482</v>
      </c>
      <c r="Y1114" s="1">
        <v>5.1999999999999998E-2</v>
      </c>
      <c r="Z1114" s="1">
        <v>17</v>
      </c>
      <c r="AA1114" s="1">
        <v>1.9</v>
      </c>
      <c r="AD1114" s="1">
        <v>561</v>
      </c>
      <c r="AE1114" s="1">
        <v>7.34</v>
      </c>
      <c r="AG1114" s="1">
        <v>1.3</v>
      </c>
      <c r="AI1114" s="1">
        <v>11.7</v>
      </c>
      <c r="AK1114" s="1">
        <v>48</v>
      </c>
      <c r="AL1114" s="1">
        <v>1303</v>
      </c>
      <c r="AR1114" s="1">
        <v>65.039999999999992</v>
      </c>
      <c r="AT1114" s="1">
        <v>6.2951000000000006</v>
      </c>
      <c r="AU1114" s="1">
        <v>11.507099999999999</v>
      </c>
      <c r="AV1114" s="1">
        <v>42.965400000000002</v>
      </c>
      <c r="AW1114" s="1">
        <v>29.66142</v>
      </c>
      <c r="AX1114" s="1">
        <v>70.537399999999991</v>
      </c>
      <c r="AY1114" s="1">
        <v>3.07</v>
      </c>
    </row>
    <row r="1115" spans="4:51" x14ac:dyDescent="0.3">
      <c r="D1115" s="2">
        <f t="shared" si="69"/>
        <v>2010</v>
      </c>
      <c r="E1115" s="2">
        <f t="shared" si="70"/>
        <v>4</v>
      </c>
      <c r="F1115" s="3" t="s">
        <v>178</v>
      </c>
      <c r="G1115" s="4">
        <v>40282</v>
      </c>
      <c r="H1115" s="1">
        <v>6606238</v>
      </c>
      <c r="I1115" s="1">
        <v>661152</v>
      </c>
      <c r="J1115" s="5" t="s">
        <v>176</v>
      </c>
      <c r="K1115" s="1"/>
      <c r="L1115" s="1" t="str">
        <f t="shared" si="71"/>
        <v xml:space="preserve">Oxundaån </v>
      </c>
      <c r="M1115" s="1" t="s">
        <v>177</v>
      </c>
      <c r="N1115" s="1">
        <v>0.5</v>
      </c>
      <c r="O1115" s="1">
        <v>0.5</v>
      </c>
      <c r="Q1115" s="1">
        <v>4.5</v>
      </c>
      <c r="T1115" s="1">
        <v>39.200000000000003</v>
      </c>
      <c r="V1115" s="1">
        <v>1.8009999999999999</v>
      </c>
      <c r="W1115" s="1">
        <v>61</v>
      </c>
      <c r="X1115" s="1">
        <f t="shared" si="72"/>
        <v>0.11018632971587253</v>
      </c>
      <c r="Y1115" s="1">
        <v>9.0999999999999998E-2</v>
      </c>
      <c r="Z1115" s="1">
        <v>47</v>
      </c>
      <c r="AA1115" s="1">
        <v>31</v>
      </c>
      <c r="AD1115" s="1">
        <v>1706</v>
      </c>
      <c r="AE1115" s="1">
        <v>7.18</v>
      </c>
      <c r="AG1115" s="1">
        <v>15.4</v>
      </c>
      <c r="AI1115" s="1">
        <v>13.5</v>
      </c>
      <c r="AK1115" s="1">
        <v>82</v>
      </c>
      <c r="AL1115" s="1">
        <v>2439</v>
      </c>
      <c r="AR1115" s="1">
        <v>40.78</v>
      </c>
      <c r="AT1115" s="1">
        <v>4.8483999999999998</v>
      </c>
      <c r="AU1115" s="1">
        <v>8.0707000000000004</v>
      </c>
      <c r="AV1115" s="1">
        <v>31.125100000000003</v>
      </c>
      <c r="AW1115" s="1">
        <v>20.60012</v>
      </c>
      <c r="AX1115" s="1">
        <v>48.674649999999993</v>
      </c>
    </row>
    <row r="1116" spans="4:51" x14ac:dyDescent="0.3">
      <c r="D1116" s="2">
        <f t="shared" si="69"/>
        <v>2010</v>
      </c>
      <c r="E1116" s="2">
        <f t="shared" si="70"/>
        <v>4</v>
      </c>
      <c r="F1116" s="3" t="s">
        <v>178</v>
      </c>
      <c r="G1116" s="4">
        <v>40289</v>
      </c>
      <c r="J1116" s="1" t="s">
        <v>181</v>
      </c>
      <c r="K1116" s="1"/>
      <c r="L1116" s="1" t="str">
        <f t="shared" si="71"/>
        <v xml:space="preserve">Fysingen </v>
      </c>
      <c r="M1116" s="1" t="s">
        <v>177</v>
      </c>
      <c r="P1116" s="1">
        <v>0.7</v>
      </c>
      <c r="Q1116" s="1">
        <v>6</v>
      </c>
      <c r="V1116" s="1">
        <v>1.843</v>
      </c>
      <c r="W1116" s="1">
        <v>82</v>
      </c>
      <c r="X1116" s="1">
        <f t="shared" si="72"/>
        <v>0.33301413803008123</v>
      </c>
      <c r="Y1116" s="1">
        <v>7.0000000000000007E-2</v>
      </c>
      <c r="Z1116" s="1">
        <v>20</v>
      </c>
      <c r="AC1116" s="1">
        <v>45.5</v>
      </c>
      <c r="AD1116" s="1">
        <v>1567</v>
      </c>
      <c r="AE1116" s="1">
        <v>7.48</v>
      </c>
      <c r="AI1116" s="1">
        <v>11.5</v>
      </c>
      <c r="AK1116" s="1">
        <v>55</v>
      </c>
      <c r="AL1116" s="1">
        <v>2239</v>
      </c>
      <c r="AV1116" s="1">
        <v>29.707100000000001</v>
      </c>
      <c r="AX1116" s="1">
        <v>80.243499999999997</v>
      </c>
      <c r="AY1116" s="1">
        <v>8.2100000000000009</v>
      </c>
    </row>
    <row r="1117" spans="4:51" x14ac:dyDescent="0.3">
      <c r="D1117" s="2">
        <f t="shared" si="69"/>
        <v>2010</v>
      </c>
      <c r="E1117" s="2">
        <f t="shared" si="70"/>
        <v>5</v>
      </c>
      <c r="F1117" s="3" t="s">
        <v>178</v>
      </c>
      <c r="G1117" s="4">
        <v>40316</v>
      </c>
      <c r="H1117" s="1">
        <v>6606238</v>
      </c>
      <c r="I1117" s="1">
        <v>661152</v>
      </c>
      <c r="J1117" s="5" t="s">
        <v>176</v>
      </c>
      <c r="K1117" s="1"/>
      <c r="L1117" s="1" t="str">
        <f t="shared" si="71"/>
        <v xml:space="preserve">Oxundaån </v>
      </c>
      <c r="M1117" s="1" t="s">
        <v>177</v>
      </c>
      <c r="N1117" s="1">
        <v>0.2</v>
      </c>
      <c r="O1117" s="1">
        <v>0.2</v>
      </c>
      <c r="Q1117" s="1">
        <v>14.5</v>
      </c>
      <c r="T1117" s="1">
        <v>44</v>
      </c>
      <c r="V1117" s="1">
        <v>2.2509999999999999</v>
      </c>
      <c r="W1117" s="1">
        <v>37</v>
      </c>
      <c r="X1117" s="1">
        <f t="shared" si="72"/>
        <v>0.67545389126943012</v>
      </c>
      <c r="Y1117" s="1">
        <v>5.1999999999999998E-2</v>
      </c>
      <c r="Z1117" s="1">
        <v>5</v>
      </c>
      <c r="AA1117" s="1">
        <v>3.9</v>
      </c>
      <c r="AD1117" s="1">
        <v>450</v>
      </c>
      <c r="AE1117" s="1">
        <v>7.85</v>
      </c>
      <c r="AG1117" s="1">
        <v>3.8</v>
      </c>
      <c r="AI1117" s="1">
        <v>11.8</v>
      </c>
      <c r="AK1117" s="1">
        <v>34</v>
      </c>
      <c r="AL1117" s="1">
        <v>1193</v>
      </c>
      <c r="AR1117" s="1">
        <v>51.02</v>
      </c>
      <c r="AT1117" s="1">
        <v>5.0830000000000002</v>
      </c>
      <c r="AU1117" s="1">
        <v>8.5909999999999993</v>
      </c>
      <c r="AV1117" s="1">
        <v>37.222500000000004</v>
      </c>
      <c r="AW1117" s="1">
        <v>25.348700000000001</v>
      </c>
      <c r="AX1117" s="1">
        <v>53.191349999999993</v>
      </c>
      <c r="AY1117" s="1">
        <v>2.92</v>
      </c>
    </row>
    <row r="1118" spans="4:51" x14ac:dyDescent="0.3">
      <c r="D1118" s="2">
        <f t="shared" si="69"/>
        <v>2010</v>
      </c>
      <c r="E1118" s="2">
        <f t="shared" si="70"/>
        <v>6</v>
      </c>
      <c r="F1118" s="3"/>
      <c r="G1118" s="4">
        <v>40344</v>
      </c>
      <c r="H1118" s="1">
        <v>6606238</v>
      </c>
      <c r="I1118" s="1">
        <v>661152</v>
      </c>
      <c r="J1118" s="5" t="s">
        <v>176</v>
      </c>
      <c r="K1118" s="1"/>
      <c r="L1118" s="1" t="str">
        <f t="shared" si="71"/>
        <v xml:space="preserve">Oxundaån </v>
      </c>
      <c r="M1118" s="1" t="s">
        <v>177</v>
      </c>
      <c r="N1118" s="1">
        <v>0.5</v>
      </c>
      <c r="O1118" s="1">
        <v>0.5</v>
      </c>
      <c r="Q1118" s="1">
        <v>17.5</v>
      </c>
      <c r="T1118" s="1">
        <v>45.9</v>
      </c>
      <c r="V1118" s="1">
        <v>2.3809999999999998</v>
      </c>
      <c r="W1118" s="1">
        <v>169</v>
      </c>
      <c r="X1118" s="1">
        <f t="shared" si="72"/>
        <v>2.8694732325336973</v>
      </c>
      <c r="Y1118" s="1">
        <v>4.9000000000000002E-2</v>
      </c>
      <c r="Z1118" s="1">
        <v>17</v>
      </c>
      <c r="AA1118" s="1">
        <v>3.2</v>
      </c>
      <c r="AD1118" s="1">
        <v>50</v>
      </c>
      <c r="AE1118" s="1">
        <v>7.72</v>
      </c>
      <c r="AG1118" s="1">
        <v>3.2</v>
      </c>
      <c r="AI1118" s="1">
        <v>11.3</v>
      </c>
      <c r="AK1118" s="1">
        <v>38</v>
      </c>
      <c r="AL1118" s="1">
        <v>1053</v>
      </c>
      <c r="AR1118" s="1">
        <v>51.900000000000006</v>
      </c>
      <c r="AT1118" s="1">
        <v>5.4740000000000011</v>
      </c>
      <c r="AU1118" s="1">
        <v>8.9902999999999995</v>
      </c>
      <c r="AV1118" s="1">
        <v>38.286000000000008</v>
      </c>
      <c r="AW1118" s="1">
        <v>25.87632</v>
      </c>
      <c r="AX1118" s="1">
        <v>51.077149999999996</v>
      </c>
      <c r="AY1118" s="1">
        <v>1.72</v>
      </c>
    </row>
    <row r="1119" spans="4:51" x14ac:dyDescent="0.3">
      <c r="D1119" s="2">
        <f t="shared" si="69"/>
        <v>2010</v>
      </c>
      <c r="E1119" s="2">
        <f t="shared" si="70"/>
        <v>7</v>
      </c>
      <c r="F1119" s="3" t="s">
        <v>179</v>
      </c>
      <c r="G1119" s="4">
        <v>40380</v>
      </c>
      <c r="H1119" s="1">
        <v>6606238</v>
      </c>
      <c r="I1119" s="1">
        <v>661152</v>
      </c>
      <c r="J1119" s="5" t="s">
        <v>176</v>
      </c>
      <c r="K1119" s="1"/>
      <c r="L1119" s="1" t="str">
        <f t="shared" si="71"/>
        <v xml:space="preserve">Oxundaån </v>
      </c>
      <c r="M1119" s="1" t="s">
        <v>177</v>
      </c>
      <c r="N1119" s="1">
        <v>0.5</v>
      </c>
      <c r="O1119" s="1">
        <v>0.5</v>
      </c>
      <c r="Q1119" s="1">
        <v>24</v>
      </c>
      <c r="T1119" s="1">
        <v>47.6</v>
      </c>
      <c r="V1119" s="1">
        <v>2.4980000000000002</v>
      </c>
      <c r="W1119" s="1">
        <v>90</v>
      </c>
      <c r="X1119" s="1">
        <f t="shared" si="72"/>
        <v>2.0283856710958905</v>
      </c>
      <c r="Y1119" s="1">
        <v>3.7999999999999999E-2</v>
      </c>
      <c r="Z1119" s="1">
        <v>73</v>
      </c>
      <c r="AA1119" s="1">
        <v>2.8</v>
      </c>
      <c r="AD1119" s="1">
        <v>20</v>
      </c>
      <c r="AE1119" s="1">
        <v>7.64</v>
      </c>
      <c r="AG1119" s="1">
        <v>2.2999999999999998</v>
      </c>
      <c r="AI1119" s="1">
        <v>10.5</v>
      </c>
      <c r="AK1119" s="1">
        <v>95</v>
      </c>
      <c r="AL1119" s="1">
        <v>790</v>
      </c>
      <c r="AR1119" s="1">
        <v>50.14</v>
      </c>
      <c r="AT1119" s="1">
        <v>5.3958000000000004</v>
      </c>
      <c r="AU1119" s="1">
        <v>9.1355000000000004</v>
      </c>
      <c r="AV1119" s="1">
        <v>40.2712</v>
      </c>
      <c r="AW1119" s="1">
        <v>26.036900000000003</v>
      </c>
      <c r="AX1119" s="1">
        <v>51.173249999999996</v>
      </c>
      <c r="AY1119" s="1">
        <v>1.26</v>
      </c>
    </row>
    <row r="1120" spans="4:51" x14ac:dyDescent="0.3">
      <c r="D1120" s="2">
        <f t="shared" si="69"/>
        <v>2010</v>
      </c>
      <c r="E1120" s="2">
        <f t="shared" si="70"/>
        <v>8</v>
      </c>
      <c r="F1120" s="3" t="s">
        <v>179</v>
      </c>
      <c r="G1120" s="4">
        <v>40394</v>
      </c>
      <c r="J1120" s="1" t="s">
        <v>191</v>
      </c>
      <c r="K1120" s="1" t="s">
        <v>206</v>
      </c>
      <c r="L1120" s="1" t="str">
        <f t="shared" si="71"/>
        <v>Vallentunasjön Blandprov</v>
      </c>
      <c r="M1120" s="1" t="s">
        <v>177</v>
      </c>
      <c r="P1120" s="1">
        <v>0.6</v>
      </c>
      <c r="W1120" s="1">
        <v>1</v>
      </c>
      <c r="Z1120" s="1">
        <v>0.1</v>
      </c>
      <c r="AB1120" s="1">
        <v>49.9</v>
      </c>
      <c r="AD1120" s="1">
        <v>0.1</v>
      </c>
      <c r="AK1120" s="1">
        <v>99</v>
      </c>
      <c r="AL1120" s="1">
        <v>1700</v>
      </c>
    </row>
    <row r="1121" spans="4:38" x14ac:dyDescent="0.3">
      <c r="D1121" s="2">
        <f t="shared" si="69"/>
        <v>2010</v>
      </c>
      <c r="E1121" s="2">
        <f t="shared" si="70"/>
        <v>8</v>
      </c>
      <c r="F1121" s="3" t="s">
        <v>179</v>
      </c>
      <c r="G1121" s="4">
        <v>40399</v>
      </c>
      <c r="J1121" s="1" t="s">
        <v>201</v>
      </c>
      <c r="K1121" s="1"/>
      <c r="L1121" s="1" t="str">
        <f t="shared" si="71"/>
        <v xml:space="preserve">Mörtsjön </v>
      </c>
      <c r="M1121" s="1" t="s">
        <v>177</v>
      </c>
      <c r="P1121" s="1">
        <v>2</v>
      </c>
      <c r="Q1121" s="1">
        <v>20.3</v>
      </c>
      <c r="R1121" s="1">
        <v>7.9</v>
      </c>
      <c r="S1121" s="1">
        <v>8.6999999999999993</v>
      </c>
      <c r="W1121" s="1">
        <v>10</v>
      </c>
      <c r="X1121" s="1">
        <f t="shared" ref="X1121:X1131" si="73">W1121 * (1/((10^((0.0901821 + (2729.92 /(273.15 + Q1121)))-AE1121)+1)))</f>
        <v>0.20789708973127832</v>
      </c>
      <c r="Y1121" s="1">
        <v>9.6000000000000002E-2</v>
      </c>
      <c r="Z1121" s="1">
        <v>1.5</v>
      </c>
      <c r="AB1121" s="1">
        <v>13.1</v>
      </c>
      <c r="AD1121" s="1">
        <v>11</v>
      </c>
      <c r="AE1121" s="1">
        <v>7.72</v>
      </c>
      <c r="AK1121" s="1">
        <v>30</v>
      </c>
      <c r="AL1121" s="1">
        <v>780</v>
      </c>
    </row>
    <row r="1122" spans="4:38" x14ac:dyDescent="0.3">
      <c r="D1122" s="2">
        <f t="shared" si="69"/>
        <v>2010</v>
      </c>
      <c r="E1122" s="2">
        <f t="shared" si="70"/>
        <v>8</v>
      </c>
      <c r="F1122" s="3" t="s">
        <v>179</v>
      </c>
      <c r="G1122" s="4">
        <v>40399</v>
      </c>
      <c r="J1122" s="1" t="s">
        <v>201</v>
      </c>
      <c r="K1122" s="1"/>
      <c r="L1122" s="1" t="str">
        <f t="shared" si="71"/>
        <v xml:space="preserve">Mörtsjön </v>
      </c>
      <c r="M1122" s="1" t="s">
        <v>184</v>
      </c>
      <c r="Q1122" s="1">
        <v>14.7</v>
      </c>
      <c r="R1122" s="1">
        <v>0.1</v>
      </c>
      <c r="S1122" s="1">
        <v>1</v>
      </c>
      <c r="W1122" s="1">
        <v>310</v>
      </c>
      <c r="X1122" s="1">
        <f t="shared" si="73"/>
        <v>1.1903655741512449</v>
      </c>
      <c r="Y1122" s="1">
        <v>0.127</v>
      </c>
      <c r="Z1122" s="1">
        <v>5</v>
      </c>
      <c r="AD1122" s="1">
        <v>20</v>
      </c>
      <c r="AE1122" s="1">
        <v>7.16</v>
      </c>
      <c r="AK1122" s="1">
        <v>140</v>
      </c>
      <c r="AL1122" s="1">
        <v>1700</v>
      </c>
    </row>
    <row r="1123" spans="4:38" x14ac:dyDescent="0.3">
      <c r="D1123" s="2">
        <f t="shared" si="69"/>
        <v>2010</v>
      </c>
      <c r="E1123" s="2">
        <f t="shared" si="70"/>
        <v>8</v>
      </c>
      <c r="F1123" s="3" t="s">
        <v>179</v>
      </c>
      <c r="G1123" s="4">
        <v>40399</v>
      </c>
      <c r="J1123" s="1" t="s">
        <v>186</v>
      </c>
      <c r="K1123" s="1">
        <v>1</v>
      </c>
      <c r="L1123" s="1" t="str">
        <f t="shared" si="71"/>
        <v>Norrviken 1</v>
      </c>
      <c r="M1123" s="1" t="s">
        <v>177</v>
      </c>
      <c r="P1123" s="1">
        <v>1.4</v>
      </c>
      <c r="Q1123" s="1">
        <v>19.899999999999999</v>
      </c>
      <c r="R1123" s="1">
        <v>7.2</v>
      </c>
      <c r="S1123" s="1">
        <v>79</v>
      </c>
      <c r="W1123" s="1">
        <v>5</v>
      </c>
      <c r="X1123" s="1">
        <f t="shared" si="73"/>
        <v>0.10808206660180644</v>
      </c>
      <c r="Y1123" s="1">
        <v>3.6999999999999998E-2</v>
      </c>
      <c r="Z1123" s="1">
        <v>20</v>
      </c>
      <c r="AB1123" s="1">
        <v>25.6</v>
      </c>
      <c r="AD1123" s="1">
        <v>0</v>
      </c>
      <c r="AE1123" s="1">
        <v>7.75</v>
      </c>
      <c r="AK1123" s="1">
        <v>84</v>
      </c>
      <c r="AL1123" s="1">
        <v>890</v>
      </c>
    </row>
    <row r="1124" spans="4:38" x14ac:dyDescent="0.3">
      <c r="D1124" s="2">
        <f t="shared" si="69"/>
        <v>2010</v>
      </c>
      <c r="E1124" s="2">
        <f t="shared" si="70"/>
        <v>8</v>
      </c>
      <c r="F1124" s="3" t="s">
        <v>179</v>
      </c>
      <c r="G1124" s="4">
        <v>40399</v>
      </c>
      <c r="J1124" s="1" t="s">
        <v>186</v>
      </c>
      <c r="K1124" s="1">
        <v>2</v>
      </c>
      <c r="L1124" s="1" t="str">
        <f t="shared" si="71"/>
        <v>Norrviken 2</v>
      </c>
      <c r="M1124" s="1" t="s">
        <v>177</v>
      </c>
      <c r="P1124" s="1">
        <v>2.6</v>
      </c>
      <c r="Q1124" s="1">
        <v>20.100000000000001</v>
      </c>
      <c r="R1124" s="1">
        <v>9</v>
      </c>
      <c r="S1124" s="1">
        <v>99</v>
      </c>
      <c r="W1124" s="1">
        <v>5</v>
      </c>
      <c r="X1124" s="1">
        <f t="shared" si="73"/>
        <v>0.26656562811065826</v>
      </c>
      <c r="Y1124" s="1">
        <v>3.1E-2</v>
      </c>
      <c r="Z1124" s="1">
        <v>38</v>
      </c>
      <c r="AB1124" s="1">
        <v>7.9</v>
      </c>
      <c r="AD1124" s="1">
        <v>0</v>
      </c>
      <c r="AE1124" s="1">
        <v>8.15</v>
      </c>
      <c r="AK1124" s="1">
        <v>69</v>
      </c>
      <c r="AL1124" s="1">
        <v>680</v>
      </c>
    </row>
    <row r="1125" spans="4:38" x14ac:dyDescent="0.3">
      <c r="D1125" s="2">
        <f t="shared" si="69"/>
        <v>2010</v>
      </c>
      <c r="E1125" s="2">
        <f t="shared" si="70"/>
        <v>8</v>
      </c>
      <c r="F1125" s="3" t="s">
        <v>179</v>
      </c>
      <c r="G1125" s="4">
        <v>40399</v>
      </c>
      <c r="J1125" s="1" t="s">
        <v>186</v>
      </c>
      <c r="K1125" s="1">
        <v>3</v>
      </c>
      <c r="L1125" s="1" t="str">
        <f t="shared" si="71"/>
        <v>Norrviken 3</v>
      </c>
      <c r="M1125" s="1" t="s">
        <v>177</v>
      </c>
      <c r="P1125" s="1">
        <v>2.2999999999999998</v>
      </c>
      <c r="Q1125" s="1">
        <v>20.2</v>
      </c>
      <c r="R1125" s="1">
        <v>9.6</v>
      </c>
      <c r="S1125" s="1">
        <v>106</v>
      </c>
      <c r="W1125" s="1">
        <v>5</v>
      </c>
      <c r="X1125" s="1">
        <f t="shared" si="73"/>
        <v>0.34051709456283169</v>
      </c>
      <c r="Y1125" s="1">
        <v>3.4000000000000002E-2</v>
      </c>
      <c r="Z1125" s="1">
        <v>37</v>
      </c>
      <c r="AB1125" s="1">
        <v>11.9</v>
      </c>
      <c r="AD1125" s="1">
        <v>0</v>
      </c>
      <c r="AE1125" s="1">
        <v>8.26</v>
      </c>
      <c r="AK1125" s="1">
        <v>71</v>
      </c>
      <c r="AL1125" s="1">
        <v>720</v>
      </c>
    </row>
    <row r="1126" spans="4:38" x14ac:dyDescent="0.3">
      <c r="D1126" s="2">
        <f t="shared" si="69"/>
        <v>2010</v>
      </c>
      <c r="E1126" s="2">
        <f t="shared" si="70"/>
        <v>8</v>
      </c>
      <c r="F1126" s="3" t="s">
        <v>179</v>
      </c>
      <c r="G1126" s="4">
        <v>40399</v>
      </c>
      <c r="J1126" s="1" t="s">
        <v>186</v>
      </c>
      <c r="K1126" s="1">
        <v>4</v>
      </c>
      <c r="L1126" s="1" t="str">
        <f t="shared" si="71"/>
        <v>Norrviken 4</v>
      </c>
      <c r="M1126" s="1" t="s">
        <v>177</v>
      </c>
      <c r="P1126" s="1">
        <v>1.9</v>
      </c>
      <c r="Q1126" s="1">
        <v>19.899999999999999</v>
      </c>
      <c r="R1126" s="1">
        <v>7.3</v>
      </c>
      <c r="S1126" s="1">
        <v>81</v>
      </c>
      <c r="W1126" s="1">
        <v>5</v>
      </c>
      <c r="X1126" s="1">
        <f t="shared" si="73"/>
        <v>0.16915979473625264</v>
      </c>
      <c r="Y1126" s="1">
        <v>3.6999999999999998E-2</v>
      </c>
      <c r="Z1126" s="1">
        <v>44</v>
      </c>
      <c r="AB1126" s="1">
        <v>8.6999999999999993</v>
      </c>
      <c r="AD1126" s="1">
        <v>0</v>
      </c>
      <c r="AE1126" s="1">
        <v>7.95</v>
      </c>
      <c r="AK1126" s="1">
        <v>75</v>
      </c>
      <c r="AL1126" s="1">
        <v>690</v>
      </c>
    </row>
    <row r="1127" spans="4:38" x14ac:dyDescent="0.3">
      <c r="D1127" s="2">
        <f t="shared" si="69"/>
        <v>2010</v>
      </c>
      <c r="E1127" s="2">
        <f t="shared" si="70"/>
        <v>8</v>
      </c>
      <c r="F1127" s="3" t="s">
        <v>179</v>
      </c>
      <c r="G1127" s="4">
        <v>40399</v>
      </c>
      <c r="J1127" s="1" t="s">
        <v>186</v>
      </c>
      <c r="K1127" s="1">
        <v>1</v>
      </c>
      <c r="L1127" s="1" t="str">
        <f t="shared" si="71"/>
        <v>Norrviken 1</v>
      </c>
      <c r="M1127" s="1" t="s">
        <v>184</v>
      </c>
      <c r="Q1127" s="1">
        <v>18.600000000000001</v>
      </c>
      <c r="R1127" s="1">
        <v>2.2000000000000002</v>
      </c>
      <c r="S1127" s="1">
        <v>23</v>
      </c>
      <c r="W1127" s="1">
        <v>22</v>
      </c>
      <c r="X1127" s="1">
        <f t="shared" si="73"/>
        <v>0.38679845660811363</v>
      </c>
      <c r="Y1127" s="1">
        <v>5.7000000000000002E-2</v>
      </c>
      <c r="Z1127" s="1">
        <v>24</v>
      </c>
      <c r="AD1127" s="1">
        <v>32</v>
      </c>
      <c r="AE1127" s="1">
        <v>7.7</v>
      </c>
      <c r="AK1127" s="1">
        <v>98</v>
      </c>
      <c r="AL1127" s="1">
        <v>980</v>
      </c>
    </row>
    <row r="1128" spans="4:38" x14ac:dyDescent="0.3">
      <c r="D1128" s="2">
        <f t="shared" si="69"/>
        <v>2010</v>
      </c>
      <c r="E1128" s="2">
        <f t="shared" si="70"/>
        <v>8</v>
      </c>
      <c r="F1128" s="3" t="s">
        <v>179</v>
      </c>
      <c r="G1128" s="4">
        <v>40399</v>
      </c>
      <c r="J1128" s="1" t="s">
        <v>186</v>
      </c>
      <c r="K1128" s="1">
        <v>2</v>
      </c>
      <c r="L1128" s="1" t="str">
        <f t="shared" si="71"/>
        <v>Norrviken 2</v>
      </c>
      <c r="M1128" s="1" t="s">
        <v>184</v>
      </c>
      <c r="Q1128" s="1">
        <v>12.9</v>
      </c>
      <c r="R1128" s="1">
        <v>0.2</v>
      </c>
      <c r="S1128" s="1">
        <v>1.5</v>
      </c>
      <c r="W1128" s="1">
        <v>120</v>
      </c>
      <c r="X1128" s="1">
        <f t="shared" si="73"/>
        <v>1.4794664393117931</v>
      </c>
      <c r="Y1128" s="1">
        <v>3.2000000000000001E-2</v>
      </c>
      <c r="Z1128" s="1">
        <v>120</v>
      </c>
      <c r="AD1128" s="1">
        <v>0</v>
      </c>
      <c r="AE1128" s="1">
        <v>7.73</v>
      </c>
      <c r="AK1128" s="1">
        <v>160</v>
      </c>
      <c r="AL1128" s="1">
        <v>820</v>
      </c>
    </row>
    <row r="1129" spans="4:38" x14ac:dyDescent="0.3">
      <c r="D1129" s="2">
        <f t="shared" si="69"/>
        <v>2010</v>
      </c>
      <c r="E1129" s="2">
        <f t="shared" si="70"/>
        <v>8</v>
      </c>
      <c r="F1129" s="3" t="s">
        <v>179</v>
      </c>
      <c r="G1129" s="4">
        <v>40399</v>
      </c>
      <c r="J1129" s="1" t="s">
        <v>186</v>
      </c>
      <c r="K1129" s="1">
        <v>3</v>
      </c>
      <c r="L1129" s="1" t="str">
        <f t="shared" si="71"/>
        <v>Norrviken 3</v>
      </c>
      <c r="M1129" s="1" t="s">
        <v>184</v>
      </c>
      <c r="Q1129" s="1">
        <v>9.5</v>
      </c>
      <c r="R1129" s="1">
        <v>0.05</v>
      </c>
      <c r="S1129" s="1">
        <v>0.5</v>
      </c>
      <c r="W1129" s="1">
        <v>1600</v>
      </c>
      <c r="X1129" s="1">
        <f t="shared" si="73"/>
        <v>8.9781882853406358</v>
      </c>
      <c r="Y1129" s="1">
        <v>5.8999999999999997E-2</v>
      </c>
      <c r="Z1129" s="1">
        <v>690</v>
      </c>
      <c r="AD1129" s="1">
        <v>0</v>
      </c>
      <c r="AE1129" s="1">
        <v>7.5</v>
      </c>
      <c r="AK1129" s="1">
        <v>720</v>
      </c>
      <c r="AL1129" s="1">
        <v>2200</v>
      </c>
    </row>
    <row r="1130" spans="4:38" x14ac:dyDescent="0.3">
      <c r="D1130" s="2">
        <f t="shared" si="69"/>
        <v>2010</v>
      </c>
      <c r="E1130" s="2">
        <f t="shared" si="70"/>
        <v>8</v>
      </c>
      <c r="F1130" s="3" t="s">
        <v>179</v>
      </c>
      <c r="G1130" s="4">
        <v>40399</v>
      </c>
      <c r="J1130" s="1" t="s">
        <v>188</v>
      </c>
      <c r="K1130" s="1"/>
      <c r="L1130" s="1" t="str">
        <f t="shared" si="71"/>
        <v xml:space="preserve">Ravalen </v>
      </c>
      <c r="M1130" s="1" t="s">
        <v>177</v>
      </c>
      <c r="P1130" s="1">
        <v>2.8</v>
      </c>
      <c r="Q1130" s="1">
        <v>19.5</v>
      </c>
      <c r="R1130" s="1">
        <v>8.1999999999999993</v>
      </c>
      <c r="S1130" s="1">
        <v>90</v>
      </c>
      <c r="W1130" s="1">
        <v>52</v>
      </c>
      <c r="X1130" s="1">
        <f t="shared" si="73"/>
        <v>1.337303866699824</v>
      </c>
      <c r="Y1130" s="1">
        <v>6.5000000000000002E-2</v>
      </c>
      <c r="Z1130" s="1">
        <v>5</v>
      </c>
      <c r="AB1130" s="1">
        <v>10.4</v>
      </c>
      <c r="AD1130" s="1">
        <v>0</v>
      </c>
      <c r="AE1130" s="1">
        <v>7.84</v>
      </c>
      <c r="AK1130" s="1">
        <v>41</v>
      </c>
      <c r="AL1130" s="1">
        <v>820</v>
      </c>
    </row>
    <row r="1131" spans="4:38" x14ac:dyDescent="0.3">
      <c r="D1131" s="2">
        <f t="shared" si="69"/>
        <v>2010</v>
      </c>
      <c r="E1131" s="2">
        <f t="shared" si="70"/>
        <v>8</v>
      </c>
      <c r="F1131" s="3" t="s">
        <v>179</v>
      </c>
      <c r="G1131" s="4">
        <v>40399</v>
      </c>
      <c r="J1131" s="1" t="s">
        <v>188</v>
      </c>
      <c r="K1131" s="1"/>
      <c r="L1131" s="1" t="str">
        <f t="shared" si="71"/>
        <v xml:space="preserve">Ravalen </v>
      </c>
      <c r="M1131" s="1" t="s">
        <v>184</v>
      </c>
      <c r="Q1131" s="1">
        <v>18.899999999999999</v>
      </c>
      <c r="R1131" s="1">
        <v>0.2</v>
      </c>
      <c r="S1131" s="1">
        <v>2.5</v>
      </c>
      <c r="W1131" s="1">
        <v>140</v>
      </c>
      <c r="X1131" s="1">
        <f t="shared" si="73"/>
        <v>1.4586689854177894</v>
      </c>
      <c r="Y1131" s="1">
        <v>6.0999999999999999E-2</v>
      </c>
      <c r="Z1131" s="1">
        <v>32</v>
      </c>
      <c r="AD1131" s="1">
        <v>0</v>
      </c>
      <c r="AE1131" s="1">
        <v>7.46</v>
      </c>
      <c r="AK1131" s="1">
        <v>64</v>
      </c>
      <c r="AL1131" s="1">
        <v>910</v>
      </c>
    </row>
    <row r="1132" spans="4:38" x14ac:dyDescent="0.3">
      <c r="D1132" s="2">
        <f t="shared" si="69"/>
        <v>2010</v>
      </c>
      <c r="E1132" s="2">
        <f t="shared" si="70"/>
        <v>8</v>
      </c>
      <c r="F1132" s="3" t="s">
        <v>179</v>
      </c>
      <c r="G1132" s="4">
        <v>40399</v>
      </c>
      <c r="J1132" s="1" t="s">
        <v>191</v>
      </c>
      <c r="K1132" s="1">
        <v>2</v>
      </c>
      <c r="L1132" s="1" t="str">
        <f t="shared" si="71"/>
        <v>Vallentunasjön 2</v>
      </c>
      <c r="M1132" s="1" t="s">
        <v>177</v>
      </c>
      <c r="Q1132" s="1">
        <v>20.9</v>
      </c>
      <c r="R1132" s="1">
        <v>9.5</v>
      </c>
      <c r="S1132" s="1">
        <v>106</v>
      </c>
    </row>
    <row r="1133" spans="4:38" x14ac:dyDescent="0.3">
      <c r="D1133" s="2">
        <f t="shared" si="69"/>
        <v>2010</v>
      </c>
      <c r="E1133" s="2">
        <f t="shared" si="70"/>
        <v>8</v>
      </c>
      <c r="F1133" s="3" t="s">
        <v>179</v>
      </c>
      <c r="G1133" s="4">
        <v>40399</v>
      </c>
      <c r="J1133" s="1" t="s">
        <v>191</v>
      </c>
      <c r="K1133" s="1">
        <v>2</v>
      </c>
      <c r="L1133" s="1" t="str">
        <f t="shared" si="71"/>
        <v>Vallentunasjön 2</v>
      </c>
      <c r="M1133" s="1" t="s">
        <v>184</v>
      </c>
      <c r="Q1133" s="1">
        <v>19.8</v>
      </c>
      <c r="R1133" s="1">
        <v>5.7</v>
      </c>
      <c r="S1133" s="1">
        <v>63</v>
      </c>
    </row>
    <row r="1134" spans="4:38" x14ac:dyDescent="0.3">
      <c r="D1134" s="2">
        <f t="shared" si="69"/>
        <v>2010</v>
      </c>
      <c r="E1134" s="2">
        <f t="shared" si="70"/>
        <v>8</v>
      </c>
      <c r="F1134" s="3" t="s">
        <v>179</v>
      </c>
      <c r="G1134" s="4">
        <v>40399</v>
      </c>
      <c r="J1134" s="1" t="s">
        <v>193</v>
      </c>
      <c r="K1134" s="1"/>
      <c r="L1134" s="1" t="str">
        <f t="shared" si="71"/>
        <v xml:space="preserve">Översjön </v>
      </c>
      <c r="M1134" s="1" t="s">
        <v>177</v>
      </c>
      <c r="P1134" s="1">
        <v>1.8</v>
      </c>
      <c r="Q1134" s="1">
        <v>19.899999999999999</v>
      </c>
      <c r="R1134" s="1">
        <v>8.6999999999999993</v>
      </c>
      <c r="S1134" s="1">
        <v>96</v>
      </c>
      <c r="W1134" s="1">
        <v>13</v>
      </c>
      <c r="X1134" s="1">
        <f t="shared" ref="X1134:X1158" si="74">W1134 * (1/((10^((0.0901821 + (2729.92 /(273.15 + Q1134)))-AE1134)+1)))</f>
        <v>0.43013529527113331</v>
      </c>
      <c r="Y1134" s="1">
        <v>4.7E-2</v>
      </c>
      <c r="Z1134" s="1">
        <v>1.5</v>
      </c>
      <c r="AB1134" s="1">
        <v>13.9</v>
      </c>
      <c r="AD1134" s="1">
        <v>0</v>
      </c>
      <c r="AE1134" s="1">
        <v>7.94</v>
      </c>
      <c r="AK1134" s="1">
        <v>40</v>
      </c>
      <c r="AL1134" s="1">
        <v>930</v>
      </c>
    </row>
    <row r="1135" spans="4:38" x14ac:dyDescent="0.3">
      <c r="D1135" s="2">
        <f t="shared" si="69"/>
        <v>2010</v>
      </c>
      <c r="E1135" s="2">
        <f t="shared" si="70"/>
        <v>8</v>
      </c>
      <c r="F1135" s="3" t="s">
        <v>179</v>
      </c>
      <c r="G1135" s="4">
        <v>40399</v>
      </c>
      <c r="J1135" s="1" t="s">
        <v>193</v>
      </c>
      <c r="K1135" s="1"/>
      <c r="L1135" s="1" t="str">
        <f t="shared" si="71"/>
        <v xml:space="preserve">Översjön </v>
      </c>
      <c r="M1135" s="1" t="s">
        <v>184</v>
      </c>
      <c r="Q1135" s="1">
        <v>19.5</v>
      </c>
      <c r="R1135" s="1">
        <v>1.2</v>
      </c>
      <c r="S1135" s="1">
        <v>13</v>
      </c>
      <c r="W1135" s="1">
        <v>17</v>
      </c>
      <c r="X1135" s="1">
        <f t="shared" si="74"/>
        <v>0.35708467008767442</v>
      </c>
      <c r="Y1135" s="1">
        <v>5.2999999999999999E-2</v>
      </c>
      <c r="Z1135" s="1">
        <v>3</v>
      </c>
      <c r="AD1135" s="1">
        <v>22</v>
      </c>
      <c r="AE1135" s="1">
        <v>7.75</v>
      </c>
      <c r="AK1135" s="1">
        <v>45</v>
      </c>
      <c r="AL1135" s="1">
        <v>970</v>
      </c>
    </row>
    <row r="1136" spans="4:38" x14ac:dyDescent="0.3">
      <c r="D1136" s="2">
        <f t="shared" si="69"/>
        <v>2010</v>
      </c>
      <c r="E1136" s="2">
        <f t="shared" si="70"/>
        <v>8</v>
      </c>
      <c r="F1136" s="3" t="s">
        <v>179</v>
      </c>
      <c r="G1136" s="4">
        <v>40400</v>
      </c>
      <c r="J1136" s="1" t="s">
        <v>187</v>
      </c>
      <c r="K1136" s="1"/>
      <c r="L1136" s="1" t="str">
        <f t="shared" si="71"/>
        <v xml:space="preserve">Oxundasjön </v>
      </c>
      <c r="M1136" s="1" t="s">
        <v>177</v>
      </c>
      <c r="P1136" s="1">
        <v>2.2999999999999998</v>
      </c>
      <c r="Q1136" s="1">
        <v>19.899999999999999</v>
      </c>
      <c r="R1136" s="1">
        <v>8.3000000000000007</v>
      </c>
      <c r="S1136" s="1">
        <v>91</v>
      </c>
      <c r="W1136" s="1">
        <v>5</v>
      </c>
      <c r="X1136" s="1">
        <f t="shared" si="74"/>
        <v>0.23053868315625306</v>
      </c>
      <c r="Y1136" s="1">
        <v>4.3999999999999997E-2</v>
      </c>
      <c r="Z1136" s="1">
        <v>36</v>
      </c>
      <c r="AB1136" s="1">
        <v>12.3</v>
      </c>
      <c r="AD1136" s="1">
        <v>0</v>
      </c>
      <c r="AE1136" s="1">
        <v>8.09</v>
      </c>
      <c r="AK1136" s="1">
        <v>77</v>
      </c>
      <c r="AL1136" s="1">
        <v>720</v>
      </c>
    </row>
    <row r="1137" spans="4:51" x14ac:dyDescent="0.3">
      <c r="D1137" s="2">
        <f t="shared" si="69"/>
        <v>2010</v>
      </c>
      <c r="E1137" s="2">
        <f t="shared" si="70"/>
        <v>8</v>
      </c>
      <c r="F1137" s="3" t="s">
        <v>179</v>
      </c>
      <c r="G1137" s="4">
        <v>40400</v>
      </c>
      <c r="J1137" s="1" t="s">
        <v>187</v>
      </c>
      <c r="K1137" s="1"/>
      <c r="L1137" s="1" t="str">
        <f t="shared" si="71"/>
        <v xml:space="preserve">Oxundasjön </v>
      </c>
      <c r="M1137" s="1" t="s">
        <v>184</v>
      </c>
      <c r="Q1137" s="1">
        <v>19.399999999999999</v>
      </c>
      <c r="R1137" s="1">
        <v>1</v>
      </c>
      <c r="S1137" s="1">
        <v>13</v>
      </c>
      <c r="W1137" s="1">
        <v>39</v>
      </c>
      <c r="X1137" s="1">
        <f t="shared" si="74"/>
        <v>0.87019733861454196</v>
      </c>
      <c r="Y1137" s="1">
        <v>4.2999999999999997E-2</v>
      </c>
      <c r="Z1137" s="1">
        <v>55</v>
      </c>
      <c r="AD1137" s="1">
        <v>12</v>
      </c>
      <c r="AE1137" s="1">
        <v>7.78</v>
      </c>
      <c r="AK1137" s="1">
        <v>98</v>
      </c>
      <c r="AL1137" s="1">
        <v>780</v>
      </c>
    </row>
    <row r="1138" spans="4:51" x14ac:dyDescent="0.3">
      <c r="D1138" s="2">
        <f t="shared" si="69"/>
        <v>2010</v>
      </c>
      <c r="E1138" s="2">
        <f t="shared" si="70"/>
        <v>8</v>
      </c>
      <c r="F1138" s="3" t="s">
        <v>179</v>
      </c>
      <c r="G1138" s="4">
        <v>40401</v>
      </c>
      <c r="J1138" s="1" t="s">
        <v>182</v>
      </c>
      <c r="K1138" s="1"/>
      <c r="L1138" s="1" t="str">
        <f t="shared" si="71"/>
        <v xml:space="preserve">Edssjön </v>
      </c>
      <c r="M1138" s="1" t="s">
        <v>177</v>
      </c>
      <c r="P1138" s="1">
        <v>1.7</v>
      </c>
      <c r="Q1138" s="1">
        <v>19.3</v>
      </c>
      <c r="R1138" s="1">
        <v>9.1999999999999993</v>
      </c>
      <c r="S1138" s="1">
        <v>99</v>
      </c>
      <c r="W1138" s="1">
        <v>5</v>
      </c>
      <c r="X1138" s="1">
        <f t="shared" si="74"/>
        <v>0.23098871022208822</v>
      </c>
      <c r="Y1138" s="1">
        <v>4.9000000000000002E-2</v>
      </c>
      <c r="Z1138" s="1">
        <v>58</v>
      </c>
      <c r="AB1138" s="1">
        <v>36.9</v>
      </c>
      <c r="AD1138" s="1">
        <v>0</v>
      </c>
      <c r="AE1138" s="1">
        <v>8.11</v>
      </c>
      <c r="AK1138" s="1">
        <v>120</v>
      </c>
      <c r="AL1138" s="1">
        <v>890</v>
      </c>
    </row>
    <row r="1139" spans="4:51" x14ac:dyDescent="0.3">
      <c r="D1139" s="2">
        <f t="shared" si="69"/>
        <v>2010</v>
      </c>
      <c r="E1139" s="2">
        <f t="shared" si="70"/>
        <v>8</v>
      </c>
      <c r="F1139" s="3" t="s">
        <v>179</v>
      </c>
      <c r="G1139" s="4">
        <v>40401</v>
      </c>
      <c r="J1139" s="1" t="s">
        <v>182</v>
      </c>
      <c r="K1139" s="1"/>
      <c r="L1139" s="1" t="str">
        <f t="shared" si="71"/>
        <v xml:space="preserve">Edssjön </v>
      </c>
      <c r="M1139" s="1" t="s">
        <v>184</v>
      </c>
      <c r="Q1139" s="1">
        <v>19.2</v>
      </c>
      <c r="R1139" s="1">
        <v>1.4</v>
      </c>
      <c r="S1139" s="1">
        <v>15</v>
      </c>
      <c r="W1139" s="1">
        <v>64</v>
      </c>
      <c r="X1139" s="1">
        <f t="shared" si="74"/>
        <v>1.1751701504347594</v>
      </c>
      <c r="Y1139" s="1">
        <v>5.0999999999999997E-2</v>
      </c>
      <c r="Z1139" s="1">
        <v>120</v>
      </c>
      <c r="AD1139" s="1">
        <v>24</v>
      </c>
      <c r="AE1139" s="1">
        <v>7.7</v>
      </c>
      <c r="AK1139" s="1">
        <v>200</v>
      </c>
      <c r="AL1139" s="1">
        <v>1000</v>
      </c>
    </row>
    <row r="1140" spans="4:51" x14ac:dyDescent="0.3">
      <c r="D1140" s="2">
        <f t="shared" si="69"/>
        <v>2010</v>
      </c>
      <c r="E1140" s="2">
        <f t="shared" si="70"/>
        <v>8</v>
      </c>
      <c r="F1140" s="3" t="s">
        <v>179</v>
      </c>
      <c r="G1140" s="4">
        <v>40401</v>
      </c>
      <c r="J1140" s="1" t="s">
        <v>183</v>
      </c>
      <c r="K1140" s="1"/>
      <c r="L1140" s="1" t="str">
        <f t="shared" si="71"/>
        <v xml:space="preserve">Fjäturen </v>
      </c>
      <c r="M1140" s="1" t="s">
        <v>177</v>
      </c>
      <c r="P1140" s="1">
        <v>3</v>
      </c>
      <c r="Q1140" s="1">
        <v>20.6</v>
      </c>
      <c r="R1140" s="1">
        <v>9</v>
      </c>
      <c r="S1140" s="1">
        <v>100</v>
      </c>
      <c r="W1140" s="1">
        <v>5</v>
      </c>
      <c r="X1140" s="1">
        <f t="shared" si="74"/>
        <v>0.15900396211077142</v>
      </c>
      <c r="Y1140" s="1">
        <v>4.4999999999999998E-2</v>
      </c>
      <c r="Z1140" s="1">
        <v>4</v>
      </c>
      <c r="AB1140" s="1">
        <v>5.73</v>
      </c>
      <c r="AD1140" s="1">
        <v>0</v>
      </c>
      <c r="AE1140" s="1">
        <v>7.9</v>
      </c>
      <c r="AK1140" s="1">
        <v>23</v>
      </c>
      <c r="AL1140" s="1">
        <v>580</v>
      </c>
    </row>
    <row r="1141" spans="4:51" x14ac:dyDescent="0.3">
      <c r="D1141" s="2">
        <f t="shared" si="69"/>
        <v>2010</v>
      </c>
      <c r="E1141" s="2">
        <f t="shared" si="70"/>
        <v>8</v>
      </c>
      <c r="F1141" s="3" t="s">
        <v>179</v>
      </c>
      <c r="G1141" s="4">
        <v>40401</v>
      </c>
      <c r="J1141" s="1" t="s">
        <v>183</v>
      </c>
      <c r="K1141" s="1"/>
      <c r="L1141" s="1" t="str">
        <f t="shared" si="71"/>
        <v xml:space="preserve">Fjäturen </v>
      </c>
      <c r="M1141" s="1" t="s">
        <v>184</v>
      </c>
      <c r="Q1141" s="1">
        <v>12.1</v>
      </c>
      <c r="R1141" s="1">
        <v>0.05</v>
      </c>
      <c r="S1141" s="1">
        <v>0.5</v>
      </c>
      <c r="W1141" s="1">
        <v>130</v>
      </c>
      <c r="X1141" s="1">
        <f t="shared" si="74"/>
        <v>0.77782741662674715</v>
      </c>
      <c r="Y1141" s="1">
        <v>0.06</v>
      </c>
      <c r="Z1141" s="1">
        <v>54</v>
      </c>
      <c r="AD1141" s="1">
        <v>0</v>
      </c>
      <c r="AE1141" s="1">
        <v>7.44</v>
      </c>
      <c r="AK1141" s="1">
        <v>100</v>
      </c>
      <c r="AL1141" s="1">
        <v>840</v>
      </c>
    </row>
    <row r="1142" spans="4:51" x14ac:dyDescent="0.3">
      <c r="D1142" s="2">
        <f t="shared" si="69"/>
        <v>2010</v>
      </c>
      <c r="E1142" s="2">
        <f t="shared" si="70"/>
        <v>8</v>
      </c>
      <c r="F1142" s="3" t="s">
        <v>179</v>
      </c>
      <c r="G1142" s="4">
        <v>40401</v>
      </c>
      <c r="J1142" s="1" t="s">
        <v>185</v>
      </c>
      <c r="K1142" s="1"/>
      <c r="L1142" s="1" t="str">
        <f t="shared" si="71"/>
        <v xml:space="preserve">Gullsjön </v>
      </c>
      <c r="M1142" s="1" t="s">
        <v>177</v>
      </c>
      <c r="P1142" s="1">
        <v>2.1</v>
      </c>
      <c r="Q1142" s="1">
        <v>20.9</v>
      </c>
      <c r="R1142" s="1">
        <v>5</v>
      </c>
      <c r="S1142" s="1">
        <v>56</v>
      </c>
      <c r="W1142" s="1">
        <v>5</v>
      </c>
      <c r="X1142" s="1">
        <f t="shared" si="74"/>
        <v>2.4704354134814116E-2</v>
      </c>
      <c r="Y1142" s="1">
        <v>0.115</v>
      </c>
      <c r="Z1142" s="1">
        <v>6</v>
      </c>
      <c r="AB1142" s="1">
        <v>4.09</v>
      </c>
      <c r="AD1142" s="1">
        <v>0</v>
      </c>
      <c r="AE1142" s="1">
        <v>7.07</v>
      </c>
      <c r="AK1142" s="1">
        <v>20</v>
      </c>
      <c r="AL1142" s="1">
        <v>650</v>
      </c>
    </row>
    <row r="1143" spans="4:51" x14ac:dyDescent="0.3">
      <c r="D1143" s="2">
        <f t="shared" si="69"/>
        <v>2010</v>
      </c>
      <c r="E1143" s="2">
        <f t="shared" si="70"/>
        <v>8</v>
      </c>
      <c r="F1143" s="3" t="s">
        <v>179</v>
      </c>
      <c r="G1143" s="4">
        <v>40401</v>
      </c>
      <c r="J1143" s="1" t="s">
        <v>185</v>
      </c>
      <c r="K1143" s="1"/>
      <c r="L1143" s="1" t="str">
        <f t="shared" si="71"/>
        <v xml:space="preserve">Gullsjön </v>
      </c>
      <c r="M1143" s="1" t="s">
        <v>184</v>
      </c>
      <c r="Q1143" s="1">
        <v>18.100000000000001</v>
      </c>
      <c r="R1143" s="1">
        <v>0.5</v>
      </c>
      <c r="S1143" s="1">
        <v>5.0999999999999996</v>
      </c>
      <c r="W1143" s="1">
        <v>5</v>
      </c>
      <c r="X1143" s="1">
        <f t="shared" si="74"/>
        <v>1.7544679258390827E-2</v>
      </c>
      <c r="Y1143" s="1">
        <v>0.129</v>
      </c>
      <c r="Z1143" s="1">
        <v>4</v>
      </c>
      <c r="AD1143" s="1">
        <v>6</v>
      </c>
      <c r="AE1143" s="1">
        <v>7.01</v>
      </c>
      <c r="AK1143" s="1">
        <v>35</v>
      </c>
      <c r="AL1143" s="1">
        <v>720</v>
      </c>
    </row>
    <row r="1144" spans="4:51" x14ac:dyDescent="0.3">
      <c r="D1144" s="2">
        <f t="shared" si="69"/>
        <v>2010</v>
      </c>
      <c r="E1144" s="2">
        <f t="shared" si="70"/>
        <v>8</v>
      </c>
      <c r="F1144" s="3" t="s">
        <v>179</v>
      </c>
      <c r="G1144" s="4">
        <v>40401</v>
      </c>
      <c r="J1144" s="1" t="s">
        <v>189</v>
      </c>
      <c r="K1144" s="1"/>
      <c r="L1144" s="1" t="str">
        <f t="shared" si="71"/>
        <v xml:space="preserve">Rösjön </v>
      </c>
      <c r="M1144" s="1" t="s">
        <v>177</v>
      </c>
      <c r="P1144" s="1">
        <v>3.1</v>
      </c>
      <c r="Q1144" s="1">
        <v>20.2</v>
      </c>
      <c r="R1144" s="1">
        <v>9.8000000000000007</v>
      </c>
      <c r="S1144" s="1">
        <v>108</v>
      </c>
      <c r="W1144" s="1">
        <v>5</v>
      </c>
      <c r="X1144" s="1">
        <f t="shared" si="74"/>
        <v>0.24595975420753441</v>
      </c>
      <c r="Y1144" s="1">
        <v>2.7E-2</v>
      </c>
      <c r="Z1144" s="1">
        <v>1.5</v>
      </c>
      <c r="AB1144" s="1">
        <v>11.5</v>
      </c>
      <c r="AD1144" s="1">
        <v>0</v>
      </c>
      <c r="AE1144" s="1">
        <v>8.11</v>
      </c>
      <c r="AK1144" s="1">
        <v>25</v>
      </c>
      <c r="AL1144" s="1">
        <v>590</v>
      </c>
    </row>
    <row r="1145" spans="4:51" x14ac:dyDescent="0.3">
      <c r="D1145" s="2">
        <f t="shared" si="69"/>
        <v>2010</v>
      </c>
      <c r="E1145" s="2">
        <f t="shared" si="70"/>
        <v>8</v>
      </c>
      <c r="F1145" s="3" t="s">
        <v>179</v>
      </c>
      <c r="G1145" s="4">
        <v>40401</v>
      </c>
      <c r="J1145" s="1" t="s">
        <v>189</v>
      </c>
      <c r="K1145" s="1"/>
      <c r="L1145" s="1" t="str">
        <f t="shared" si="71"/>
        <v xml:space="preserve">Rösjön </v>
      </c>
      <c r="M1145" s="1" t="s">
        <v>184</v>
      </c>
      <c r="Q1145" s="1">
        <v>18.5</v>
      </c>
      <c r="R1145" s="1">
        <v>0.15</v>
      </c>
      <c r="S1145" s="1">
        <v>1.7</v>
      </c>
      <c r="W1145" s="1">
        <v>260</v>
      </c>
      <c r="X1145" s="1">
        <f t="shared" si="74"/>
        <v>2.630956227964286</v>
      </c>
      <c r="Y1145" s="1">
        <v>2.4E-2</v>
      </c>
      <c r="Z1145" s="1">
        <v>100</v>
      </c>
      <c r="AD1145" s="1">
        <v>0</v>
      </c>
      <c r="AE1145" s="1">
        <v>7.46</v>
      </c>
      <c r="AK1145" s="1">
        <v>210</v>
      </c>
      <c r="AL1145" s="1">
        <v>890</v>
      </c>
    </row>
    <row r="1146" spans="4:51" x14ac:dyDescent="0.3">
      <c r="D1146" s="2">
        <f t="shared" si="69"/>
        <v>2010</v>
      </c>
      <c r="E1146" s="2">
        <f t="shared" si="70"/>
        <v>8</v>
      </c>
      <c r="F1146" s="3" t="s">
        <v>179</v>
      </c>
      <c r="G1146" s="4">
        <v>40401</v>
      </c>
      <c r="J1146" s="1" t="s">
        <v>190</v>
      </c>
      <c r="K1146" s="1"/>
      <c r="L1146" s="1" t="str">
        <f t="shared" si="71"/>
        <v xml:space="preserve">Snuggan </v>
      </c>
      <c r="M1146" s="1" t="s">
        <v>177</v>
      </c>
      <c r="P1146" s="1">
        <v>1</v>
      </c>
      <c r="Q1146" s="1">
        <v>19.5</v>
      </c>
      <c r="R1146" s="1">
        <v>7.7</v>
      </c>
      <c r="S1146" s="1">
        <v>84</v>
      </c>
      <c r="V1146" s="1">
        <v>4.26573913043478E-2</v>
      </c>
      <c r="W1146" s="1">
        <v>120</v>
      </c>
      <c r="X1146" s="1">
        <f t="shared" si="74"/>
        <v>3.0946464141395704E-2</v>
      </c>
      <c r="Y1146" s="1">
        <v>0.48</v>
      </c>
      <c r="Z1146" s="1">
        <v>5</v>
      </c>
      <c r="AB1146" s="1">
        <v>35.4</v>
      </c>
      <c r="AD1146" s="1">
        <v>15</v>
      </c>
      <c r="AE1146" s="1">
        <v>5.83</v>
      </c>
      <c r="AI1146" s="1">
        <v>28.4</v>
      </c>
      <c r="AK1146" s="1">
        <v>28</v>
      </c>
      <c r="AL1146" s="1">
        <v>1000</v>
      </c>
      <c r="AR1146" s="1">
        <v>3.69</v>
      </c>
      <c r="AT1146" s="1">
        <v>0.76200000000000001</v>
      </c>
      <c r="AU1146" s="1">
        <v>0.86199999999999999</v>
      </c>
      <c r="AV1146" s="1">
        <v>6.4</v>
      </c>
      <c r="AW1146" s="1">
        <v>5.05</v>
      </c>
      <c r="AX1146" s="1">
        <v>4.2</v>
      </c>
    </row>
    <row r="1147" spans="4:51" x14ac:dyDescent="0.3">
      <c r="D1147" s="2">
        <f t="shared" si="69"/>
        <v>2010</v>
      </c>
      <c r="E1147" s="2">
        <f t="shared" si="70"/>
        <v>8</v>
      </c>
      <c r="F1147" s="3" t="s">
        <v>179</v>
      </c>
      <c r="G1147" s="4">
        <v>40401</v>
      </c>
      <c r="J1147" s="1" t="s">
        <v>190</v>
      </c>
      <c r="K1147" s="1"/>
      <c r="L1147" s="1" t="str">
        <f t="shared" si="71"/>
        <v xml:space="preserve">Snuggan </v>
      </c>
      <c r="M1147" s="1" t="s">
        <v>184</v>
      </c>
      <c r="Q1147" s="1">
        <v>12.7</v>
      </c>
      <c r="R1147" s="1">
        <v>0.05</v>
      </c>
      <c r="S1147" s="1">
        <v>0.5</v>
      </c>
      <c r="V1147" s="1">
        <v>0.13572806324110701</v>
      </c>
      <c r="W1147" s="1">
        <v>540</v>
      </c>
      <c r="X1147" s="1">
        <f t="shared" si="74"/>
        <v>0.11013856384684663</v>
      </c>
      <c r="Y1147" s="1">
        <v>0.56499999999999995</v>
      </c>
      <c r="Z1147" s="1">
        <v>6</v>
      </c>
      <c r="AD1147" s="1">
        <v>6</v>
      </c>
      <c r="AE1147" s="1">
        <v>5.95</v>
      </c>
      <c r="AI1147" s="1">
        <v>30.2</v>
      </c>
      <c r="AK1147" s="1">
        <v>40</v>
      </c>
      <c r="AL1147" s="1">
        <v>1300</v>
      </c>
    </row>
    <row r="1148" spans="4:51" x14ac:dyDescent="0.3">
      <c r="D1148" s="2">
        <f t="shared" si="69"/>
        <v>2010</v>
      </c>
      <c r="E1148" s="2">
        <f t="shared" si="70"/>
        <v>8</v>
      </c>
      <c r="F1148" s="3" t="s">
        <v>179</v>
      </c>
      <c r="G1148" s="4">
        <v>40401</v>
      </c>
      <c r="J1148" s="1" t="s">
        <v>192</v>
      </c>
      <c r="K1148" s="1"/>
      <c r="L1148" s="1" t="str">
        <f t="shared" si="71"/>
        <v xml:space="preserve">Väsjön </v>
      </c>
      <c r="M1148" s="1" t="s">
        <v>177</v>
      </c>
      <c r="P1148" s="1">
        <v>2.4</v>
      </c>
      <c r="Q1148" s="1">
        <v>20.399999999999999</v>
      </c>
      <c r="R1148" s="1">
        <v>7.3</v>
      </c>
      <c r="S1148" s="1">
        <v>80</v>
      </c>
      <c r="W1148" s="1">
        <v>5</v>
      </c>
      <c r="X1148" s="1">
        <f t="shared" si="74"/>
        <v>0.171381682519571</v>
      </c>
      <c r="Y1148" s="1">
        <v>5.8000000000000003E-2</v>
      </c>
      <c r="Z1148" s="1">
        <v>1.5</v>
      </c>
      <c r="AB1148" s="1">
        <v>7.58</v>
      </c>
      <c r="AD1148" s="1">
        <v>0</v>
      </c>
      <c r="AE1148" s="1">
        <v>7.94</v>
      </c>
      <c r="AK1148" s="1">
        <v>35</v>
      </c>
      <c r="AL1148" s="1">
        <v>800</v>
      </c>
    </row>
    <row r="1149" spans="4:51" x14ac:dyDescent="0.3">
      <c r="D1149" s="2">
        <f t="shared" si="69"/>
        <v>2010</v>
      </c>
      <c r="E1149" s="2">
        <f t="shared" si="70"/>
        <v>8</v>
      </c>
      <c r="F1149" s="3" t="s">
        <v>179</v>
      </c>
      <c r="G1149" s="4">
        <v>40401</v>
      </c>
      <c r="J1149" s="1" t="s">
        <v>192</v>
      </c>
      <c r="K1149" s="1"/>
      <c r="L1149" s="1" t="str">
        <f t="shared" si="71"/>
        <v xml:space="preserve">Väsjön </v>
      </c>
      <c r="M1149" s="1" t="s">
        <v>184</v>
      </c>
      <c r="Q1149" s="1">
        <v>19.8</v>
      </c>
      <c r="R1149" s="1">
        <v>6.1</v>
      </c>
      <c r="S1149" s="1">
        <v>66</v>
      </c>
      <c r="W1149" s="1">
        <v>5</v>
      </c>
      <c r="X1149" s="1">
        <f t="shared" si="74"/>
        <v>9.8053507764198689E-2</v>
      </c>
      <c r="Y1149" s="1">
        <v>6.0999999999999999E-2</v>
      </c>
      <c r="Z1149" s="1">
        <v>1.5</v>
      </c>
      <c r="AD1149" s="1">
        <v>0</v>
      </c>
      <c r="AE1149" s="1">
        <v>7.71</v>
      </c>
      <c r="AK1149" s="1">
        <v>41</v>
      </c>
      <c r="AL1149" s="1">
        <v>770</v>
      </c>
    </row>
    <row r="1150" spans="4:51" x14ac:dyDescent="0.3">
      <c r="D1150" s="2">
        <f t="shared" si="69"/>
        <v>2010</v>
      </c>
      <c r="E1150" s="2">
        <f t="shared" si="70"/>
        <v>8</v>
      </c>
      <c r="F1150" s="3" t="s">
        <v>179</v>
      </c>
      <c r="G1150" s="4">
        <v>40407</v>
      </c>
      <c r="H1150" s="1">
        <v>6606238</v>
      </c>
      <c r="I1150" s="1">
        <v>661152</v>
      </c>
      <c r="J1150" s="5" t="s">
        <v>176</v>
      </c>
      <c r="K1150" s="1"/>
      <c r="L1150" s="1" t="str">
        <f t="shared" si="71"/>
        <v xml:space="preserve">Oxundaån </v>
      </c>
      <c r="M1150" s="1" t="s">
        <v>177</v>
      </c>
      <c r="N1150" s="1">
        <v>0.5</v>
      </c>
      <c r="O1150" s="1">
        <v>0.5</v>
      </c>
      <c r="Q1150" s="1">
        <v>21.5</v>
      </c>
      <c r="T1150" s="1">
        <v>45.9</v>
      </c>
      <c r="V1150" s="1">
        <v>2.3940000000000001</v>
      </c>
      <c r="W1150" s="1">
        <v>94</v>
      </c>
      <c r="X1150" s="1">
        <f t="shared" si="74"/>
        <v>1.9015673593061784</v>
      </c>
      <c r="Y1150" s="1">
        <v>3.6999999999999998E-2</v>
      </c>
      <c r="Z1150" s="1">
        <v>51</v>
      </c>
      <c r="AA1150" s="1">
        <v>3.1</v>
      </c>
      <c r="AD1150" s="1">
        <v>8</v>
      </c>
      <c r="AE1150" s="1">
        <v>7.67</v>
      </c>
      <c r="AG1150" s="1">
        <v>3.8</v>
      </c>
      <c r="AI1150" s="1">
        <v>10.9</v>
      </c>
      <c r="AK1150" s="1">
        <v>84</v>
      </c>
      <c r="AL1150" s="1">
        <v>739</v>
      </c>
      <c r="AR1150" s="1">
        <v>48.879999999999995</v>
      </c>
      <c r="AT1150" s="1">
        <v>5.2394000000000007</v>
      </c>
      <c r="AU1150" s="1">
        <v>8.5425999999999984</v>
      </c>
      <c r="AV1150" s="1">
        <v>38.782300000000006</v>
      </c>
      <c r="AW1150" s="1">
        <v>24.316400000000002</v>
      </c>
      <c r="AX1150" s="1">
        <v>48.338299999999997</v>
      </c>
      <c r="AY1150" s="1">
        <v>0.24</v>
      </c>
    </row>
    <row r="1151" spans="4:51" x14ac:dyDescent="0.3">
      <c r="D1151" s="2">
        <f t="shared" si="69"/>
        <v>2010</v>
      </c>
      <c r="E1151" s="2">
        <f t="shared" si="70"/>
        <v>8</v>
      </c>
      <c r="F1151" s="3" t="s">
        <v>179</v>
      </c>
      <c r="G1151" s="4">
        <v>40408</v>
      </c>
      <c r="J1151" s="1" t="s">
        <v>181</v>
      </c>
      <c r="K1151" s="1"/>
      <c r="L1151" s="1" t="str">
        <f t="shared" si="71"/>
        <v xml:space="preserve">Fysingen </v>
      </c>
      <c r="M1151" s="1" t="s">
        <v>177</v>
      </c>
      <c r="P1151" s="1">
        <v>1.1000000000000001</v>
      </c>
      <c r="Q1151" s="1">
        <v>21.2</v>
      </c>
      <c r="V1151" s="1">
        <v>2.19</v>
      </c>
      <c r="W1151" s="1">
        <v>18</v>
      </c>
      <c r="X1151" s="1">
        <f t="shared" si="74"/>
        <v>0.79623309808970522</v>
      </c>
      <c r="Y1151" s="1">
        <v>3.7999999999999999E-2</v>
      </c>
      <c r="Z1151" s="1">
        <v>4</v>
      </c>
      <c r="AC1151" s="1">
        <v>48.4</v>
      </c>
      <c r="AD1151" s="1">
        <v>9</v>
      </c>
      <c r="AE1151" s="1">
        <v>8.0299999999999994</v>
      </c>
      <c r="AI1151" s="1">
        <v>10.1</v>
      </c>
      <c r="AK1151" s="1">
        <v>27</v>
      </c>
      <c r="AL1151" s="1">
        <v>717</v>
      </c>
      <c r="AV1151" s="1">
        <v>35.662700000000001</v>
      </c>
      <c r="AX1151" s="1">
        <v>82.405749999999998</v>
      </c>
      <c r="AY1151" s="1">
        <v>2.21</v>
      </c>
    </row>
    <row r="1152" spans="4:51" x14ac:dyDescent="0.3">
      <c r="D1152" s="2">
        <f t="shared" si="69"/>
        <v>2010</v>
      </c>
      <c r="E1152" s="2">
        <f t="shared" si="70"/>
        <v>9</v>
      </c>
      <c r="F1152" s="3"/>
      <c r="G1152" s="4">
        <v>40436</v>
      </c>
      <c r="H1152" s="1">
        <v>6606238</v>
      </c>
      <c r="I1152" s="1">
        <v>661152</v>
      </c>
      <c r="J1152" s="5" t="s">
        <v>176</v>
      </c>
      <c r="K1152" s="1"/>
      <c r="L1152" s="1" t="str">
        <f t="shared" si="71"/>
        <v xml:space="preserve">Oxundaån </v>
      </c>
      <c r="M1152" s="1" t="s">
        <v>177</v>
      </c>
      <c r="N1152" s="1">
        <v>0.5</v>
      </c>
      <c r="O1152" s="1">
        <v>0.5</v>
      </c>
      <c r="Q1152" s="1">
        <v>16</v>
      </c>
      <c r="T1152" s="1">
        <v>45.9</v>
      </c>
      <c r="V1152" s="1">
        <v>2.411</v>
      </c>
      <c r="W1152" s="1">
        <v>45</v>
      </c>
      <c r="X1152" s="1">
        <f t="shared" si="74"/>
        <v>0.65385890156382631</v>
      </c>
      <c r="Y1152" s="1">
        <v>4.5999999999999999E-2</v>
      </c>
      <c r="Z1152" s="1">
        <v>57</v>
      </c>
      <c r="AA1152" s="1">
        <v>1.4</v>
      </c>
      <c r="AD1152" s="1">
        <v>15</v>
      </c>
      <c r="AE1152" s="1">
        <v>7.7</v>
      </c>
      <c r="AG1152" s="1">
        <v>1.3</v>
      </c>
      <c r="AI1152" s="1">
        <v>9.4</v>
      </c>
      <c r="AK1152" s="1">
        <v>74</v>
      </c>
      <c r="AL1152" s="1">
        <v>757</v>
      </c>
      <c r="AR1152" s="1">
        <v>48.5</v>
      </c>
      <c r="AT1152" s="1">
        <v>5.4349000000000007</v>
      </c>
      <c r="AU1152" s="1">
        <v>8.7724999999999991</v>
      </c>
      <c r="AV1152" s="1">
        <v>38.179650000000002</v>
      </c>
      <c r="AW1152" s="1">
        <v>25.348700000000001</v>
      </c>
      <c r="AX1152" s="1">
        <v>46.368249999999996</v>
      </c>
      <c r="AY1152" s="1">
        <v>0.2</v>
      </c>
    </row>
    <row r="1153" spans="4:51" x14ac:dyDescent="0.3">
      <c r="D1153" s="2">
        <f t="shared" si="69"/>
        <v>2010</v>
      </c>
      <c r="E1153" s="2">
        <f t="shared" si="70"/>
        <v>10</v>
      </c>
      <c r="F1153" s="3" t="s">
        <v>180</v>
      </c>
      <c r="G1153" s="4">
        <v>40464</v>
      </c>
      <c r="H1153" s="1">
        <v>6606238</v>
      </c>
      <c r="I1153" s="1">
        <v>661152</v>
      </c>
      <c r="J1153" s="5" t="s">
        <v>176</v>
      </c>
      <c r="K1153" s="1"/>
      <c r="L1153" s="1" t="str">
        <f t="shared" si="71"/>
        <v xml:space="preserve">Oxundaån </v>
      </c>
      <c r="M1153" s="1" t="s">
        <v>177</v>
      </c>
      <c r="N1153" s="1">
        <v>0.5</v>
      </c>
      <c r="O1153" s="1">
        <v>0.5</v>
      </c>
      <c r="Q1153" s="1">
        <v>9</v>
      </c>
      <c r="T1153" s="1">
        <v>46</v>
      </c>
      <c r="V1153" s="1">
        <v>2.44</v>
      </c>
      <c r="W1153" s="1">
        <v>59</v>
      </c>
      <c r="X1153" s="1">
        <f t="shared" si="74"/>
        <v>0.61756015156251254</v>
      </c>
      <c r="Y1153" s="1">
        <v>0.04</v>
      </c>
      <c r="Z1153" s="1">
        <v>45</v>
      </c>
      <c r="AA1153" s="1">
        <v>1.3</v>
      </c>
      <c r="AD1153" s="1">
        <v>38</v>
      </c>
      <c r="AE1153" s="1">
        <v>7.79</v>
      </c>
      <c r="AG1153" s="1">
        <v>1.1000000000000001</v>
      </c>
      <c r="AI1153" s="1">
        <v>10.3</v>
      </c>
      <c r="AK1153" s="1">
        <v>63</v>
      </c>
      <c r="AL1153" s="1">
        <v>743</v>
      </c>
      <c r="AR1153" s="1">
        <v>49.58</v>
      </c>
      <c r="AT1153" s="1">
        <v>5.3958000000000004</v>
      </c>
      <c r="AU1153" s="1">
        <v>9.0145</v>
      </c>
      <c r="AV1153" s="1">
        <v>39.384950000000003</v>
      </c>
      <c r="AW1153" s="1">
        <v>26.63334</v>
      </c>
      <c r="AX1153" s="1">
        <v>45.311149999999998</v>
      </c>
      <c r="AY1153" s="1">
        <v>0.63</v>
      </c>
    </row>
    <row r="1154" spans="4:51" x14ac:dyDescent="0.3">
      <c r="D1154" s="2">
        <f t="shared" ref="D1154:D1217" si="75">YEAR(G1154)</f>
        <v>2010</v>
      </c>
      <c r="E1154" s="2">
        <f t="shared" ref="E1154:E1217" si="76">MONTH(G1154)</f>
        <v>10</v>
      </c>
      <c r="F1154" s="3" t="s">
        <v>180</v>
      </c>
      <c r="G1154" s="4">
        <v>40471</v>
      </c>
      <c r="J1154" s="1" t="s">
        <v>181</v>
      </c>
      <c r="K1154" s="1"/>
      <c r="L1154" s="1" t="str">
        <f t="shared" ref="L1154:L1217" si="77">CONCATENATE(J1154," ",K1154)</f>
        <v xml:space="preserve">Fysingen </v>
      </c>
      <c r="M1154" s="1" t="s">
        <v>177</v>
      </c>
      <c r="P1154" s="1">
        <v>1.6</v>
      </c>
      <c r="Q1154" s="1">
        <v>5.8</v>
      </c>
      <c r="V1154" s="1">
        <v>2.2170000000000001</v>
      </c>
      <c r="W1154" s="1">
        <v>19</v>
      </c>
      <c r="X1154" s="1">
        <f t="shared" si="74"/>
        <v>0.27908192317375158</v>
      </c>
      <c r="Y1154" s="1">
        <v>4.4999999999999998E-2</v>
      </c>
      <c r="Z1154" s="1">
        <v>4</v>
      </c>
      <c r="AB1154" s="1">
        <v>11.2</v>
      </c>
      <c r="AC1154" s="1">
        <v>49.2</v>
      </c>
      <c r="AD1154" s="1">
        <v>106</v>
      </c>
      <c r="AE1154" s="1">
        <v>8.0500000000000007</v>
      </c>
      <c r="AI1154" s="1">
        <v>10.9</v>
      </c>
      <c r="AK1154" s="1">
        <v>20</v>
      </c>
      <c r="AL1154" s="1">
        <v>811</v>
      </c>
      <c r="AV1154" s="1">
        <v>35.48545</v>
      </c>
      <c r="AX1154" s="1">
        <v>84.231649999999988</v>
      </c>
      <c r="AY1154" s="1">
        <v>0.14000000000000001</v>
      </c>
    </row>
    <row r="1155" spans="4:51" x14ac:dyDescent="0.3">
      <c r="D1155" s="2">
        <f t="shared" si="75"/>
        <v>2010</v>
      </c>
      <c r="E1155" s="2">
        <f t="shared" si="76"/>
        <v>11</v>
      </c>
      <c r="F1155" s="3" t="s">
        <v>180</v>
      </c>
      <c r="G1155" s="4">
        <v>40499</v>
      </c>
      <c r="H1155" s="1">
        <v>6606238</v>
      </c>
      <c r="I1155" s="1">
        <v>661152</v>
      </c>
      <c r="J1155" s="5" t="s">
        <v>176</v>
      </c>
      <c r="K1155" s="1"/>
      <c r="L1155" s="1" t="str">
        <f t="shared" si="77"/>
        <v xml:space="preserve">Oxundaån </v>
      </c>
      <c r="M1155" s="1" t="s">
        <v>177</v>
      </c>
      <c r="N1155" s="1">
        <v>0.5</v>
      </c>
      <c r="O1155" s="1">
        <v>0.5</v>
      </c>
      <c r="Q1155" s="1">
        <v>2.5</v>
      </c>
      <c r="T1155" s="1">
        <v>46.6</v>
      </c>
      <c r="V1155" s="1">
        <v>2.4350000000000001</v>
      </c>
      <c r="W1155" s="1">
        <v>31</v>
      </c>
      <c r="X1155" s="1">
        <f t="shared" si="74"/>
        <v>0.22616538876170025</v>
      </c>
      <c r="Y1155" s="1">
        <v>4.3999999999999997E-2</v>
      </c>
      <c r="Z1155" s="1">
        <v>30</v>
      </c>
      <c r="AA1155" s="1">
        <v>2.1</v>
      </c>
      <c r="AD1155" s="1">
        <v>131</v>
      </c>
      <c r="AE1155" s="1">
        <v>7.86</v>
      </c>
      <c r="AG1155" s="1">
        <v>2.1</v>
      </c>
      <c r="AI1155" s="1">
        <v>11.3</v>
      </c>
      <c r="AK1155" s="1">
        <v>52</v>
      </c>
      <c r="AL1155" s="1">
        <v>816</v>
      </c>
      <c r="AR1155" s="1">
        <v>53.32</v>
      </c>
      <c r="AT1155" s="1">
        <v>5.8258999999999999</v>
      </c>
      <c r="AU1155" s="1">
        <v>10.0914</v>
      </c>
      <c r="AV1155" s="1">
        <v>38.427800000000005</v>
      </c>
      <c r="AW1155" s="1">
        <v>27.160959999999999</v>
      </c>
      <c r="AX1155" s="1">
        <v>55.353599999999993</v>
      </c>
      <c r="AY1155" s="1">
        <v>0.65</v>
      </c>
    </row>
    <row r="1156" spans="4:51" x14ac:dyDescent="0.3">
      <c r="D1156" s="2">
        <f t="shared" si="75"/>
        <v>2010</v>
      </c>
      <c r="E1156" s="2">
        <f t="shared" si="76"/>
        <v>12</v>
      </c>
      <c r="F1156" s="3" t="s">
        <v>175</v>
      </c>
      <c r="G1156" s="4">
        <v>40527</v>
      </c>
      <c r="H1156" s="1">
        <v>6606238</v>
      </c>
      <c r="I1156" s="1">
        <v>661152</v>
      </c>
      <c r="J1156" s="5" t="s">
        <v>176</v>
      </c>
      <c r="K1156" s="1"/>
      <c r="L1156" s="1" t="str">
        <f t="shared" si="77"/>
        <v xml:space="preserve">Oxundaån </v>
      </c>
      <c r="M1156" s="1" t="s">
        <v>177</v>
      </c>
      <c r="N1156" s="1">
        <v>0.5</v>
      </c>
      <c r="O1156" s="1">
        <v>0.5</v>
      </c>
      <c r="Q1156" s="1">
        <v>0.5</v>
      </c>
      <c r="T1156" s="1">
        <v>50.6</v>
      </c>
      <c r="V1156" s="1">
        <v>2.54</v>
      </c>
      <c r="W1156" s="1">
        <v>75</v>
      </c>
      <c r="X1156" s="1">
        <f t="shared" si="74"/>
        <v>0.22265541017419738</v>
      </c>
      <c r="Y1156" s="1">
        <v>6.4000000000000001E-2</v>
      </c>
      <c r="Z1156" s="1">
        <v>27</v>
      </c>
      <c r="AA1156" s="1">
        <v>3.2</v>
      </c>
      <c r="AD1156" s="1">
        <v>382</v>
      </c>
      <c r="AE1156" s="1">
        <v>7.54</v>
      </c>
      <c r="AG1156" s="1">
        <v>3.1</v>
      </c>
      <c r="AI1156" s="1">
        <v>11.9</v>
      </c>
      <c r="AK1156" s="1">
        <v>44</v>
      </c>
      <c r="AL1156" s="1">
        <v>1133</v>
      </c>
      <c r="AR1156" s="1">
        <v>56.8</v>
      </c>
      <c r="AT1156" s="1">
        <v>6.0213999999999999</v>
      </c>
      <c r="AU1156" s="1">
        <v>10.526999999999999</v>
      </c>
      <c r="AV1156" s="1">
        <v>40.519350000000003</v>
      </c>
      <c r="AW1156" s="1">
        <v>27.069199999999999</v>
      </c>
      <c r="AX1156" s="1">
        <v>64.915549999999996</v>
      </c>
      <c r="AY1156" s="1">
        <v>1.77</v>
      </c>
    </row>
    <row r="1157" spans="4:51" x14ac:dyDescent="0.3">
      <c r="D1157" s="2">
        <f t="shared" si="75"/>
        <v>2011</v>
      </c>
      <c r="E1157" s="2">
        <f t="shared" si="76"/>
        <v>1</v>
      </c>
      <c r="F1157" s="3" t="s">
        <v>175</v>
      </c>
      <c r="G1157" s="4">
        <v>40562</v>
      </c>
      <c r="H1157" s="1">
        <v>6606238</v>
      </c>
      <c r="I1157" s="1">
        <v>661152</v>
      </c>
      <c r="J1157" s="5" t="s">
        <v>176</v>
      </c>
      <c r="K1157" s="1"/>
      <c r="L1157" s="1" t="str">
        <f t="shared" si="77"/>
        <v xml:space="preserve">Oxundaån </v>
      </c>
      <c r="M1157" s="1" t="s">
        <v>177</v>
      </c>
      <c r="N1157" s="1">
        <v>0.5</v>
      </c>
      <c r="O1157" s="1">
        <v>0.5</v>
      </c>
      <c r="Q1157" s="1">
        <v>1.5</v>
      </c>
      <c r="T1157" s="1">
        <v>50.8</v>
      </c>
      <c r="V1157" s="1">
        <v>2.5979999999999999</v>
      </c>
      <c r="W1157" s="1">
        <v>75</v>
      </c>
      <c r="X1157" s="1">
        <f t="shared" si="74"/>
        <v>0.19683648717488397</v>
      </c>
      <c r="Y1157" s="1">
        <v>5.0999999999999997E-2</v>
      </c>
      <c r="Z1157" s="1">
        <v>34</v>
      </c>
      <c r="AA1157" s="1">
        <v>2.2999999999999998</v>
      </c>
      <c r="AD1157" s="1">
        <v>551</v>
      </c>
      <c r="AE1157" s="1">
        <v>7.45</v>
      </c>
      <c r="AG1157" s="1">
        <v>1.2</v>
      </c>
      <c r="AI1157" s="1">
        <v>11.7</v>
      </c>
      <c r="AK1157" s="1">
        <v>47</v>
      </c>
      <c r="AL1157" s="1">
        <v>1245</v>
      </c>
      <c r="AR1157" s="1">
        <v>60.339999999999996</v>
      </c>
      <c r="AS1157" s="1">
        <v>0.19</v>
      </c>
      <c r="AT1157" s="1">
        <v>6.0605000000000002</v>
      </c>
      <c r="AU1157" s="1">
        <v>10.2608</v>
      </c>
      <c r="AV1157" s="1">
        <v>41.582850000000008</v>
      </c>
      <c r="AW1157" s="1">
        <v>28.7897</v>
      </c>
      <c r="AX1157" s="1">
        <v>65.011649999999989</v>
      </c>
      <c r="AY1157" s="1">
        <v>2.41</v>
      </c>
    </row>
    <row r="1158" spans="4:51" x14ac:dyDescent="0.3">
      <c r="D1158" s="2">
        <f t="shared" si="75"/>
        <v>2011</v>
      </c>
      <c r="E1158" s="2">
        <f t="shared" si="76"/>
        <v>2</v>
      </c>
      <c r="F1158" s="3" t="s">
        <v>175</v>
      </c>
      <c r="G1158" s="4">
        <v>40588</v>
      </c>
      <c r="J1158" s="1" t="s">
        <v>181</v>
      </c>
      <c r="K1158" s="1"/>
      <c r="L1158" s="1" t="str">
        <f t="shared" si="77"/>
        <v xml:space="preserve">Fysingen </v>
      </c>
      <c r="M1158" s="1" t="s">
        <v>177</v>
      </c>
      <c r="Q1158" s="1">
        <v>0.4</v>
      </c>
      <c r="V1158" s="1">
        <v>1.621</v>
      </c>
      <c r="W1158" s="1">
        <v>214</v>
      </c>
      <c r="X1158" s="1">
        <f t="shared" si="74"/>
        <v>0.3387989299718227</v>
      </c>
      <c r="Y1158" s="1">
        <v>0.121</v>
      </c>
      <c r="Z1158" s="1">
        <v>58</v>
      </c>
      <c r="AB1158" s="1">
        <v>2.8</v>
      </c>
      <c r="AC1158" s="1">
        <v>46.17</v>
      </c>
      <c r="AD1158" s="1">
        <v>3547</v>
      </c>
      <c r="AE1158" s="1">
        <v>7.27</v>
      </c>
      <c r="AI1158" s="1">
        <v>15.3</v>
      </c>
      <c r="AK1158" s="1">
        <v>87</v>
      </c>
      <c r="AL1158" s="1">
        <v>4406</v>
      </c>
      <c r="AV1158" s="1">
        <v>25.878500000000003</v>
      </c>
      <c r="AX1158" s="1">
        <v>93.553349999999995</v>
      </c>
      <c r="AY1158" s="1">
        <v>10.25</v>
      </c>
    </row>
    <row r="1159" spans="4:51" x14ac:dyDescent="0.3">
      <c r="D1159" s="2">
        <f t="shared" si="75"/>
        <v>2011</v>
      </c>
      <c r="E1159" s="2">
        <f t="shared" si="76"/>
        <v>2</v>
      </c>
      <c r="F1159" s="3" t="s">
        <v>175</v>
      </c>
      <c r="G1159" s="4">
        <v>40588</v>
      </c>
      <c r="J1159" s="1" t="s">
        <v>191</v>
      </c>
      <c r="K1159" s="1">
        <v>2</v>
      </c>
      <c r="L1159" s="1" t="str">
        <f t="shared" si="77"/>
        <v>Vallentunasjön 2</v>
      </c>
      <c r="M1159" s="1" t="s">
        <v>177</v>
      </c>
      <c r="Q1159" s="1">
        <v>1.1000000000000001</v>
      </c>
      <c r="R1159" s="1">
        <v>10.7</v>
      </c>
      <c r="S1159" s="1">
        <v>74</v>
      </c>
    </row>
    <row r="1160" spans="4:51" x14ac:dyDescent="0.3">
      <c r="D1160" s="2">
        <f t="shared" si="75"/>
        <v>2011</v>
      </c>
      <c r="E1160" s="2">
        <f t="shared" si="76"/>
        <v>2</v>
      </c>
      <c r="F1160" s="3" t="s">
        <v>175</v>
      </c>
      <c r="G1160" s="4">
        <v>40588</v>
      </c>
      <c r="J1160" s="1" t="s">
        <v>191</v>
      </c>
      <c r="K1160" s="1">
        <v>2</v>
      </c>
      <c r="L1160" s="1" t="str">
        <f t="shared" si="77"/>
        <v>Vallentunasjön 2</v>
      </c>
      <c r="M1160" s="1" t="s">
        <v>184</v>
      </c>
      <c r="Q1160" s="1">
        <v>4.0999999999999996</v>
      </c>
      <c r="R1160" s="1">
        <v>0.15</v>
      </c>
      <c r="S1160" s="1">
        <v>1.1000000000000001</v>
      </c>
    </row>
    <row r="1161" spans="4:51" x14ac:dyDescent="0.3">
      <c r="D1161" s="2">
        <f t="shared" si="75"/>
        <v>2011</v>
      </c>
      <c r="E1161" s="2">
        <f t="shared" si="76"/>
        <v>2</v>
      </c>
      <c r="F1161" s="3" t="s">
        <v>175</v>
      </c>
      <c r="G1161" s="4">
        <v>40589</v>
      </c>
      <c r="J1161" s="1" t="s">
        <v>182</v>
      </c>
      <c r="K1161" s="1"/>
      <c r="L1161" s="1" t="str">
        <f t="shared" si="77"/>
        <v xml:space="preserve">Edssjön </v>
      </c>
      <c r="M1161" s="1" t="s">
        <v>177</v>
      </c>
      <c r="P1161" s="1">
        <v>2.1</v>
      </c>
      <c r="Q1161" s="1">
        <v>0.3</v>
      </c>
      <c r="R1161" s="1">
        <v>8.5</v>
      </c>
      <c r="S1161" s="1">
        <v>58</v>
      </c>
      <c r="W1161" s="1">
        <v>110</v>
      </c>
      <c r="Z1161" s="1">
        <v>56</v>
      </c>
      <c r="AD1161" s="1">
        <v>680</v>
      </c>
      <c r="AK1161" s="1">
        <v>75</v>
      </c>
      <c r="AL1161" s="1">
        <v>1500</v>
      </c>
    </row>
    <row r="1162" spans="4:51" x14ac:dyDescent="0.3">
      <c r="D1162" s="2">
        <f t="shared" si="75"/>
        <v>2011</v>
      </c>
      <c r="E1162" s="2">
        <f t="shared" si="76"/>
        <v>2</v>
      </c>
      <c r="F1162" s="3" t="s">
        <v>175</v>
      </c>
      <c r="G1162" s="4">
        <v>40589</v>
      </c>
      <c r="J1162" s="1" t="s">
        <v>182</v>
      </c>
      <c r="K1162" s="1"/>
      <c r="L1162" s="1" t="str">
        <f t="shared" si="77"/>
        <v xml:space="preserve">Edssjön </v>
      </c>
      <c r="M1162" s="1" t="s">
        <v>184</v>
      </c>
      <c r="Q1162" s="1">
        <v>3.5</v>
      </c>
      <c r="R1162" s="1">
        <v>0.3</v>
      </c>
      <c r="S1162" s="1">
        <v>2.2999999999999998</v>
      </c>
      <c r="W1162" s="1">
        <v>73</v>
      </c>
      <c r="Z1162" s="1">
        <v>56</v>
      </c>
      <c r="AD1162" s="1">
        <v>740</v>
      </c>
      <c r="AK1162" s="1">
        <v>72</v>
      </c>
      <c r="AL1162" s="1">
        <v>1400</v>
      </c>
    </row>
    <row r="1163" spans="4:51" x14ac:dyDescent="0.3">
      <c r="D1163" s="2">
        <f t="shared" si="75"/>
        <v>2011</v>
      </c>
      <c r="E1163" s="2">
        <f t="shared" si="76"/>
        <v>2</v>
      </c>
      <c r="F1163" s="3" t="s">
        <v>175</v>
      </c>
      <c r="G1163" s="4">
        <v>40589</v>
      </c>
      <c r="J1163" s="1" t="s">
        <v>183</v>
      </c>
      <c r="K1163" s="1"/>
      <c r="L1163" s="1" t="str">
        <f t="shared" si="77"/>
        <v xml:space="preserve">Fjäturen </v>
      </c>
      <c r="M1163" s="1" t="s">
        <v>177</v>
      </c>
      <c r="P1163" s="1">
        <v>2.5</v>
      </c>
      <c r="Q1163" s="1">
        <v>0.5</v>
      </c>
      <c r="R1163" s="1">
        <v>10.6</v>
      </c>
      <c r="S1163" s="1">
        <v>72</v>
      </c>
      <c r="W1163" s="1">
        <v>5</v>
      </c>
      <c r="Z1163" s="1">
        <v>6</v>
      </c>
      <c r="AD1163" s="1">
        <v>160</v>
      </c>
      <c r="AK1163" s="1">
        <v>19</v>
      </c>
      <c r="AL1163" s="1">
        <v>740</v>
      </c>
    </row>
    <row r="1164" spans="4:51" x14ac:dyDescent="0.3">
      <c r="D1164" s="2">
        <f t="shared" si="75"/>
        <v>2011</v>
      </c>
      <c r="E1164" s="2">
        <f t="shared" si="76"/>
        <v>2</v>
      </c>
      <c r="F1164" s="3" t="s">
        <v>175</v>
      </c>
      <c r="G1164" s="4">
        <v>40589</v>
      </c>
      <c r="J1164" s="1" t="s">
        <v>183</v>
      </c>
      <c r="K1164" s="1"/>
      <c r="L1164" s="1" t="str">
        <f t="shared" si="77"/>
        <v xml:space="preserve">Fjäturen </v>
      </c>
      <c r="M1164" s="1" t="s">
        <v>184</v>
      </c>
      <c r="Q1164" s="1">
        <v>4</v>
      </c>
      <c r="R1164" s="1">
        <v>1.5</v>
      </c>
      <c r="S1164" s="1">
        <v>12</v>
      </c>
      <c r="W1164" s="1">
        <v>29</v>
      </c>
      <c r="Z1164" s="1">
        <v>6</v>
      </c>
      <c r="AD1164" s="1">
        <v>170</v>
      </c>
      <c r="AK1164" s="1">
        <v>22</v>
      </c>
      <c r="AL1164" s="1">
        <v>770</v>
      </c>
    </row>
    <row r="1165" spans="4:51" x14ac:dyDescent="0.3">
      <c r="D1165" s="2">
        <f t="shared" si="75"/>
        <v>2011</v>
      </c>
      <c r="E1165" s="2">
        <f t="shared" si="76"/>
        <v>2</v>
      </c>
      <c r="F1165" s="3" t="s">
        <v>175</v>
      </c>
      <c r="G1165" s="4">
        <v>40589</v>
      </c>
      <c r="J1165" s="1" t="s">
        <v>185</v>
      </c>
      <c r="K1165" s="1"/>
      <c r="L1165" s="1" t="str">
        <f t="shared" si="77"/>
        <v xml:space="preserve">Gullsjön </v>
      </c>
      <c r="M1165" s="1" t="s">
        <v>177</v>
      </c>
      <c r="P1165" s="1">
        <v>1</v>
      </c>
      <c r="Q1165" s="1">
        <v>0.6</v>
      </c>
      <c r="R1165" s="1">
        <v>1.3</v>
      </c>
      <c r="S1165" s="1">
        <v>8</v>
      </c>
      <c r="W1165" s="1">
        <v>150</v>
      </c>
      <c r="Z1165" s="1">
        <v>1.5</v>
      </c>
      <c r="AD1165" s="1">
        <v>0</v>
      </c>
      <c r="AK1165" s="1">
        <v>33</v>
      </c>
      <c r="AL1165" s="1">
        <v>1100</v>
      </c>
    </row>
    <row r="1166" spans="4:51" x14ac:dyDescent="0.3">
      <c r="D1166" s="2">
        <f t="shared" si="75"/>
        <v>2011</v>
      </c>
      <c r="E1166" s="2">
        <f t="shared" si="76"/>
        <v>2</v>
      </c>
      <c r="F1166" s="3" t="s">
        <v>175</v>
      </c>
      <c r="G1166" s="4">
        <v>40589</v>
      </c>
      <c r="J1166" s="1" t="s">
        <v>185</v>
      </c>
      <c r="K1166" s="1"/>
      <c r="L1166" s="1" t="str">
        <f t="shared" si="77"/>
        <v xml:space="preserve">Gullsjön </v>
      </c>
      <c r="M1166" s="1" t="s">
        <v>184</v>
      </c>
      <c r="Q1166" s="1">
        <v>2.9</v>
      </c>
      <c r="R1166" s="1">
        <v>0.3</v>
      </c>
      <c r="S1166" s="1">
        <v>3</v>
      </c>
      <c r="W1166" s="1">
        <v>150</v>
      </c>
      <c r="Z1166" s="1">
        <v>1.5</v>
      </c>
      <c r="AD1166" s="1">
        <v>0</v>
      </c>
      <c r="AK1166" s="1">
        <v>31</v>
      </c>
      <c r="AL1166" s="1">
        <v>1000</v>
      </c>
    </row>
    <row r="1167" spans="4:51" x14ac:dyDescent="0.3">
      <c r="D1167" s="2">
        <f t="shared" si="75"/>
        <v>2011</v>
      </c>
      <c r="E1167" s="2">
        <f t="shared" si="76"/>
        <v>2</v>
      </c>
      <c r="F1167" s="3" t="s">
        <v>175</v>
      </c>
      <c r="G1167" s="4">
        <v>40589</v>
      </c>
      <c r="J1167" s="1" t="s">
        <v>201</v>
      </c>
      <c r="K1167" s="1"/>
      <c r="L1167" s="1" t="str">
        <f t="shared" si="77"/>
        <v xml:space="preserve">Mörtsjön </v>
      </c>
      <c r="M1167" s="1" t="s">
        <v>177</v>
      </c>
      <c r="P1167" s="1">
        <v>1.3</v>
      </c>
      <c r="Q1167" s="1">
        <v>0.6</v>
      </c>
      <c r="R1167" s="1">
        <v>1.3</v>
      </c>
      <c r="S1167" s="1">
        <v>8</v>
      </c>
      <c r="W1167" s="1">
        <v>79</v>
      </c>
      <c r="Z1167" s="1">
        <v>9</v>
      </c>
      <c r="AD1167" s="1">
        <v>230</v>
      </c>
      <c r="AK1167" s="1">
        <v>29</v>
      </c>
      <c r="AL1167" s="1">
        <v>1300</v>
      </c>
    </row>
    <row r="1168" spans="4:51" x14ac:dyDescent="0.3">
      <c r="D1168" s="2">
        <f t="shared" si="75"/>
        <v>2011</v>
      </c>
      <c r="E1168" s="2">
        <f t="shared" si="76"/>
        <v>2</v>
      </c>
      <c r="F1168" s="3" t="s">
        <v>175</v>
      </c>
      <c r="G1168" s="4">
        <v>40589</v>
      </c>
      <c r="J1168" s="1" t="s">
        <v>201</v>
      </c>
      <c r="K1168" s="1"/>
      <c r="L1168" s="1" t="str">
        <f t="shared" si="77"/>
        <v xml:space="preserve">Mörtsjön </v>
      </c>
      <c r="M1168" s="1" t="s">
        <v>184</v>
      </c>
      <c r="Q1168" s="1">
        <v>4.5</v>
      </c>
      <c r="R1168" s="1">
        <v>0.3</v>
      </c>
      <c r="S1168" s="1">
        <v>2</v>
      </c>
      <c r="W1168" s="1">
        <v>260</v>
      </c>
      <c r="Z1168" s="1">
        <v>23</v>
      </c>
      <c r="AD1168" s="1">
        <v>520</v>
      </c>
      <c r="AK1168" s="1">
        <v>40</v>
      </c>
      <c r="AL1168" s="1">
        <v>1400</v>
      </c>
    </row>
    <row r="1169" spans="4:50" x14ac:dyDescent="0.3">
      <c r="D1169" s="2">
        <f t="shared" si="75"/>
        <v>2011</v>
      </c>
      <c r="E1169" s="2">
        <f t="shared" si="76"/>
        <v>2</v>
      </c>
      <c r="F1169" s="3" t="s">
        <v>175</v>
      </c>
      <c r="G1169" s="4">
        <v>40589</v>
      </c>
      <c r="J1169" s="1" t="s">
        <v>187</v>
      </c>
      <c r="K1169" s="1"/>
      <c r="L1169" s="1" t="str">
        <f t="shared" si="77"/>
        <v xml:space="preserve">Oxundasjön </v>
      </c>
      <c r="M1169" s="1" t="s">
        <v>177</v>
      </c>
      <c r="P1169" s="1">
        <v>1.8</v>
      </c>
      <c r="Q1169" s="1">
        <v>0.2</v>
      </c>
      <c r="R1169" s="1">
        <v>9.6999999999999993</v>
      </c>
      <c r="S1169" s="1">
        <v>66</v>
      </c>
      <c r="W1169" s="1">
        <v>69</v>
      </c>
      <c r="Z1169" s="1">
        <v>48</v>
      </c>
      <c r="AD1169" s="1">
        <v>940</v>
      </c>
      <c r="AK1169" s="1">
        <v>66</v>
      </c>
      <c r="AL1169" s="1">
        <v>1600</v>
      </c>
    </row>
    <row r="1170" spans="4:50" x14ac:dyDescent="0.3">
      <c r="D1170" s="2">
        <f t="shared" si="75"/>
        <v>2011</v>
      </c>
      <c r="E1170" s="2">
        <f t="shared" si="76"/>
        <v>2</v>
      </c>
      <c r="F1170" s="3" t="s">
        <v>175</v>
      </c>
      <c r="G1170" s="4">
        <v>40589</v>
      </c>
      <c r="J1170" s="1" t="s">
        <v>187</v>
      </c>
      <c r="K1170" s="1"/>
      <c r="L1170" s="1" t="str">
        <f t="shared" si="77"/>
        <v xml:space="preserve">Oxundasjön </v>
      </c>
      <c r="M1170" s="1" t="s">
        <v>184</v>
      </c>
      <c r="Q1170" s="1">
        <v>4</v>
      </c>
      <c r="R1170" s="1">
        <v>0.7</v>
      </c>
      <c r="S1170" s="1">
        <v>5.2</v>
      </c>
      <c r="W1170" s="1">
        <v>56</v>
      </c>
      <c r="Z1170" s="1">
        <v>44</v>
      </c>
      <c r="AD1170" s="1">
        <v>840</v>
      </c>
      <c r="AK1170" s="1">
        <v>58</v>
      </c>
      <c r="AL1170" s="1">
        <v>1500</v>
      </c>
    </row>
    <row r="1171" spans="4:50" x14ac:dyDescent="0.3">
      <c r="D1171" s="2">
        <f t="shared" si="75"/>
        <v>2011</v>
      </c>
      <c r="E1171" s="2">
        <f t="shared" si="76"/>
        <v>2</v>
      </c>
      <c r="F1171" s="3" t="s">
        <v>175</v>
      </c>
      <c r="G1171" s="4">
        <v>40589</v>
      </c>
      <c r="J1171" s="1" t="s">
        <v>188</v>
      </c>
      <c r="K1171" s="1"/>
      <c r="L1171" s="1" t="str">
        <f t="shared" si="77"/>
        <v xml:space="preserve">Ravalen </v>
      </c>
      <c r="M1171" s="1" t="s">
        <v>177</v>
      </c>
      <c r="P1171" s="1">
        <v>0.9</v>
      </c>
      <c r="Q1171" s="1">
        <v>0.5</v>
      </c>
      <c r="R1171" s="1">
        <v>0.8</v>
      </c>
      <c r="S1171" s="1">
        <v>6</v>
      </c>
      <c r="W1171" s="1">
        <v>400</v>
      </c>
      <c r="Z1171" s="1">
        <v>12</v>
      </c>
      <c r="AD1171" s="1">
        <v>19</v>
      </c>
      <c r="AK1171" s="1">
        <v>80</v>
      </c>
      <c r="AL1171" s="1">
        <v>1500</v>
      </c>
    </row>
    <row r="1172" spans="4:50" x14ac:dyDescent="0.3">
      <c r="D1172" s="2">
        <f t="shared" si="75"/>
        <v>2011</v>
      </c>
      <c r="E1172" s="2">
        <f t="shared" si="76"/>
        <v>2</v>
      </c>
      <c r="F1172" s="3" t="s">
        <v>175</v>
      </c>
      <c r="G1172" s="4">
        <v>40589</v>
      </c>
      <c r="J1172" s="1" t="s">
        <v>188</v>
      </c>
      <c r="K1172" s="1"/>
      <c r="L1172" s="1" t="str">
        <f t="shared" si="77"/>
        <v xml:space="preserve">Ravalen </v>
      </c>
      <c r="M1172" s="1" t="s">
        <v>184</v>
      </c>
      <c r="Q1172" s="1">
        <v>3.1</v>
      </c>
      <c r="R1172" s="1">
        <v>0.3</v>
      </c>
      <c r="S1172" s="1">
        <v>2</v>
      </c>
      <c r="W1172" s="1">
        <v>740</v>
      </c>
      <c r="Z1172" s="1">
        <v>17</v>
      </c>
      <c r="AD1172" s="1">
        <v>13</v>
      </c>
      <c r="AK1172" s="1">
        <v>77</v>
      </c>
      <c r="AL1172" s="1">
        <v>1800</v>
      </c>
    </row>
    <row r="1173" spans="4:50" x14ac:dyDescent="0.3">
      <c r="D1173" s="2">
        <f t="shared" si="75"/>
        <v>2011</v>
      </c>
      <c r="E1173" s="2">
        <f t="shared" si="76"/>
        <v>2</v>
      </c>
      <c r="F1173" s="3" t="s">
        <v>175</v>
      </c>
      <c r="G1173" s="4">
        <v>40589</v>
      </c>
      <c r="J1173" s="1" t="s">
        <v>189</v>
      </c>
      <c r="K1173" s="1"/>
      <c r="L1173" s="1" t="str">
        <f t="shared" si="77"/>
        <v xml:space="preserve">Rösjön </v>
      </c>
      <c r="M1173" s="1" t="s">
        <v>177</v>
      </c>
      <c r="P1173" s="1">
        <v>3.5</v>
      </c>
      <c r="Q1173" s="1">
        <v>0.6</v>
      </c>
      <c r="R1173" s="1">
        <v>11.5</v>
      </c>
      <c r="S1173" s="1">
        <v>80</v>
      </c>
      <c r="W1173" s="1">
        <v>18</v>
      </c>
      <c r="Z1173" s="1">
        <v>1.5</v>
      </c>
      <c r="AD1173" s="1">
        <v>140</v>
      </c>
      <c r="AK1173" s="1">
        <v>16</v>
      </c>
      <c r="AL1173" s="1">
        <v>670</v>
      </c>
    </row>
    <row r="1174" spans="4:50" x14ac:dyDescent="0.3">
      <c r="D1174" s="2">
        <f t="shared" si="75"/>
        <v>2011</v>
      </c>
      <c r="E1174" s="2">
        <f t="shared" si="76"/>
        <v>2</v>
      </c>
      <c r="F1174" s="3" t="s">
        <v>175</v>
      </c>
      <c r="G1174" s="4">
        <v>40589</v>
      </c>
      <c r="J1174" s="1" t="s">
        <v>189</v>
      </c>
      <c r="K1174" s="1"/>
      <c r="L1174" s="1" t="str">
        <f t="shared" si="77"/>
        <v xml:space="preserve">Rösjön </v>
      </c>
      <c r="M1174" s="1" t="s">
        <v>184</v>
      </c>
      <c r="Q1174" s="1">
        <v>5</v>
      </c>
      <c r="R1174" s="1">
        <v>0.3</v>
      </c>
      <c r="S1174" s="1">
        <v>2</v>
      </c>
      <c r="W1174" s="1">
        <v>58</v>
      </c>
      <c r="Z1174" s="1">
        <v>26</v>
      </c>
      <c r="AD1174" s="1">
        <v>360</v>
      </c>
      <c r="AK1174" s="1">
        <v>41</v>
      </c>
      <c r="AL1174" s="1">
        <v>890</v>
      </c>
    </row>
    <row r="1175" spans="4:50" x14ac:dyDescent="0.3">
      <c r="D1175" s="2">
        <f t="shared" si="75"/>
        <v>2011</v>
      </c>
      <c r="E1175" s="2">
        <f t="shared" si="76"/>
        <v>2</v>
      </c>
      <c r="F1175" s="3" t="s">
        <v>175</v>
      </c>
      <c r="G1175" s="4">
        <v>40589</v>
      </c>
      <c r="J1175" s="1" t="s">
        <v>190</v>
      </c>
      <c r="K1175" s="1"/>
      <c r="L1175" s="1" t="str">
        <f t="shared" si="77"/>
        <v xml:space="preserve">Snuggan </v>
      </c>
      <c r="M1175" s="1" t="s">
        <v>177</v>
      </c>
      <c r="P1175" s="1">
        <v>0.7</v>
      </c>
      <c r="Q1175" s="1">
        <v>0.6</v>
      </c>
      <c r="R1175" s="1">
        <v>2.8</v>
      </c>
      <c r="S1175" s="1">
        <v>19</v>
      </c>
      <c r="W1175" s="1">
        <v>340</v>
      </c>
      <c r="Z1175" s="1">
        <v>1.5</v>
      </c>
      <c r="AD1175" s="1">
        <v>31</v>
      </c>
      <c r="AK1175" s="1">
        <v>24</v>
      </c>
      <c r="AL1175" s="1">
        <v>1300</v>
      </c>
      <c r="AR1175" s="1">
        <v>4.5199999999999996</v>
      </c>
      <c r="AT1175" s="1">
        <v>0.88100000000000001</v>
      </c>
      <c r="AU1175" s="1">
        <v>1</v>
      </c>
      <c r="AV1175" s="1">
        <v>7.1</v>
      </c>
      <c r="AW1175" s="1">
        <v>5.35</v>
      </c>
      <c r="AX1175" s="1">
        <v>2.5</v>
      </c>
    </row>
    <row r="1176" spans="4:50" x14ac:dyDescent="0.3">
      <c r="D1176" s="2">
        <f t="shared" si="75"/>
        <v>2011</v>
      </c>
      <c r="E1176" s="2">
        <f t="shared" si="76"/>
        <v>2</v>
      </c>
      <c r="F1176" s="3" t="s">
        <v>175</v>
      </c>
      <c r="G1176" s="4">
        <v>40589</v>
      </c>
      <c r="J1176" s="1" t="s">
        <v>190</v>
      </c>
      <c r="K1176" s="1"/>
      <c r="L1176" s="1" t="str">
        <f t="shared" si="77"/>
        <v xml:space="preserve">Snuggan </v>
      </c>
      <c r="M1176" s="1" t="s">
        <v>184</v>
      </c>
      <c r="Q1176" s="1">
        <v>4.0999999999999996</v>
      </c>
      <c r="R1176" s="1">
        <v>0.3</v>
      </c>
      <c r="S1176" s="1">
        <v>3</v>
      </c>
      <c r="W1176" s="1">
        <v>370</v>
      </c>
      <c r="Z1176" s="1">
        <v>1.5</v>
      </c>
      <c r="AD1176" s="1">
        <v>13</v>
      </c>
      <c r="AK1176" s="1">
        <v>26</v>
      </c>
      <c r="AL1176" s="1">
        <v>1400</v>
      </c>
    </row>
    <row r="1177" spans="4:50" x14ac:dyDescent="0.3">
      <c r="D1177" s="2">
        <f t="shared" si="75"/>
        <v>2011</v>
      </c>
      <c r="E1177" s="2">
        <f t="shared" si="76"/>
        <v>2</v>
      </c>
      <c r="F1177" s="3" t="s">
        <v>175</v>
      </c>
      <c r="G1177" s="4">
        <v>40589</v>
      </c>
      <c r="J1177" s="1" t="s">
        <v>192</v>
      </c>
      <c r="K1177" s="1"/>
      <c r="L1177" s="1" t="str">
        <f t="shared" si="77"/>
        <v xml:space="preserve">Väsjön </v>
      </c>
      <c r="M1177" s="1" t="s">
        <v>177</v>
      </c>
      <c r="P1177" s="1">
        <v>1.3</v>
      </c>
      <c r="Q1177" s="1">
        <v>1</v>
      </c>
      <c r="R1177" s="1">
        <v>0.6</v>
      </c>
      <c r="S1177" s="1">
        <v>4</v>
      </c>
      <c r="W1177" s="1">
        <v>110</v>
      </c>
      <c r="Z1177" s="1">
        <v>1.5</v>
      </c>
      <c r="AD1177" s="1">
        <v>36</v>
      </c>
      <c r="AK1177" s="1">
        <v>38</v>
      </c>
      <c r="AL1177" s="1">
        <v>980</v>
      </c>
    </row>
    <row r="1178" spans="4:50" x14ac:dyDescent="0.3">
      <c r="D1178" s="2">
        <f t="shared" si="75"/>
        <v>2011</v>
      </c>
      <c r="E1178" s="2">
        <f t="shared" si="76"/>
        <v>2</v>
      </c>
      <c r="F1178" s="3" t="s">
        <v>175</v>
      </c>
      <c r="G1178" s="4">
        <v>40589</v>
      </c>
      <c r="J1178" s="1" t="s">
        <v>192</v>
      </c>
      <c r="K1178" s="1"/>
      <c r="L1178" s="1" t="str">
        <f t="shared" si="77"/>
        <v xml:space="preserve">Väsjön </v>
      </c>
      <c r="M1178" s="1" t="s">
        <v>184</v>
      </c>
      <c r="Q1178" s="1">
        <v>3.6</v>
      </c>
      <c r="R1178" s="1">
        <v>0.2</v>
      </c>
      <c r="S1178" s="1">
        <v>2</v>
      </c>
      <c r="W1178" s="1">
        <v>130</v>
      </c>
      <c r="Z1178" s="1">
        <v>1.5</v>
      </c>
      <c r="AD1178" s="1">
        <v>15</v>
      </c>
      <c r="AK1178" s="1">
        <v>36</v>
      </c>
      <c r="AL1178" s="1">
        <v>1000</v>
      </c>
    </row>
    <row r="1179" spans="4:50" x14ac:dyDescent="0.3">
      <c r="D1179" s="2">
        <f t="shared" si="75"/>
        <v>2011</v>
      </c>
      <c r="E1179" s="2">
        <f t="shared" si="76"/>
        <v>2</v>
      </c>
      <c r="F1179" s="3" t="s">
        <v>175</v>
      </c>
      <c r="G1179" s="4">
        <v>40589</v>
      </c>
      <c r="J1179" s="1" t="s">
        <v>193</v>
      </c>
      <c r="K1179" s="1"/>
      <c r="L1179" s="1" t="str">
        <f t="shared" si="77"/>
        <v xml:space="preserve">Översjön </v>
      </c>
      <c r="M1179" s="1" t="s">
        <v>177</v>
      </c>
      <c r="P1179" s="1">
        <v>1.9</v>
      </c>
      <c r="Q1179" s="1">
        <v>1.3</v>
      </c>
      <c r="R1179" s="1">
        <v>4.4000000000000004</v>
      </c>
      <c r="S1179" s="1">
        <v>31</v>
      </c>
      <c r="W1179" s="1">
        <v>110</v>
      </c>
      <c r="Z1179" s="1">
        <v>7</v>
      </c>
      <c r="AD1179" s="1">
        <v>150</v>
      </c>
      <c r="AK1179" s="1">
        <v>25</v>
      </c>
      <c r="AL1179" s="1">
        <v>1100</v>
      </c>
    </row>
    <row r="1180" spans="4:50" x14ac:dyDescent="0.3">
      <c r="D1180" s="2">
        <f t="shared" si="75"/>
        <v>2011</v>
      </c>
      <c r="E1180" s="2">
        <f t="shared" si="76"/>
        <v>2</v>
      </c>
      <c r="F1180" s="3" t="s">
        <v>175</v>
      </c>
      <c r="G1180" s="4">
        <v>40589</v>
      </c>
      <c r="J1180" s="1" t="s">
        <v>193</v>
      </c>
      <c r="K1180" s="1"/>
      <c r="L1180" s="1" t="str">
        <f t="shared" si="77"/>
        <v xml:space="preserve">Översjön </v>
      </c>
      <c r="M1180" s="1" t="s">
        <v>184</v>
      </c>
      <c r="Q1180" s="1">
        <v>4</v>
      </c>
      <c r="R1180" s="1">
        <v>0.2</v>
      </c>
      <c r="S1180" s="1">
        <v>2</v>
      </c>
      <c r="W1180" s="1">
        <v>120</v>
      </c>
      <c r="Z1180" s="1">
        <v>9</v>
      </c>
      <c r="AD1180" s="1">
        <v>170</v>
      </c>
      <c r="AK1180" s="1">
        <v>26</v>
      </c>
      <c r="AL1180" s="1">
        <v>1100</v>
      </c>
    </row>
    <row r="1181" spans="4:50" x14ac:dyDescent="0.3">
      <c r="D1181" s="2">
        <f t="shared" si="75"/>
        <v>2011</v>
      </c>
      <c r="E1181" s="2">
        <f t="shared" si="76"/>
        <v>2</v>
      </c>
      <c r="F1181" s="3" t="s">
        <v>175</v>
      </c>
      <c r="G1181" s="4">
        <v>40590</v>
      </c>
      <c r="J1181" s="1" t="s">
        <v>186</v>
      </c>
      <c r="K1181" s="1">
        <v>1</v>
      </c>
      <c r="L1181" s="1" t="str">
        <f t="shared" si="77"/>
        <v>Norrviken 1</v>
      </c>
      <c r="M1181" s="1" t="s">
        <v>177</v>
      </c>
      <c r="P1181" s="1">
        <v>1.8</v>
      </c>
      <c r="Q1181" s="1">
        <v>0.6</v>
      </c>
      <c r="R1181" s="1">
        <v>8.6</v>
      </c>
      <c r="S1181" s="1">
        <v>59</v>
      </c>
      <c r="W1181" s="1">
        <v>480</v>
      </c>
      <c r="Z1181" s="1">
        <v>10</v>
      </c>
      <c r="AD1181" s="1">
        <v>360</v>
      </c>
      <c r="AK1181" s="1">
        <v>34</v>
      </c>
      <c r="AL1181" s="1">
        <v>1700</v>
      </c>
    </row>
    <row r="1182" spans="4:50" x14ac:dyDescent="0.3">
      <c r="D1182" s="2">
        <f t="shared" si="75"/>
        <v>2011</v>
      </c>
      <c r="E1182" s="2">
        <f t="shared" si="76"/>
        <v>2</v>
      </c>
      <c r="F1182" s="3" t="s">
        <v>175</v>
      </c>
      <c r="G1182" s="4">
        <v>40590</v>
      </c>
      <c r="J1182" s="1" t="s">
        <v>186</v>
      </c>
      <c r="K1182" s="1">
        <v>2</v>
      </c>
      <c r="L1182" s="1" t="str">
        <f t="shared" si="77"/>
        <v>Norrviken 2</v>
      </c>
      <c r="M1182" s="1" t="s">
        <v>177</v>
      </c>
      <c r="P1182" s="1">
        <v>2.7</v>
      </c>
      <c r="Q1182" s="1">
        <v>1</v>
      </c>
      <c r="R1182" s="1">
        <v>9.3000000000000007</v>
      </c>
      <c r="S1182" s="1">
        <v>64</v>
      </c>
      <c r="W1182" s="1">
        <v>160</v>
      </c>
      <c r="Z1182" s="1">
        <v>44</v>
      </c>
      <c r="AD1182" s="1">
        <v>570</v>
      </c>
      <c r="AK1182" s="1">
        <v>61</v>
      </c>
      <c r="AL1182" s="1">
        <v>1500</v>
      </c>
    </row>
    <row r="1183" spans="4:50" x14ac:dyDescent="0.3">
      <c r="D1183" s="2">
        <f t="shared" si="75"/>
        <v>2011</v>
      </c>
      <c r="E1183" s="2">
        <f t="shared" si="76"/>
        <v>2</v>
      </c>
      <c r="F1183" s="3" t="s">
        <v>175</v>
      </c>
      <c r="G1183" s="4">
        <v>40590</v>
      </c>
      <c r="J1183" s="1" t="s">
        <v>186</v>
      </c>
      <c r="K1183" s="1">
        <v>3</v>
      </c>
      <c r="L1183" s="1" t="str">
        <f t="shared" si="77"/>
        <v>Norrviken 3</v>
      </c>
      <c r="M1183" s="1" t="s">
        <v>177</v>
      </c>
      <c r="P1183" s="1">
        <v>4.0999999999999996</v>
      </c>
      <c r="Q1183" s="1">
        <v>1.2</v>
      </c>
      <c r="R1183" s="1">
        <v>9.1999999999999993</v>
      </c>
      <c r="S1183" s="1">
        <v>64</v>
      </c>
      <c r="W1183" s="1">
        <v>10</v>
      </c>
      <c r="Z1183" s="1">
        <v>87</v>
      </c>
      <c r="AD1183" s="1">
        <v>590</v>
      </c>
      <c r="AK1183" s="1">
        <v>97</v>
      </c>
      <c r="AL1183" s="1">
        <v>1300</v>
      </c>
    </row>
    <row r="1184" spans="4:50" x14ac:dyDescent="0.3">
      <c r="D1184" s="2">
        <f t="shared" si="75"/>
        <v>2011</v>
      </c>
      <c r="E1184" s="2">
        <f t="shared" si="76"/>
        <v>2</v>
      </c>
      <c r="F1184" s="3" t="s">
        <v>175</v>
      </c>
      <c r="G1184" s="4">
        <v>40590</v>
      </c>
      <c r="J1184" s="1" t="s">
        <v>186</v>
      </c>
      <c r="K1184" s="1">
        <v>4</v>
      </c>
      <c r="L1184" s="1" t="str">
        <f t="shared" si="77"/>
        <v>Norrviken 4</v>
      </c>
      <c r="M1184" s="1" t="s">
        <v>177</v>
      </c>
      <c r="P1184" s="1">
        <v>1.7</v>
      </c>
      <c r="Q1184" s="1">
        <v>1.3</v>
      </c>
      <c r="R1184" s="1">
        <v>8.6</v>
      </c>
      <c r="S1184" s="1">
        <v>61</v>
      </c>
      <c r="W1184" s="1">
        <v>92</v>
      </c>
      <c r="Z1184" s="1">
        <v>64</v>
      </c>
      <c r="AD1184" s="1">
        <v>620</v>
      </c>
      <c r="AK1184" s="1">
        <v>78</v>
      </c>
      <c r="AL1184" s="1">
        <v>1500</v>
      </c>
    </row>
    <row r="1185" spans="4:51" x14ac:dyDescent="0.3">
      <c r="D1185" s="2">
        <f t="shared" si="75"/>
        <v>2011</v>
      </c>
      <c r="E1185" s="2">
        <f t="shared" si="76"/>
        <v>2</v>
      </c>
      <c r="F1185" s="3" t="s">
        <v>175</v>
      </c>
      <c r="G1185" s="4">
        <v>40590</v>
      </c>
      <c r="J1185" s="1" t="s">
        <v>186</v>
      </c>
      <c r="K1185" s="1">
        <v>1</v>
      </c>
      <c r="L1185" s="1" t="str">
        <f t="shared" si="77"/>
        <v>Norrviken 1</v>
      </c>
      <c r="M1185" s="1" t="s">
        <v>184</v>
      </c>
      <c r="Q1185" s="1">
        <v>2.7</v>
      </c>
      <c r="R1185" s="1">
        <v>3.2</v>
      </c>
      <c r="S1185" s="1">
        <v>23</v>
      </c>
      <c r="W1185" s="1">
        <v>460</v>
      </c>
      <c r="Z1185" s="1">
        <v>22</v>
      </c>
      <c r="AD1185" s="1">
        <v>420</v>
      </c>
      <c r="AK1185" s="1">
        <v>43</v>
      </c>
      <c r="AL1185" s="1">
        <v>1700</v>
      </c>
    </row>
    <row r="1186" spans="4:51" x14ac:dyDescent="0.3">
      <c r="D1186" s="2">
        <f t="shared" si="75"/>
        <v>2011</v>
      </c>
      <c r="E1186" s="2">
        <f t="shared" si="76"/>
        <v>2</v>
      </c>
      <c r="F1186" s="3" t="s">
        <v>175</v>
      </c>
      <c r="G1186" s="4">
        <v>40590</v>
      </c>
      <c r="J1186" s="1" t="s">
        <v>186</v>
      </c>
      <c r="K1186" s="1">
        <v>2</v>
      </c>
      <c r="L1186" s="1" t="str">
        <f t="shared" si="77"/>
        <v>Norrviken 2</v>
      </c>
      <c r="M1186" s="1" t="s">
        <v>184</v>
      </c>
      <c r="Q1186" s="1">
        <v>3.7</v>
      </c>
      <c r="R1186" s="1">
        <v>0.5</v>
      </c>
      <c r="S1186" s="1">
        <v>3.8</v>
      </c>
      <c r="W1186" s="1">
        <v>200</v>
      </c>
      <c r="Z1186" s="1">
        <v>65</v>
      </c>
      <c r="AD1186" s="1">
        <v>530</v>
      </c>
      <c r="AK1186" s="1">
        <v>97</v>
      </c>
      <c r="AL1186" s="1">
        <v>1400</v>
      </c>
    </row>
    <row r="1187" spans="4:51" x14ac:dyDescent="0.3">
      <c r="D1187" s="2">
        <f t="shared" si="75"/>
        <v>2011</v>
      </c>
      <c r="E1187" s="2">
        <f t="shared" si="76"/>
        <v>2</v>
      </c>
      <c r="F1187" s="3" t="s">
        <v>175</v>
      </c>
      <c r="G1187" s="4">
        <v>40590</v>
      </c>
      <c r="J1187" s="1" t="s">
        <v>186</v>
      </c>
      <c r="K1187" s="1">
        <v>3</v>
      </c>
      <c r="L1187" s="1" t="str">
        <f t="shared" si="77"/>
        <v>Norrviken 3</v>
      </c>
      <c r="M1187" s="1" t="s">
        <v>184</v>
      </c>
      <c r="Q1187" s="1">
        <v>4</v>
      </c>
      <c r="R1187" s="1">
        <v>0.05</v>
      </c>
      <c r="S1187" s="1">
        <v>0.5</v>
      </c>
      <c r="W1187" s="1">
        <v>430</v>
      </c>
      <c r="Z1187" s="1">
        <v>150</v>
      </c>
      <c r="AD1187" s="1">
        <v>210</v>
      </c>
      <c r="AK1187" s="1">
        <v>190</v>
      </c>
      <c r="AL1187" s="1">
        <v>1400</v>
      </c>
    </row>
    <row r="1188" spans="4:51" x14ac:dyDescent="0.3">
      <c r="D1188" s="2">
        <f t="shared" si="75"/>
        <v>2011</v>
      </c>
      <c r="E1188" s="2">
        <f t="shared" si="76"/>
        <v>2</v>
      </c>
      <c r="F1188" s="3" t="s">
        <v>175</v>
      </c>
      <c r="G1188" s="4">
        <v>40590</v>
      </c>
      <c r="J1188" s="1" t="s">
        <v>191</v>
      </c>
      <c r="K1188" s="1" t="s">
        <v>206</v>
      </c>
      <c r="L1188" s="1" t="str">
        <f t="shared" si="77"/>
        <v>Vallentunasjön Blandprov</v>
      </c>
      <c r="M1188" s="1" t="s">
        <v>177</v>
      </c>
      <c r="P1188" s="1">
        <v>1.5</v>
      </c>
      <c r="W1188" s="1">
        <v>980</v>
      </c>
      <c r="Z1188" s="1">
        <v>17</v>
      </c>
      <c r="AB1188" s="1">
        <v>4.01</v>
      </c>
      <c r="AD1188" s="1">
        <v>160</v>
      </c>
      <c r="AK1188" s="1">
        <v>43</v>
      </c>
      <c r="AL1188" s="1">
        <v>2100</v>
      </c>
    </row>
    <row r="1189" spans="4:51" x14ac:dyDescent="0.3">
      <c r="D1189" s="2">
        <f t="shared" si="75"/>
        <v>2011</v>
      </c>
      <c r="E1189" s="2">
        <f t="shared" si="76"/>
        <v>2</v>
      </c>
      <c r="F1189" s="3" t="s">
        <v>175</v>
      </c>
      <c r="G1189" s="4">
        <v>40595</v>
      </c>
      <c r="H1189" s="1">
        <v>6606238</v>
      </c>
      <c r="I1189" s="1">
        <v>661152</v>
      </c>
      <c r="J1189" s="5" t="s">
        <v>176</v>
      </c>
      <c r="K1189" s="1"/>
      <c r="L1189" s="1" t="str">
        <f t="shared" si="77"/>
        <v xml:space="preserve">Oxundaån </v>
      </c>
      <c r="M1189" s="1" t="s">
        <v>177</v>
      </c>
      <c r="N1189" s="1">
        <v>0.5</v>
      </c>
      <c r="O1189" s="1">
        <v>0.5</v>
      </c>
      <c r="Q1189" s="1">
        <v>1</v>
      </c>
      <c r="T1189" s="1">
        <v>52.5</v>
      </c>
      <c r="V1189" s="1">
        <v>2.58</v>
      </c>
      <c r="W1189" s="1">
        <v>47</v>
      </c>
      <c r="X1189" s="1">
        <f t="shared" ref="X1189:X1223" si="78">W1189 * (1/((10^((0.0901821 + (2729.92 /(273.15 + Q1189)))-AE1189)+1)))</f>
        <v>7.6462465170794386E-2</v>
      </c>
      <c r="Y1189" s="1">
        <v>7.2999999999999995E-2</v>
      </c>
      <c r="Z1189" s="1">
        <v>42</v>
      </c>
      <c r="AA1189" s="1">
        <v>5.8</v>
      </c>
      <c r="AD1189" s="1">
        <v>1084</v>
      </c>
      <c r="AE1189" s="1">
        <v>7.26</v>
      </c>
      <c r="AG1189" s="1">
        <v>4</v>
      </c>
      <c r="AI1189" s="1">
        <v>11.3</v>
      </c>
      <c r="AK1189" s="1">
        <v>60</v>
      </c>
      <c r="AL1189" s="1">
        <v>1697</v>
      </c>
      <c r="AR1189" s="1">
        <v>60.38</v>
      </c>
      <c r="AS1189" s="1">
        <v>0.32</v>
      </c>
      <c r="AT1189" s="1">
        <v>5.9823000000000004</v>
      </c>
      <c r="AU1189" s="1">
        <v>10.829499999999999</v>
      </c>
      <c r="AV1189" s="1">
        <v>43.284450000000007</v>
      </c>
      <c r="AW1189" s="1">
        <v>30.693720000000003</v>
      </c>
      <c r="AX1189" s="1">
        <v>64.9636</v>
      </c>
      <c r="AY1189" s="1">
        <v>4.7300000000000004</v>
      </c>
    </row>
    <row r="1190" spans="4:51" x14ac:dyDescent="0.3">
      <c r="D1190" s="2">
        <f t="shared" si="75"/>
        <v>2011</v>
      </c>
      <c r="E1190" s="2">
        <f t="shared" si="76"/>
        <v>3</v>
      </c>
      <c r="F1190" s="3" t="s">
        <v>175</v>
      </c>
      <c r="G1190" s="4">
        <v>40618</v>
      </c>
      <c r="H1190" s="1">
        <v>6606238</v>
      </c>
      <c r="I1190" s="1">
        <v>661152</v>
      </c>
      <c r="J1190" s="5" t="s">
        <v>176</v>
      </c>
      <c r="K1190" s="1"/>
      <c r="L1190" s="1" t="str">
        <f t="shared" si="77"/>
        <v xml:space="preserve">Oxundaån </v>
      </c>
      <c r="M1190" s="1" t="s">
        <v>177</v>
      </c>
      <c r="N1190" s="1">
        <v>0.5</v>
      </c>
      <c r="O1190" s="1">
        <v>0.5</v>
      </c>
      <c r="Q1190" s="1">
        <v>1</v>
      </c>
      <c r="T1190" s="1">
        <v>52.7</v>
      </c>
      <c r="V1190" s="1">
        <v>2.7290000000000001</v>
      </c>
      <c r="W1190" s="1">
        <v>31</v>
      </c>
      <c r="X1190" s="1">
        <f t="shared" si="78"/>
        <v>5.78905223452311E-2</v>
      </c>
      <c r="Y1190" s="1">
        <v>6.4000000000000001E-2</v>
      </c>
      <c r="Z1190" s="1">
        <v>49</v>
      </c>
      <c r="AA1190" s="1">
        <v>4</v>
      </c>
      <c r="AD1190" s="1">
        <v>1020</v>
      </c>
      <c r="AE1190" s="1">
        <v>7.32</v>
      </c>
      <c r="AG1190" s="1">
        <v>3.3</v>
      </c>
      <c r="AI1190" s="1">
        <v>12.1</v>
      </c>
      <c r="AK1190" s="1">
        <v>57</v>
      </c>
      <c r="AL1190" s="1">
        <v>1577</v>
      </c>
      <c r="AR1190" s="1">
        <v>61.54</v>
      </c>
      <c r="AS1190" s="1">
        <v>0.23</v>
      </c>
      <c r="AT1190" s="1">
        <v>5.9040999999999997</v>
      </c>
      <c r="AU1190" s="1">
        <v>10.018799999999999</v>
      </c>
      <c r="AV1190" s="1">
        <v>45.730500000000006</v>
      </c>
      <c r="AW1190" s="1">
        <v>30.670780000000001</v>
      </c>
      <c r="AX1190" s="1">
        <v>59.149549999999998</v>
      </c>
      <c r="AY1190" s="1">
        <v>4.4400000000000004</v>
      </c>
    </row>
    <row r="1191" spans="4:51" x14ac:dyDescent="0.3">
      <c r="D1191" s="2">
        <f t="shared" si="75"/>
        <v>2011</v>
      </c>
      <c r="E1191" s="2">
        <f t="shared" si="76"/>
        <v>4</v>
      </c>
      <c r="F1191" s="3" t="s">
        <v>178</v>
      </c>
      <c r="G1191" s="4">
        <v>40646</v>
      </c>
      <c r="H1191" s="1">
        <v>6606238</v>
      </c>
      <c r="I1191" s="1">
        <v>661152</v>
      </c>
      <c r="J1191" s="5" t="s">
        <v>176</v>
      </c>
      <c r="K1191" s="1"/>
      <c r="L1191" s="1" t="str">
        <f t="shared" si="77"/>
        <v xml:space="preserve">Oxundaån </v>
      </c>
      <c r="M1191" s="1" t="s">
        <v>177</v>
      </c>
      <c r="N1191" s="1">
        <v>0.5</v>
      </c>
      <c r="O1191" s="1">
        <v>0.5</v>
      </c>
      <c r="Q1191" s="1">
        <v>5</v>
      </c>
      <c r="T1191" s="1">
        <v>35.9</v>
      </c>
      <c r="V1191" s="1">
        <v>1.7809999999999999</v>
      </c>
      <c r="W1191" s="1">
        <v>80</v>
      </c>
      <c r="X1191" s="1">
        <f t="shared" si="78"/>
        <v>0.16123940892692215</v>
      </c>
      <c r="Y1191" s="1">
        <v>0.10100000000000001</v>
      </c>
      <c r="Z1191" s="1">
        <v>30</v>
      </c>
      <c r="AA1191" s="1">
        <v>22</v>
      </c>
      <c r="AD1191" s="1">
        <v>1421</v>
      </c>
      <c r="AE1191" s="1">
        <v>7.21</v>
      </c>
      <c r="AG1191" s="1">
        <v>13.1</v>
      </c>
      <c r="AI1191" s="1">
        <v>13.1</v>
      </c>
      <c r="AK1191" s="1">
        <v>77</v>
      </c>
      <c r="AL1191" s="1">
        <v>2108</v>
      </c>
      <c r="AR1191" s="1">
        <v>41.34</v>
      </c>
      <c r="AS1191" s="1">
        <v>0.88</v>
      </c>
      <c r="AT1191" s="1">
        <v>4.4183000000000003</v>
      </c>
      <c r="AU1191" s="1">
        <v>7.0300999999999991</v>
      </c>
      <c r="AV1191" s="1">
        <v>26.871100000000002</v>
      </c>
      <c r="AW1191" s="1">
        <v>18.122600000000002</v>
      </c>
      <c r="AX1191" s="1">
        <v>40.938599999999994</v>
      </c>
      <c r="AY1191" s="1">
        <v>6.34</v>
      </c>
    </row>
    <row r="1192" spans="4:51" x14ac:dyDescent="0.3">
      <c r="D1192" s="2">
        <f t="shared" si="75"/>
        <v>2011</v>
      </c>
      <c r="E1192" s="2">
        <f t="shared" si="76"/>
        <v>5</v>
      </c>
      <c r="F1192" s="3" t="s">
        <v>178</v>
      </c>
      <c r="G1192" s="4">
        <v>40666</v>
      </c>
      <c r="J1192" s="1" t="s">
        <v>181</v>
      </c>
      <c r="K1192" s="1"/>
      <c r="L1192" s="1" t="str">
        <f t="shared" si="77"/>
        <v xml:space="preserve">Fysingen </v>
      </c>
      <c r="M1192" s="1" t="s">
        <v>177</v>
      </c>
      <c r="P1192" s="1">
        <v>1.2</v>
      </c>
      <c r="Q1192" s="1">
        <v>7.9</v>
      </c>
      <c r="V1192" s="1">
        <v>1.9810000000000001</v>
      </c>
      <c r="W1192" s="1">
        <v>11</v>
      </c>
      <c r="X1192" s="1">
        <f t="shared" si="78"/>
        <v>9.6404692517696039E-2</v>
      </c>
      <c r="Y1192" s="1">
        <v>5.8999999999999997E-2</v>
      </c>
      <c r="Z1192" s="1">
        <v>10</v>
      </c>
      <c r="AB1192" s="1">
        <v>14.5</v>
      </c>
      <c r="AC1192" s="1">
        <v>44</v>
      </c>
      <c r="AD1192" s="1">
        <v>756</v>
      </c>
      <c r="AE1192" s="1">
        <v>7.75</v>
      </c>
      <c r="AI1192" s="1">
        <v>10</v>
      </c>
      <c r="AK1192" s="1">
        <v>30</v>
      </c>
      <c r="AL1192" s="1">
        <v>1326</v>
      </c>
      <c r="AV1192" s="1">
        <v>29.24625</v>
      </c>
      <c r="AX1192" s="1">
        <v>70.297150000000002</v>
      </c>
      <c r="AY1192" s="1">
        <v>4.38</v>
      </c>
    </row>
    <row r="1193" spans="4:51" x14ac:dyDescent="0.3">
      <c r="D1193" s="2">
        <f t="shared" si="75"/>
        <v>2011</v>
      </c>
      <c r="E1193" s="2">
        <f t="shared" si="76"/>
        <v>5</v>
      </c>
      <c r="F1193" s="3" t="s">
        <v>178</v>
      </c>
      <c r="G1193" s="4">
        <v>40681</v>
      </c>
      <c r="H1193" s="1">
        <v>6606238</v>
      </c>
      <c r="I1193" s="1">
        <v>661152</v>
      </c>
      <c r="J1193" s="5" t="s">
        <v>176</v>
      </c>
      <c r="K1193" s="1"/>
      <c r="L1193" s="1" t="str">
        <f t="shared" si="77"/>
        <v xml:space="preserve">Oxundaån </v>
      </c>
      <c r="M1193" s="1" t="s">
        <v>177</v>
      </c>
      <c r="N1193" s="1">
        <v>0.5</v>
      </c>
      <c r="O1193" s="1">
        <v>0.5</v>
      </c>
      <c r="Q1193" s="1">
        <v>15</v>
      </c>
      <c r="T1193" s="1">
        <v>45</v>
      </c>
      <c r="V1193" s="1">
        <v>2.323</v>
      </c>
      <c r="W1193" s="1">
        <v>31</v>
      </c>
      <c r="X1193" s="1">
        <f t="shared" si="78"/>
        <v>0.94152174043278702</v>
      </c>
      <c r="Y1193" s="1">
        <v>5.0999999999999997E-2</v>
      </c>
      <c r="Z1193" s="1">
        <v>5</v>
      </c>
      <c r="AA1193" s="1">
        <v>3.8</v>
      </c>
      <c r="AD1193" s="1">
        <v>146</v>
      </c>
      <c r="AE1193" s="1">
        <v>8.06</v>
      </c>
      <c r="AG1193" s="1">
        <v>4.3</v>
      </c>
      <c r="AI1193" s="1">
        <v>12.3</v>
      </c>
      <c r="AK1193" s="1">
        <v>30</v>
      </c>
      <c r="AL1193" s="1">
        <v>845</v>
      </c>
      <c r="AR1193" s="1">
        <v>49.34</v>
      </c>
      <c r="AS1193" s="1">
        <v>5.3999999999999999E-2</v>
      </c>
      <c r="AT1193" s="1">
        <v>4.8483999999999998</v>
      </c>
      <c r="AU1193" s="1">
        <v>8.1311999999999998</v>
      </c>
      <c r="AV1193" s="1">
        <v>36.371700000000004</v>
      </c>
      <c r="AW1193" s="1">
        <v>24.454040000000003</v>
      </c>
      <c r="AX1193" s="1">
        <v>45.455299999999994</v>
      </c>
      <c r="AY1193" s="1">
        <v>2.0299999999999998</v>
      </c>
    </row>
    <row r="1194" spans="4:51" x14ac:dyDescent="0.3">
      <c r="D1194" s="2">
        <f t="shared" si="75"/>
        <v>2011</v>
      </c>
      <c r="E1194" s="2">
        <f t="shared" si="76"/>
        <v>6</v>
      </c>
      <c r="F1194" s="3"/>
      <c r="G1194" s="4">
        <v>40708</v>
      </c>
      <c r="H1194" s="1">
        <v>6606238</v>
      </c>
      <c r="I1194" s="1">
        <v>661152</v>
      </c>
      <c r="J1194" s="5" t="s">
        <v>176</v>
      </c>
      <c r="K1194" s="1"/>
      <c r="L1194" s="1" t="str">
        <f t="shared" si="77"/>
        <v xml:space="preserve">Oxundaån </v>
      </c>
      <c r="M1194" s="1" t="s">
        <v>177</v>
      </c>
      <c r="N1194" s="1">
        <v>0.5</v>
      </c>
      <c r="O1194" s="1">
        <v>0.5</v>
      </c>
      <c r="Q1194" s="1">
        <v>21.5</v>
      </c>
      <c r="T1194" s="1">
        <v>44</v>
      </c>
      <c r="V1194" s="1">
        <v>2.4409999999999998</v>
      </c>
      <c r="W1194" s="1">
        <v>90</v>
      </c>
      <c r="X1194" s="1">
        <f t="shared" si="78"/>
        <v>2.2295028559877927</v>
      </c>
      <c r="Y1194" s="1">
        <v>5.7000000000000002E-2</v>
      </c>
      <c r="Z1194" s="1">
        <v>26</v>
      </c>
      <c r="AA1194" s="1">
        <v>3.4</v>
      </c>
      <c r="AD1194" s="1">
        <v>13</v>
      </c>
      <c r="AE1194" s="1">
        <v>7.76</v>
      </c>
      <c r="AG1194" s="1">
        <v>3.5</v>
      </c>
      <c r="AI1194" s="1">
        <v>11.4</v>
      </c>
      <c r="AK1194" s="1">
        <v>53</v>
      </c>
      <c r="AL1194" s="1">
        <v>808</v>
      </c>
      <c r="AR1194" s="1">
        <v>50.64</v>
      </c>
      <c r="AS1194" s="1">
        <v>0.14000000000000001</v>
      </c>
      <c r="AT1194" s="1">
        <v>5.2003000000000004</v>
      </c>
      <c r="AU1194" s="1">
        <v>8.8209</v>
      </c>
      <c r="AV1194" s="1">
        <v>37.931500000000007</v>
      </c>
      <c r="AW1194" s="1">
        <v>25.692800000000005</v>
      </c>
      <c r="AX1194" s="1">
        <v>46.224099999999993</v>
      </c>
      <c r="AY1194" s="1">
        <v>1.1200000000000001</v>
      </c>
    </row>
    <row r="1195" spans="4:51" x14ac:dyDescent="0.3">
      <c r="D1195" s="2">
        <f t="shared" si="75"/>
        <v>2011</v>
      </c>
      <c r="E1195" s="2">
        <f t="shared" si="76"/>
        <v>7</v>
      </c>
      <c r="F1195" s="3" t="s">
        <v>179</v>
      </c>
      <c r="G1195" s="4">
        <v>40736</v>
      </c>
      <c r="H1195" s="1">
        <v>6606238</v>
      </c>
      <c r="I1195" s="1">
        <v>661152</v>
      </c>
      <c r="J1195" s="5" t="s">
        <v>176</v>
      </c>
      <c r="K1195" s="1"/>
      <c r="L1195" s="1" t="str">
        <f t="shared" si="77"/>
        <v xml:space="preserve">Oxundaån </v>
      </c>
      <c r="M1195" s="1" t="s">
        <v>177</v>
      </c>
      <c r="N1195" s="1">
        <v>0.5</v>
      </c>
      <c r="O1195" s="1">
        <v>0.5</v>
      </c>
      <c r="Q1195" s="1">
        <v>22.5</v>
      </c>
      <c r="T1195" s="1">
        <v>44.6</v>
      </c>
      <c r="V1195" s="1">
        <v>2.4649999999999999</v>
      </c>
      <c r="W1195" s="1">
        <v>108</v>
      </c>
      <c r="X1195" s="1">
        <f t="shared" si="78"/>
        <v>1.9136242996836268</v>
      </c>
      <c r="Y1195" s="1">
        <v>4.7E-2</v>
      </c>
      <c r="Z1195" s="1">
        <v>69</v>
      </c>
      <c r="AA1195" s="1">
        <v>3.1</v>
      </c>
      <c r="AB1195" s="1">
        <v>7.8</v>
      </c>
      <c r="AD1195" s="1">
        <v>25</v>
      </c>
      <c r="AE1195" s="1">
        <v>7.58</v>
      </c>
      <c r="AG1195" s="1">
        <v>3.4</v>
      </c>
      <c r="AI1195" s="1">
        <v>12.8</v>
      </c>
      <c r="AK1195" s="1">
        <v>104</v>
      </c>
      <c r="AL1195" s="1">
        <v>936</v>
      </c>
      <c r="AR1195" s="1">
        <v>51.4</v>
      </c>
      <c r="AS1195" s="1">
        <v>7.5999999999999998E-2</v>
      </c>
      <c r="AT1195" s="1">
        <v>5.1221000000000005</v>
      </c>
      <c r="AU1195" s="1">
        <v>8.7845999999999993</v>
      </c>
      <c r="AV1195" s="1">
        <v>38.995000000000005</v>
      </c>
      <c r="AW1195" s="1">
        <v>25.784560000000003</v>
      </c>
      <c r="AX1195" s="1">
        <v>45.647499999999994</v>
      </c>
      <c r="AY1195" s="1">
        <v>1.07</v>
      </c>
    </row>
    <row r="1196" spans="4:51" x14ac:dyDescent="0.3">
      <c r="D1196" s="2">
        <f t="shared" si="75"/>
        <v>2011</v>
      </c>
      <c r="E1196" s="2">
        <f t="shared" si="76"/>
        <v>8</v>
      </c>
      <c r="F1196" s="3" t="s">
        <v>179</v>
      </c>
      <c r="G1196" s="4">
        <v>40756</v>
      </c>
      <c r="J1196" s="1" t="s">
        <v>182</v>
      </c>
      <c r="K1196" s="1"/>
      <c r="L1196" s="1" t="str">
        <f t="shared" si="77"/>
        <v xml:space="preserve">Edssjön </v>
      </c>
      <c r="M1196" s="1" t="s">
        <v>177</v>
      </c>
      <c r="P1196" s="1">
        <v>1.7</v>
      </c>
      <c r="Q1196" s="1">
        <v>21.1</v>
      </c>
      <c r="R1196" s="1">
        <v>8.1</v>
      </c>
      <c r="S1196" s="1">
        <v>91</v>
      </c>
      <c r="V1196" s="1">
        <v>2.9127000000000001</v>
      </c>
      <c r="W1196" s="1">
        <v>5</v>
      </c>
      <c r="X1196" s="1">
        <f t="shared" si="78"/>
        <v>0.22453323117177781</v>
      </c>
      <c r="Y1196" s="1">
        <v>5.0999999999999997E-2</v>
      </c>
      <c r="Z1196" s="1">
        <v>75</v>
      </c>
      <c r="AB1196" s="1">
        <v>22.2</v>
      </c>
      <c r="AD1196" s="1">
        <v>0</v>
      </c>
      <c r="AE1196" s="1">
        <v>8.0399999999999991</v>
      </c>
      <c r="AK1196" s="1">
        <v>140</v>
      </c>
      <c r="AL1196" s="1">
        <v>900</v>
      </c>
    </row>
    <row r="1197" spans="4:51" x14ac:dyDescent="0.3">
      <c r="D1197" s="2">
        <f t="shared" si="75"/>
        <v>2011</v>
      </c>
      <c r="E1197" s="2">
        <f t="shared" si="76"/>
        <v>8</v>
      </c>
      <c r="F1197" s="3" t="s">
        <v>179</v>
      </c>
      <c r="G1197" s="4">
        <v>40756</v>
      </c>
      <c r="J1197" s="1" t="s">
        <v>182</v>
      </c>
      <c r="K1197" s="1"/>
      <c r="L1197" s="1" t="str">
        <f t="shared" si="77"/>
        <v xml:space="preserve">Edssjön </v>
      </c>
      <c r="M1197" s="1" t="s">
        <v>184</v>
      </c>
      <c r="Q1197" s="1">
        <v>20.8</v>
      </c>
      <c r="R1197" s="1">
        <v>5.2</v>
      </c>
      <c r="S1197" s="1">
        <v>58</v>
      </c>
      <c r="V1197" s="1">
        <v>2.9127000000000001</v>
      </c>
      <c r="W1197" s="1">
        <v>17</v>
      </c>
      <c r="X1197" s="1">
        <f t="shared" si="78"/>
        <v>0.91061686886465398</v>
      </c>
      <c r="Y1197" s="1">
        <v>5.2999999999999999E-2</v>
      </c>
      <c r="Z1197" s="1">
        <v>80</v>
      </c>
      <c r="AD1197" s="1">
        <v>0</v>
      </c>
      <c r="AE1197" s="1">
        <v>8.1300000000000008</v>
      </c>
      <c r="AK1197" s="1">
        <v>140</v>
      </c>
      <c r="AL1197" s="1">
        <v>900</v>
      </c>
    </row>
    <row r="1198" spans="4:51" x14ac:dyDescent="0.3">
      <c r="D1198" s="2">
        <f t="shared" si="75"/>
        <v>2011</v>
      </c>
      <c r="E1198" s="2">
        <f t="shared" si="76"/>
        <v>8</v>
      </c>
      <c r="F1198" s="3" t="s">
        <v>179</v>
      </c>
      <c r="G1198" s="4">
        <v>40756</v>
      </c>
      <c r="J1198" s="1" t="s">
        <v>183</v>
      </c>
      <c r="K1198" s="1"/>
      <c r="L1198" s="1" t="str">
        <f t="shared" si="77"/>
        <v xml:space="preserve">Fjäturen </v>
      </c>
      <c r="M1198" s="1" t="s">
        <v>177</v>
      </c>
      <c r="P1198" s="1">
        <v>3.6</v>
      </c>
      <c r="Q1198" s="1">
        <v>21.4</v>
      </c>
      <c r="R1198" s="1">
        <v>9.1999999999999993</v>
      </c>
      <c r="S1198" s="1">
        <v>103</v>
      </c>
      <c r="V1198" s="1">
        <v>2.1078749999999999</v>
      </c>
      <c r="W1198" s="1">
        <v>5</v>
      </c>
      <c r="X1198" s="1">
        <f t="shared" si="78"/>
        <v>0.20085288574632668</v>
      </c>
      <c r="Y1198" s="1">
        <v>5.8000000000000003E-2</v>
      </c>
      <c r="Z1198" s="1">
        <v>1.5</v>
      </c>
      <c r="AB1198" s="1">
        <v>5.0599999999999996</v>
      </c>
      <c r="AD1198" s="1">
        <v>0</v>
      </c>
      <c r="AE1198" s="1">
        <v>7.98</v>
      </c>
      <c r="AK1198" s="1">
        <v>19</v>
      </c>
      <c r="AL1198" s="1">
        <v>560</v>
      </c>
    </row>
    <row r="1199" spans="4:51" x14ac:dyDescent="0.3">
      <c r="D1199" s="2">
        <f t="shared" si="75"/>
        <v>2011</v>
      </c>
      <c r="E1199" s="2">
        <f t="shared" si="76"/>
        <v>8</v>
      </c>
      <c r="F1199" s="3" t="s">
        <v>179</v>
      </c>
      <c r="G1199" s="4">
        <v>40756</v>
      </c>
      <c r="J1199" s="1" t="s">
        <v>183</v>
      </c>
      <c r="K1199" s="1"/>
      <c r="L1199" s="1" t="str">
        <f t="shared" si="77"/>
        <v xml:space="preserve">Fjäturen </v>
      </c>
      <c r="M1199" s="1" t="s">
        <v>184</v>
      </c>
      <c r="Q1199" s="1">
        <v>11.3</v>
      </c>
      <c r="R1199" s="1">
        <v>0.15</v>
      </c>
      <c r="S1199" s="1">
        <v>1.7</v>
      </c>
      <c r="V1199" s="1">
        <v>2.1078749999999999</v>
      </c>
      <c r="W1199" s="1">
        <v>300</v>
      </c>
      <c r="X1199" s="1">
        <f t="shared" si="78"/>
        <v>1.1967835556770263</v>
      </c>
      <c r="Y1199" s="1">
        <v>8.1000000000000003E-2</v>
      </c>
      <c r="Z1199" s="1">
        <v>55</v>
      </c>
      <c r="AD1199" s="1">
        <v>0</v>
      </c>
      <c r="AE1199" s="1">
        <v>7.29</v>
      </c>
      <c r="AK1199" s="1">
        <v>130</v>
      </c>
      <c r="AL1199" s="1">
        <v>920</v>
      </c>
    </row>
    <row r="1200" spans="4:51" x14ac:dyDescent="0.3">
      <c r="D1200" s="2">
        <f t="shared" si="75"/>
        <v>2011</v>
      </c>
      <c r="E1200" s="2">
        <f t="shared" si="76"/>
        <v>8</v>
      </c>
      <c r="F1200" s="3" t="s">
        <v>179</v>
      </c>
      <c r="G1200" s="4">
        <v>40756</v>
      </c>
      <c r="J1200" s="1" t="s">
        <v>187</v>
      </c>
      <c r="K1200" s="1"/>
      <c r="L1200" s="1" t="str">
        <f t="shared" si="77"/>
        <v xml:space="preserve">Oxundasjön </v>
      </c>
      <c r="M1200" s="1" t="s">
        <v>177</v>
      </c>
      <c r="P1200" s="1">
        <v>1.8</v>
      </c>
      <c r="Q1200" s="1">
        <v>21.3</v>
      </c>
      <c r="R1200" s="1">
        <v>9.5</v>
      </c>
      <c r="S1200" s="1">
        <v>107</v>
      </c>
      <c r="V1200" s="1">
        <v>2.644425</v>
      </c>
      <c r="W1200" s="1">
        <v>5</v>
      </c>
      <c r="X1200" s="1">
        <f t="shared" si="78"/>
        <v>0.39937700853671937</v>
      </c>
      <c r="Y1200" s="1">
        <v>5.8000000000000003E-2</v>
      </c>
      <c r="Z1200" s="1">
        <v>42</v>
      </c>
      <c r="AB1200" s="1">
        <v>22.6</v>
      </c>
      <c r="AD1200" s="1">
        <v>0</v>
      </c>
      <c r="AE1200" s="1">
        <v>8.3000000000000007</v>
      </c>
      <c r="AK1200" s="1">
        <v>110</v>
      </c>
      <c r="AL1200" s="1">
        <v>800</v>
      </c>
    </row>
    <row r="1201" spans="4:50" x14ac:dyDescent="0.3">
      <c r="D1201" s="2">
        <f t="shared" si="75"/>
        <v>2011</v>
      </c>
      <c r="E1201" s="2">
        <f t="shared" si="76"/>
        <v>8</v>
      </c>
      <c r="F1201" s="3" t="s">
        <v>179</v>
      </c>
      <c r="G1201" s="4">
        <v>40756</v>
      </c>
      <c r="J1201" s="1" t="s">
        <v>187</v>
      </c>
      <c r="K1201" s="1"/>
      <c r="L1201" s="1" t="str">
        <f t="shared" si="77"/>
        <v xml:space="preserve">Oxundasjön </v>
      </c>
      <c r="M1201" s="1" t="s">
        <v>184</v>
      </c>
      <c r="Q1201" s="1">
        <v>19.7</v>
      </c>
      <c r="R1201" s="1">
        <v>0.15</v>
      </c>
      <c r="S1201" s="1">
        <v>1.4</v>
      </c>
      <c r="V1201" s="1">
        <v>2.6061000000000001</v>
      </c>
      <c r="W1201" s="1">
        <v>5</v>
      </c>
      <c r="X1201" s="1">
        <f t="shared" si="78"/>
        <v>7.0905453049261283E-2</v>
      </c>
      <c r="Y1201" s="1">
        <v>5.8999999999999997E-2</v>
      </c>
      <c r="Z1201" s="1">
        <v>95</v>
      </c>
      <c r="AD1201" s="1">
        <v>0</v>
      </c>
      <c r="AE1201" s="1">
        <v>7.57</v>
      </c>
      <c r="AK1201" s="1">
        <v>170</v>
      </c>
      <c r="AL1201" s="1">
        <v>860</v>
      </c>
    </row>
    <row r="1202" spans="4:50" x14ac:dyDescent="0.3">
      <c r="D1202" s="2">
        <f t="shared" si="75"/>
        <v>2011</v>
      </c>
      <c r="E1202" s="2">
        <f t="shared" si="76"/>
        <v>8</v>
      </c>
      <c r="F1202" s="3" t="s">
        <v>179</v>
      </c>
      <c r="G1202" s="4">
        <v>40756</v>
      </c>
      <c r="J1202" s="1" t="s">
        <v>188</v>
      </c>
      <c r="K1202" s="1"/>
      <c r="L1202" s="1" t="str">
        <f t="shared" si="77"/>
        <v xml:space="preserve">Ravalen </v>
      </c>
      <c r="M1202" s="1" t="s">
        <v>177</v>
      </c>
      <c r="P1202" s="1">
        <v>1.5</v>
      </c>
      <c r="Q1202" s="1">
        <v>21.1</v>
      </c>
      <c r="R1202" s="1">
        <v>9.9</v>
      </c>
      <c r="S1202" s="1">
        <v>111</v>
      </c>
      <c r="V1202" s="1">
        <v>1.7246250000000001</v>
      </c>
      <c r="W1202" s="1">
        <v>12</v>
      </c>
      <c r="X1202" s="1">
        <f t="shared" si="78"/>
        <v>1.7845275454193752</v>
      </c>
      <c r="Y1202" s="1">
        <v>5.7000000000000002E-2</v>
      </c>
      <c r="Z1202" s="1">
        <v>1.5</v>
      </c>
      <c r="AB1202" s="1">
        <v>4.71</v>
      </c>
      <c r="AD1202" s="1">
        <v>0</v>
      </c>
      <c r="AE1202" s="1">
        <v>8.61</v>
      </c>
      <c r="AK1202" s="1">
        <v>23</v>
      </c>
      <c r="AL1202" s="1">
        <v>760</v>
      </c>
    </row>
    <row r="1203" spans="4:50" x14ac:dyDescent="0.3">
      <c r="D1203" s="2">
        <f t="shared" si="75"/>
        <v>2011</v>
      </c>
      <c r="E1203" s="2">
        <f t="shared" si="76"/>
        <v>8</v>
      </c>
      <c r="F1203" s="3" t="s">
        <v>179</v>
      </c>
      <c r="G1203" s="4">
        <v>40756</v>
      </c>
      <c r="J1203" s="1" t="s">
        <v>188</v>
      </c>
      <c r="K1203" s="1"/>
      <c r="L1203" s="1" t="str">
        <f t="shared" si="77"/>
        <v xml:space="preserve">Ravalen </v>
      </c>
      <c r="M1203" s="1" t="s">
        <v>184</v>
      </c>
      <c r="Q1203" s="1">
        <v>21</v>
      </c>
      <c r="R1203" s="1">
        <v>9.1</v>
      </c>
      <c r="S1203" s="1">
        <v>102</v>
      </c>
      <c r="V1203" s="1">
        <v>1.60965</v>
      </c>
      <c r="W1203" s="1">
        <v>15</v>
      </c>
      <c r="X1203" s="1">
        <f t="shared" si="78"/>
        <v>2.3053259193669233</v>
      </c>
      <c r="Y1203" s="1">
        <v>6.8000000000000005E-2</v>
      </c>
      <c r="Z1203" s="1">
        <v>1.5</v>
      </c>
      <c r="AD1203" s="1">
        <v>0</v>
      </c>
      <c r="AE1203" s="1">
        <v>8.6300000000000008</v>
      </c>
      <c r="AK1203" s="1">
        <v>24</v>
      </c>
      <c r="AL1203" s="1">
        <v>790</v>
      </c>
    </row>
    <row r="1204" spans="4:50" x14ac:dyDescent="0.3">
      <c r="D1204" s="2">
        <f t="shared" si="75"/>
        <v>2011</v>
      </c>
      <c r="E1204" s="2">
        <f t="shared" si="76"/>
        <v>8</v>
      </c>
      <c r="F1204" s="3" t="s">
        <v>179</v>
      </c>
      <c r="G1204" s="4">
        <v>40756</v>
      </c>
      <c r="J1204" s="1" t="s">
        <v>190</v>
      </c>
      <c r="K1204" s="1"/>
      <c r="L1204" s="1" t="str">
        <f t="shared" si="77"/>
        <v xml:space="preserve">Snuggan </v>
      </c>
      <c r="M1204" s="1" t="s">
        <v>177</v>
      </c>
      <c r="P1204" s="1">
        <v>0.9</v>
      </c>
      <c r="Q1204" s="1">
        <v>22</v>
      </c>
      <c r="R1204" s="1">
        <v>8.6999999999999993</v>
      </c>
      <c r="S1204" s="1">
        <v>99</v>
      </c>
      <c r="V1204" s="1">
        <v>4.7906249999999997E-2</v>
      </c>
      <c r="W1204" s="1">
        <v>5</v>
      </c>
      <c r="X1204" s="1">
        <f t="shared" si="78"/>
        <v>3.0148303176135418E-3</v>
      </c>
      <c r="Y1204" s="1">
        <v>0.66100000000000003</v>
      </c>
      <c r="Z1204" s="1">
        <v>1.5</v>
      </c>
      <c r="AB1204" s="1">
        <v>268</v>
      </c>
      <c r="AD1204" s="1">
        <v>0</v>
      </c>
      <c r="AE1204" s="1">
        <v>6.12</v>
      </c>
      <c r="AK1204" s="1">
        <v>47</v>
      </c>
      <c r="AL1204" s="1">
        <v>1300</v>
      </c>
      <c r="AR1204" s="1">
        <v>3.62</v>
      </c>
      <c r="AT1204" s="1">
        <v>0.2</v>
      </c>
      <c r="AU1204" s="1">
        <v>0.86299999999999999</v>
      </c>
      <c r="AV1204" s="1">
        <v>6.76</v>
      </c>
      <c r="AW1204" s="1">
        <v>4.7699999999999996</v>
      </c>
      <c r="AX1204" s="1">
        <v>2.5</v>
      </c>
    </row>
    <row r="1205" spans="4:50" x14ac:dyDescent="0.3">
      <c r="D1205" s="2">
        <f t="shared" si="75"/>
        <v>2011</v>
      </c>
      <c r="E1205" s="2">
        <f t="shared" si="76"/>
        <v>8</v>
      </c>
      <c r="F1205" s="3" t="s">
        <v>179</v>
      </c>
      <c r="G1205" s="4">
        <v>40756</v>
      </c>
      <c r="J1205" s="1" t="s">
        <v>190</v>
      </c>
      <c r="K1205" s="1"/>
      <c r="L1205" s="1" t="str">
        <f t="shared" si="77"/>
        <v xml:space="preserve">Snuggan </v>
      </c>
      <c r="M1205" s="1" t="s">
        <v>184</v>
      </c>
      <c r="Q1205" s="1">
        <v>10.8</v>
      </c>
      <c r="R1205" s="1">
        <v>0.2</v>
      </c>
      <c r="S1205" s="1">
        <v>1.9</v>
      </c>
      <c r="V1205" s="1">
        <v>0.23761499999999999</v>
      </c>
      <c r="W1205" s="1">
        <v>320</v>
      </c>
      <c r="X1205" s="1">
        <f t="shared" si="78"/>
        <v>6.930855070048475E-2</v>
      </c>
      <c r="Y1205" s="1">
        <v>0.82099999999999995</v>
      </c>
      <c r="Z1205" s="1">
        <v>1.5</v>
      </c>
      <c r="AD1205" s="1">
        <v>0</v>
      </c>
      <c r="AE1205" s="1">
        <v>6.04</v>
      </c>
      <c r="AK1205" s="1">
        <v>47</v>
      </c>
      <c r="AL1205" s="1">
        <v>1400</v>
      </c>
    </row>
    <row r="1206" spans="4:50" x14ac:dyDescent="0.3">
      <c r="D1206" s="2">
        <f t="shared" si="75"/>
        <v>2011</v>
      </c>
      <c r="E1206" s="2">
        <f t="shared" si="76"/>
        <v>8</v>
      </c>
      <c r="F1206" s="3" t="s">
        <v>179</v>
      </c>
      <c r="G1206" s="4">
        <v>40756</v>
      </c>
      <c r="J1206" s="1" t="s">
        <v>192</v>
      </c>
      <c r="K1206" s="1"/>
      <c r="L1206" s="1" t="str">
        <f t="shared" si="77"/>
        <v xml:space="preserve">Väsjön </v>
      </c>
      <c r="M1206" s="1" t="s">
        <v>177</v>
      </c>
      <c r="P1206" s="1">
        <v>2</v>
      </c>
      <c r="Q1206" s="1">
        <v>21.8</v>
      </c>
      <c r="R1206" s="1">
        <v>9.9</v>
      </c>
      <c r="S1206" s="1">
        <v>113</v>
      </c>
      <c r="V1206" s="1">
        <v>3.0659999999999998</v>
      </c>
      <c r="W1206" s="1">
        <v>5</v>
      </c>
      <c r="X1206" s="1">
        <f t="shared" si="78"/>
        <v>0.23565996739197798</v>
      </c>
      <c r="Y1206" s="1">
        <v>7.2999999999999995E-2</v>
      </c>
      <c r="Z1206" s="1">
        <v>1.5</v>
      </c>
      <c r="AB1206" s="1">
        <v>10.4</v>
      </c>
      <c r="AD1206" s="1">
        <v>0</v>
      </c>
      <c r="AE1206" s="1">
        <v>8.0399999999999991</v>
      </c>
      <c r="AK1206" s="1">
        <v>34</v>
      </c>
      <c r="AL1206" s="1">
        <v>730</v>
      </c>
    </row>
    <row r="1207" spans="4:50" x14ac:dyDescent="0.3">
      <c r="D1207" s="2">
        <f t="shared" si="75"/>
        <v>2011</v>
      </c>
      <c r="E1207" s="2">
        <f t="shared" si="76"/>
        <v>8</v>
      </c>
      <c r="F1207" s="3" t="s">
        <v>179</v>
      </c>
      <c r="G1207" s="4">
        <v>40756</v>
      </c>
      <c r="J1207" s="1" t="s">
        <v>192</v>
      </c>
      <c r="K1207" s="1"/>
      <c r="L1207" s="1" t="str">
        <f t="shared" si="77"/>
        <v xml:space="preserve">Väsjön </v>
      </c>
      <c r="M1207" s="1" t="s">
        <v>184</v>
      </c>
      <c r="Q1207" s="1">
        <v>21.2</v>
      </c>
      <c r="R1207" s="1">
        <v>6.2</v>
      </c>
      <c r="S1207" s="1">
        <v>70</v>
      </c>
      <c r="V1207" s="1">
        <v>3.1043249999999998</v>
      </c>
      <c r="W1207" s="1">
        <v>5</v>
      </c>
      <c r="X1207" s="1">
        <f t="shared" si="78"/>
        <v>0.23624679784655125</v>
      </c>
      <c r="Y1207" s="1">
        <v>6.9000000000000006E-2</v>
      </c>
      <c r="Z1207" s="1">
        <v>1.5</v>
      </c>
      <c r="AD1207" s="1">
        <v>0</v>
      </c>
      <c r="AE1207" s="1">
        <v>8.06</v>
      </c>
      <c r="AK1207" s="1">
        <v>35</v>
      </c>
      <c r="AL1207" s="1">
        <v>730</v>
      </c>
    </row>
    <row r="1208" spans="4:50" x14ac:dyDescent="0.3">
      <c r="D1208" s="2">
        <f t="shared" si="75"/>
        <v>2011</v>
      </c>
      <c r="E1208" s="2">
        <f t="shared" si="76"/>
        <v>8</v>
      </c>
      <c r="F1208" s="3" t="s">
        <v>179</v>
      </c>
      <c r="G1208" s="4">
        <v>40756</v>
      </c>
      <c r="J1208" s="1" t="s">
        <v>193</v>
      </c>
      <c r="K1208" s="1"/>
      <c r="L1208" s="1" t="str">
        <f t="shared" si="77"/>
        <v xml:space="preserve">Översjön </v>
      </c>
      <c r="M1208" s="1" t="s">
        <v>177</v>
      </c>
      <c r="P1208" s="1">
        <v>1.7</v>
      </c>
      <c r="Q1208" s="1">
        <v>21.4</v>
      </c>
      <c r="R1208" s="1">
        <v>9.3000000000000007</v>
      </c>
      <c r="S1208" s="1">
        <v>106</v>
      </c>
      <c r="V1208" s="1">
        <v>1.91625</v>
      </c>
      <c r="W1208" s="1">
        <v>5</v>
      </c>
      <c r="X1208" s="1">
        <f t="shared" si="78"/>
        <v>0.2395320641606955</v>
      </c>
      <c r="Y1208" s="1">
        <v>6.6000000000000003E-2</v>
      </c>
      <c r="Z1208" s="1">
        <v>1.5</v>
      </c>
      <c r="AB1208" s="1">
        <v>13</v>
      </c>
      <c r="AD1208" s="1">
        <v>0</v>
      </c>
      <c r="AE1208" s="1">
        <v>8.06</v>
      </c>
      <c r="AK1208" s="1">
        <v>30</v>
      </c>
      <c r="AL1208" s="1">
        <v>880</v>
      </c>
    </row>
    <row r="1209" spans="4:50" x14ac:dyDescent="0.3">
      <c r="D1209" s="2">
        <f t="shared" si="75"/>
        <v>2011</v>
      </c>
      <c r="E1209" s="2">
        <f t="shared" si="76"/>
        <v>8</v>
      </c>
      <c r="F1209" s="3" t="s">
        <v>179</v>
      </c>
      <c r="G1209" s="4">
        <v>40756</v>
      </c>
      <c r="J1209" s="1" t="s">
        <v>193</v>
      </c>
      <c r="K1209" s="1"/>
      <c r="L1209" s="1" t="str">
        <f t="shared" si="77"/>
        <v xml:space="preserve">Översjön </v>
      </c>
      <c r="M1209" s="1" t="s">
        <v>184</v>
      </c>
      <c r="Q1209" s="1">
        <v>21</v>
      </c>
      <c r="R1209" s="1">
        <v>8.8000000000000007</v>
      </c>
      <c r="S1209" s="1">
        <v>99</v>
      </c>
      <c r="V1209" s="1">
        <v>1.91625</v>
      </c>
      <c r="W1209" s="1">
        <v>5</v>
      </c>
      <c r="X1209" s="1">
        <f t="shared" si="78"/>
        <v>0.2836093518455014</v>
      </c>
      <c r="Y1209" s="1">
        <v>4.9000000000000002E-2</v>
      </c>
      <c r="Z1209" s="1">
        <v>1.5</v>
      </c>
      <c r="AD1209" s="1">
        <v>0</v>
      </c>
      <c r="AE1209" s="1">
        <v>8.15</v>
      </c>
      <c r="AK1209" s="1">
        <v>36</v>
      </c>
      <c r="AL1209" s="1">
        <v>910</v>
      </c>
    </row>
    <row r="1210" spans="4:50" x14ac:dyDescent="0.3">
      <c r="D1210" s="2">
        <f t="shared" si="75"/>
        <v>2011</v>
      </c>
      <c r="E1210" s="2">
        <f t="shared" si="76"/>
        <v>8</v>
      </c>
      <c r="F1210" s="3" t="s">
        <v>179</v>
      </c>
      <c r="G1210" s="4">
        <v>40757</v>
      </c>
      <c r="J1210" s="1" t="s">
        <v>185</v>
      </c>
      <c r="K1210" s="1"/>
      <c r="L1210" s="1" t="str">
        <f t="shared" si="77"/>
        <v xml:space="preserve">Gullsjön </v>
      </c>
      <c r="M1210" s="1" t="s">
        <v>177</v>
      </c>
      <c r="P1210" s="1">
        <v>1.8</v>
      </c>
      <c r="Q1210" s="1">
        <v>22</v>
      </c>
      <c r="R1210" s="1">
        <v>6.4</v>
      </c>
      <c r="S1210" s="1">
        <v>72</v>
      </c>
      <c r="V1210" s="1">
        <v>1.76295</v>
      </c>
      <c r="W1210" s="1">
        <v>5</v>
      </c>
      <c r="X1210" s="1">
        <f t="shared" si="78"/>
        <v>5.6827762468552673E-2</v>
      </c>
      <c r="Y1210" s="1">
        <v>0.151</v>
      </c>
      <c r="Z1210" s="1">
        <v>1.5</v>
      </c>
      <c r="AB1210" s="1">
        <v>3.58</v>
      </c>
      <c r="AD1210" s="1">
        <v>0</v>
      </c>
      <c r="AE1210" s="1">
        <v>7.4</v>
      </c>
      <c r="AK1210" s="1">
        <v>18</v>
      </c>
      <c r="AL1210" s="1">
        <v>640</v>
      </c>
    </row>
    <row r="1211" spans="4:50" x14ac:dyDescent="0.3">
      <c r="D1211" s="2">
        <f t="shared" si="75"/>
        <v>2011</v>
      </c>
      <c r="E1211" s="2">
        <f t="shared" si="76"/>
        <v>8</v>
      </c>
      <c r="F1211" s="3" t="s">
        <v>179</v>
      </c>
      <c r="G1211" s="4">
        <v>40757</v>
      </c>
      <c r="J1211" s="1" t="s">
        <v>185</v>
      </c>
      <c r="K1211" s="1"/>
      <c r="L1211" s="1" t="str">
        <f t="shared" si="77"/>
        <v xml:space="preserve">Gullsjön </v>
      </c>
      <c r="M1211" s="1" t="s">
        <v>184</v>
      </c>
      <c r="Q1211" s="1">
        <v>18.8</v>
      </c>
      <c r="R1211" s="1">
        <v>0.5</v>
      </c>
      <c r="S1211" s="1">
        <v>5.4</v>
      </c>
      <c r="V1211" s="1">
        <v>1.8395999999999999</v>
      </c>
      <c r="W1211" s="1">
        <v>46</v>
      </c>
      <c r="X1211" s="1">
        <f t="shared" si="78"/>
        <v>0.14144773803912494</v>
      </c>
      <c r="Y1211" s="1">
        <v>0.16200000000000001</v>
      </c>
      <c r="Z1211" s="1">
        <v>1.5</v>
      </c>
      <c r="AD1211" s="1">
        <v>0</v>
      </c>
      <c r="AE1211" s="1">
        <v>6.93</v>
      </c>
      <c r="AK1211" s="1">
        <v>23</v>
      </c>
      <c r="AL1211" s="1">
        <v>850</v>
      </c>
    </row>
    <row r="1212" spans="4:50" x14ac:dyDescent="0.3">
      <c r="D1212" s="2">
        <f t="shared" si="75"/>
        <v>2011</v>
      </c>
      <c r="E1212" s="2">
        <f t="shared" si="76"/>
        <v>8</v>
      </c>
      <c r="F1212" s="3" t="s">
        <v>179</v>
      </c>
      <c r="G1212" s="4">
        <v>40757</v>
      </c>
      <c r="J1212" s="1" t="s">
        <v>201</v>
      </c>
      <c r="K1212" s="1"/>
      <c r="L1212" s="1" t="str">
        <f t="shared" si="77"/>
        <v xml:space="preserve">Mörtsjön </v>
      </c>
      <c r="M1212" s="1" t="s">
        <v>177</v>
      </c>
      <c r="P1212" s="1">
        <v>2.2999999999999998</v>
      </c>
      <c r="Q1212" s="1">
        <v>21</v>
      </c>
      <c r="R1212" s="1">
        <v>7.9</v>
      </c>
      <c r="S1212" s="1">
        <v>88</v>
      </c>
      <c r="V1212" s="1">
        <v>2.337825</v>
      </c>
      <c r="W1212" s="1">
        <v>5</v>
      </c>
      <c r="X1212" s="1">
        <f t="shared" si="78"/>
        <v>0.16722728860213723</v>
      </c>
      <c r="Y1212" s="1">
        <v>0.11899999999999999</v>
      </c>
      <c r="Z1212" s="1">
        <v>1.5</v>
      </c>
      <c r="AB1212" s="1">
        <v>8.4499999999999993</v>
      </c>
      <c r="AD1212" s="1">
        <v>0</v>
      </c>
      <c r="AE1212" s="1">
        <v>7.91</v>
      </c>
      <c r="AK1212" s="1">
        <v>25</v>
      </c>
      <c r="AL1212" s="1">
        <v>670</v>
      </c>
    </row>
    <row r="1213" spans="4:50" x14ac:dyDescent="0.3">
      <c r="D1213" s="2">
        <f t="shared" si="75"/>
        <v>2011</v>
      </c>
      <c r="E1213" s="2">
        <f t="shared" si="76"/>
        <v>8</v>
      </c>
      <c r="F1213" s="3" t="s">
        <v>179</v>
      </c>
      <c r="G1213" s="4">
        <v>40757</v>
      </c>
      <c r="J1213" s="1" t="s">
        <v>201</v>
      </c>
      <c r="K1213" s="1"/>
      <c r="L1213" s="1" t="str">
        <f t="shared" si="77"/>
        <v xml:space="preserve">Mörtsjön </v>
      </c>
      <c r="M1213" s="1" t="s">
        <v>184</v>
      </c>
      <c r="Q1213" s="1">
        <v>12.6</v>
      </c>
      <c r="R1213" s="1">
        <v>0.15</v>
      </c>
      <c r="S1213" s="1">
        <v>1.4</v>
      </c>
      <c r="V1213" s="1">
        <v>3.0659999999999998</v>
      </c>
      <c r="W1213" s="1">
        <v>1000</v>
      </c>
      <c r="X1213" s="1">
        <f t="shared" si="78"/>
        <v>2.0672517366291103</v>
      </c>
      <c r="Y1213" s="1">
        <v>0.23699999999999999</v>
      </c>
      <c r="Z1213" s="1">
        <v>1.5</v>
      </c>
      <c r="AD1213" s="1">
        <v>0</v>
      </c>
      <c r="AE1213" s="1">
        <v>6.96</v>
      </c>
      <c r="AK1213" s="1">
        <v>110</v>
      </c>
      <c r="AL1213" s="1">
        <v>2600</v>
      </c>
    </row>
    <row r="1214" spans="4:50" x14ac:dyDescent="0.3">
      <c r="D1214" s="2">
        <f t="shared" si="75"/>
        <v>2011</v>
      </c>
      <c r="E1214" s="2">
        <f t="shared" si="76"/>
        <v>8</v>
      </c>
      <c r="F1214" s="3" t="s">
        <v>179</v>
      </c>
      <c r="G1214" s="4">
        <v>40757</v>
      </c>
      <c r="J1214" s="1" t="s">
        <v>189</v>
      </c>
      <c r="K1214" s="1"/>
      <c r="L1214" s="1" t="str">
        <f t="shared" si="77"/>
        <v xml:space="preserve">Rösjön </v>
      </c>
      <c r="M1214" s="1" t="s">
        <v>177</v>
      </c>
      <c r="P1214" s="1">
        <v>3.2</v>
      </c>
      <c r="Q1214" s="1">
        <v>21</v>
      </c>
      <c r="R1214" s="1">
        <v>8.6999999999999993</v>
      </c>
      <c r="S1214" s="1">
        <v>97</v>
      </c>
      <c r="V1214" s="1">
        <v>1.8779250000000001</v>
      </c>
      <c r="W1214" s="1">
        <v>5</v>
      </c>
      <c r="X1214" s="1">
        <f t="shared" si="78"/>
        <v>0.24883468671402789</v>
      </c>
      <c r="Y1214" s="1">
        <v>3.2000000000000001E-2</v>
      </c>
      <c r="Z1214" s="1">
        <v>1.5</v>
      </c>
      <c r="AB1214" s="1">
        <v>6.72</v>
      </c>
      <c r="AD1214" s="1">
        <v>0</v>
      </c>
      <c r="AE1214" s="1">
        <v>8.09</v>
      </c>
      <c r="AK1214" s="1">
        <v>26</v>
      </c>
      <c r="AL1214" s="1">
        <v>540</v>
      </c>
    </row>
    <row r="1215" spans="4:50" x14ac:dyDescent="0.3">
      <c r="D1215" s="2">
        <f t="shared" si="75"/>
        <v>2011</v>
      </c>
      <c r="E1215" s="2">
        <f t="shared" si="76"/>
        <v>8</v>
      </c>
      <c r="F1215" s="3" t="s">
        <v>179</v>
      </c>
      <c r="G1215" s="4">
        <v>40757</v>
      </c>
      <c r="J1215" s="1" t="s">
        <v>189</v>
      </c>
      <c r="K1215" s="1"/>
      <c r="L1215" s="1" t="str">
        <f t="shared" si="77"/>
        <v xml:space="preserve">Rösjön </v>
      </c>
      <c r="M1215" s="1" t="s">
        <v>184</v>
      </c>
      <c r="Q1215" s="1">
        <v>17.8</v>
      </c>
      <c r="R1215" s="1">
        <v>0.15</v>
      </c>
      <c r="S1215" s="1">
        <v>1.2</v>
      </c>
      <c r="V1215" s="1">
        <v>1.8779250000000001</v>
      </c>
      <c r="W1215" s="1">
        <v>110</v>
      </c>
      <c r="X1215" s="1">
        <f t="shared" si="78"/>
        <v>1.4542866936688055</v>
      </c>
      <c r="Y1215" s="1">
        <v>3.1E-2</v>
      </c>
      <c r="Z1215" s="1">
        <v>6</v>
      </c>
      <c r="AD1215" s="1">
        <v>0</v>
      </c>
      <c r="AE1215" s="1">
        <v>7.6</v>
      </c>
      <c r="AK1215" s="1">
        <v>35</v>
      </c>
      <c r="AL1215" s="1">
        <v>630</v>
      </c>
    </row>
    <row r="1216" spans="4:50" x14ac:dyDescent="0.3">
      <c r="D1216" s="2">
        <f t="shared" si="75"/>
        <v>2011</v>
      </c>
      <c r="E1216" s="2">
        <f t="shared" si="76"/>
        <v>8</v>
      </c>
      <c r="F1216" s="3" t="s">
        <v>179</v>
      </c>
      <c r="G1216" s="4">
        <v>40758</v>
      </c>
      <c r="J1216" s="1" t="s">
        <v>186</v>
      </c>
      <c r="K1216" s="1">
        <v>1</v>
      </c>
      <c r="L1216" s="1" t="str">
        <f t="shared" si="77"/>
        <v>Norrviken 1</v>
      </c>
      <c r="M1216" s="1" t="s">
        <v>177</v>
      </c>
      <c r="P1216" s="1">
        <v>1.1000000000000001</v>
      </c>
      <c r="Q1216" s="1">
        <v>21.5</v>
      </c>
      <c r="R1216" s="1">
        <v>7.6</v>
      </c>
      <c r="S1216" s="1">
        <v>87</v>
      </c>
      <c r="V1216" s="1">
        <v>2.68275</v>
      </c>
      <c r="W1216" s="1">
        <v>5</v>
      </c>
      <c r="X1216" s="1">
        <f t="shared" si="78"/>
        <v>0.17318879363696715</v>
      </c>
      <c r="Y1216" s="1">
        <v>5.1999999999999998E-2</v>
      </c>
      <c r="Z1216" s="1">
        <v>38</v>
      </c>
      <c r="AB1216" s="1">
        <v>8.1</v>
      </c>
      <c r="AD1216" s="1">
        <v>0</v>
      </c>
      <c r="AE1216" s="1">
        <v>7.91</v>
      </c>
      <c r="AK1216" s="1">
        <v>120</v>
      </c>
      <c r="AL1216" s="1">
        <v>850</v>
      </c>
    </row>
    <row r="1217" spans="4:51" x14ac:dyDescent="0.3">
      <c r="D1217" s="2">
        <f t="shared" si="75"/>
        <v>2011</v>
      </c>
      <c r="E1217" s="2">
        <f t="shared" si="76"/>
        <v>8</v>
      </c>
      <c r="F1217" s="3" t="s">
        <v>179</v>
      </c>
      <c r="G1217" s="4">
        <v>40758</v>
      </c>
      <c r="J1217" s="1" t="s">
        <v>186</v>
      </c>
      <c r="K1217" s="1">
        <v>2</v>
      </c>
      <c r="L1217" s="1" t="str">
        <f t="shared" si="77"/>
        <v>Norrviken 2</v>
      </c>
      <c r="M1217" s="1" t="s">
        <v>177</v>
      </c>
      <c r="P1217" s="1">
        <v>3</v>
      </c>
      <c r="Q1217" s="1">
        <v>22.4</v>
      </c>
      <c r="R1217" s="1">
        <v>10.3</v>
      </c>
      <c r="S1217" s="1">
        <v>117</v>
      </c>
      <c r="V1217" s="1">
        <v>2.7210749999999999</v>
      </c>
      <c r="W1217" s="1">
        <v>5</v>
      </c>
      <c r="X1217" s="1">
        <f t="shared" si="78"/>
        <v>0.50763114112161523</v>
      </c>
      <c r="Y1217" s="1">
        <v>0.04</v>
      </c>
      <c r="Z1217" s="1">
        <v>25</v>
      </c>
      <c r="AB1217" s="1">
        <v>5.55</v>
      </c>
      <c r="AD1217" s="1">
        <v>0</v>
      </c>
      <c r="AE1217" s="1">
        <v>8.3800000000000008</v>
      </c>
      <c r="AK1217" s="1">
        <v>60</v>
      </c>
      <c r="AL1217" s="1">
        <v>740</v>
      </c>
    </row>
    <row r="1218" spans="4:51" x14ac:dyDescent="0.3">
      <c r="D1218" s="2">
        <f t="shared" ref="D1218:D1281" si="79">YEAR(G1218)</f>
        <v>2011</v>
      </c>
      <c r="E1218" s="2">
        <f t="shared" ref="E1218:E1281" si="80">MONTH(G1218)</f>
        <v>8</v>
      </c>
      <c r="F1218" s="3" t="s">
        <v>179</v>
      </c>
      <c r="G1218" s="4">
        <v>40758</v>
      </c>
      <c r="J1218" s="1" t="s">
        <v>186</v>
      </c>
      <c r="K1218" s="1">
        <v>3</v>
      </c>
      <c r="L1218" s="1" t="str">
        <f t="shared" ref="L1218:L1281" si="81">CONCATENATE(J1218," ",K1218)</f>
        <v>Norrviken 3</v>
      </c>
      <c r="M1218" s="1" t="s">
        <v>177</v>
      </c>
      <c r="P1218" s="1">
        <v>3</v>
      </c>
      <c r="Q1218" s="1">
        <v>22</v>
      </c>
      <c r="R1218" s="1">
        <v>9.3000000000000007</v>
      </c>
      <c r="S1218" s="1">
        <v>105</v>
      </c>
      <c r="V1218" s="1">
        <v>2.68275</v>
      </c>
      <c r="W1218" s="1">
        <v>5</v>
      </c>
      <c r="X1218" s="1">
        <f t="shared" si="78"/>
        <v>0.38439967245225942</v>
      </c>
      <c r="Y1218" s="1">
        <v>4.2000000000000003E-2</v>
      </c>
      <c r="Z1218" s="1">
        <v>27</v>
      </c>
      <c r="AB1218" s="1">
        <v>6.14</v>
      </c>
      <c r="AD1218" s="1">
        <v>0</v>
      </c>
      <c r="AE1218" s="1">
        <v>8.26</v>
      </c>
      <c r="AK1218" s="1">
        <v>58</v>
      </c>
      <c r="AL1218" s="1">
        <v>650</v>
      </c>
    </row>
    <row r="1219" spans="4:51" x14ac:dyDescent="0.3">
      <c r="D1219" s="2">
        <f t="shared" si="79"/>
        <v>2011</v>
      </c>
      <c r="E1219" s="2">
        <f t="shared" si="80"/>
        <v>8</v>
      </c>
      <c r="F1219" s="3" t="s">
        <v>179</v>
      </c>
      <c r="G1219" s="4">
        <v>40758</v>
      </c>
      <c r="J1219" s="1" t="s">
        <v>186</v>
      </c>
      <c r="K1219" s="1">
        <v>4</v>
      </c>
      <c r="L1219" s="1" t="str">
        <f t="shared" si="81"/>
        <v>Norrviken 4</v>
      </c>
      <c r="M1219" s="1" t="s">
        <v>177</v>
      </c>
      <c r="P1219" s="1">
        <v>1.8</v>
      </c>
      <c r="Q1219" s="1">
        <v>23.1</v>
      </c>
      <c r="R1219" s="1">
        <v>9.1</v>
      </c>
      <c r="S1219" s="1">
        <v>105</v>
      </c>
      <c r="V1219" s="1">
        <v>2.7593999999999999</v>
      </c>
      <c r="W1219" s="1">
        <v>5</v>
      </c>
      <c r="X1219" s="1">
        <f t="shared" si="78"/>
        <v>0.36395346264633782</v>
      </c>
      <c r="Y1219" s="1">
        <v>3.9E-2</v>
      </c>
      <c r="Z1219" s="1">
        <v>33</v>
      </c>
      <c r="AB1219" s="1">
        <v>5.26</v>
      </c>
      <c r="AD1219" s="1">
        <v>0</v>
      </c>
      <c r="AE1219" s="1">
        <v>8.1999999999999993</v>
      </c>
      <c r="AK1219" s="1">
        <v>75</v>
      </c>
      <c r="AL1219" s="1">
        <v>690</v>
      </c>
    </row>
    <row r="1220" spans="4:51" x14ac:dyDescent="0.3">
      <c r="D1220" s="2">
        <f t="shared" si="79"/>
        <v>2011</v>
      </c>
      <c r="E1220" s="2">
        <f t="shared" si="80"/>
        <v>8</v>
      </c>
      <c r="F1220" s="3" t="s">
        <v>179</v>
      </c>
      <c r="G1220" s="4">
        <v>40758</v>
      </c>
      <c r="J1220" s="1" t="s">
        <v>186</v>
      </c>
      <c r="K1220" s="1">
        <v>1</v>
      </c>
      <c r="L1220" s="1" t="str">
        <f t="shared" si="81"/>
        <v>Norrviken 1</v>
      </c>
      <c r="M1220" s="1" t="s">
        <v>184</v>
      </c>
      <c r="Q1220" s="1">
        <v>20.399999999999999</v>
      </c>
      <c r="R1220" s="1">
        <v>5.6</v>
      </c>
      <c r="S1220" s="1">
        <v>62</v>
      </c>
      <c r="V1220" s="1">
        <v>2.68275</v>
      </c>
      <c r="W1220" s="1">
        <v>5</v>
      </c>
      <c r="X1220" s="1">
        <f t="shared" si="78"/>
        <v>0.1466175768274022</v>
      </c>
      <c r="Y1220" s="1">
        <v>4.4999999999999998E-2</v>
      </c>
      <c r="Z1220" s="1">
        <v>39</v>
      </c>
      <c r="AD1220" s="1">
        <v>0</v>
      </c>
      <c r="AE1220" s="1">
        <v>7.87</v>
      </c>
      <c r="AK1220" s="1">
        <v>110</v>
      </c>
      <c r="AL1220" s="1">
        <v>910</v>
      </c>
    </row>
    <row r="1221" spans="4:51" x14ac:dyDescent="0.3">
      <c r="D1221" s="2">
        <f t="shared" si="79"/>
        <v>2011</v>
      </c>
      <c r="E1221" s="2">
        <f t="shared" si="80"/>
        <v>8</v>
      </c>
      <c r="F1221" s="3" t="s">
        <v>179</v>
      </c>
      <c r="G1221" s="4">
        <v>40758</v>
      </c>
      <c r="J1221" s="1" t="s">
        <v>186</v>
      </c>
      <c r="K1221" s="1">
        <v>2</v>
      </c>
      <c r="L1221" s="1" t="str">
        <f t="shared" si="81"/>
        <v>Norrviken 2</v>
      </c>
      <c r="M1221" s="1" t="s">
        <v>184</v>
      </c>
      <c r="Q1221" s="1">
        <v>13.2</v>
      </c>
      <c r="R1221" s="1">
        <v>0.15</v>
      </c>
      <c r="S1221" s="1">
        <v>1.4</v>
      </c>
      <c r="V1221" s="1">
        <v>3.0659999999999998</v>
      </c>
      <c r="W1221" s="1">
        <v>520</v>
      </c>
      <c r="X1221" s="1">
        <f t="shared" si="78"/>
        <v>3.6247277455847442</v>
      </c>
      <c r="Y1221" s="1">
        <v>6.0999999999999999E-2</v>
      </c>
      <c r="Z1221" s="1">
        <v>290</v>
      </c>
      <c r="AD1221" s="1">
        <v>0</v>
      </c>
      <c r="AE1221" s="1">
        <v>7.47</v>
      </c>
      <c r="AK1221" s="1">
        <v>370</v>
      </c>
      <c r="AL1221" s="1">
        <v>1300</v>
      </c>
    </row>
    <row r="1222" spans="4:51" x14ac:dyDescent="0.3">
      <c r="D1222" s="2">
        <f t="shared" si="79"/>
        <v>2011</v>
      </c>
      <c r="E1222" s="2">
        <f t="shared" si="80"/>
        <v>8</v>
      </c>
      <c r="F1222" s="3" t="s">
        <v>179</v>
      </c>
      <c r="G1222" s="4">
        <v>40758</v>
      </c>
      <c r="J1222" s="1" t="s">
        <v>186</v>
      </c>
      <c r="K1222" s="1">
        <v>3</v>
      </c>
      <c r="L1222" s="1" t="str">
        <f t="shared" si="81"/>
        <v>Norrviken 3</v>
      </c>
      <c r="M1222" s="1" t="s">
        <v>184</v>
      </c>
      <c r="Q1222" s="1">
        <v>10.199999999999999</v>
      </c>
      <c r="R1222" s="1">
        <v>0.1</v>
      </c>
      <c r="S1222" s="1">
        <v>1.1000000000000001</v>
      </c>
      <c r="V1222" s="1">
        <v>3.4875750000000001</v>
      </c>
      <c r="W1222" s="1">
        <v>2200</v>
      </c>
      <c r="X1222" s="1">
        <f t="shared" si="78"/>
        <v>11.627706871986859</v>
      </c>
      <c r="Y1222" s="1">
        <v>7.0000000000000007E-2</v>
      </c>
      <c r="Z1222" s="1">
        <v>620</v>
      </c>
      <c r="AD1222" s="1">
        <v>0</v>
      </c>
      <c r="AE1222" s="1">
        <v>7.45</v>
      </c>
      <c r="AK1222" s="1">
        <v>690</v>
      </c>
      <c r="AL1222" s="1">
        <v>2500</v>
      </c>
    </row>
    <row r="1223" spans="4:51" x14ac:dyDescent="0.3">
      <c r="D1223" s="2">
        <f t="shared" si="79"/>
        <v>2011</v>
      </c>
      <c r="E1223" s="2">
        <f t="shared" si="80"/>
        <v>8</v>
      </c>
      <c r="F1223" s="3" t="s">
        <v>179</v>
      </c>
      <c r="G1223" s="4">
        <v>40758</v>
      </c>
      <c r="J1223" s="1" t="s">
        <v>186</v>
      </c>
      <c r="K1223" s="1">
        <v>4</v>
      </c>
      <c r="L1223" s="1" t="str">
        <f t="shared" si="81"/>
        <v>Norrviken 4</v>
      </c>
      <c r="M1223" s="1" t="s">
        <v>184</v>
      </c>
      <c r="Q1223" s="1">
        <v>22</v>
      </c>
      <c r="R1223" s="1">
        <v>7.3</v>
      </c>
      <c r="S1223" s="1">
        <v>84</v>
      </c>
      <c r="V1223" s="1">
        <v>2.68275</v>
      </c>
      <c r="W1223" s="1">
        <v>5</v>
      </c>
      <c r="X1223" s="1">
        <f t="shared" si="78"/>
        <v>0.36059299623848762</v>
      </c>
      <c r="Y1223" s="1">
        <v>4.3999999999999997E-2</v>
      </c>
      <c r="Z1223" s="1">
        <v>36</v>
      </c>
      <c r="AD1223" s="1">
        <v>0</v>
      </c>
      <c r="AE1223" s="1">
        <v>8.23</v>
      </c>
      <c r="AK1223" s="1">
        <v>73</v>
      </c>
      <c r="AL1223" s="1">
        <v>710</v>
      </c>
    </row>
    <row r="1224" spans="4:51" x14ac:dyDescent="0.3">
      <c r="D1224" s="2">
        <f t="shared" si="79"/>
        <v>2011</v>
      </c>
      <c r="E1224" s="2">
        <f t="shared" si="80"/>
        <v>8</v>
      </c>
      <c r="F1224" s="3" t="s">
        <v>179</v>
      </c>
      <c r="G1224" s="4">
        <v>40758</v>
      </c>
      <c r="J1224" s="1" t="s">
        <v>191</v>
      </c>
      <c r="K1224" s="1" t="s">
        <v>206</v>
      </c>
      <c r="L1224" s="1" t="str">
        <f t="shared" si="81"/>
        <v>Vallentunasjön Blandprov</v>
      </c>
      <c r="M1224" s="1" t="s">
        <v>177</v>
      </c>
      <c r="P1224" s="1">
        <v>0.5</v>
      </c>
      <c r="W1224" s="1">
        <v>5</v>
      </c>
      <c r="Z1224" s="1">
        <v>6</v>
      </c>
      <c r="AB1224" s="1">
        <v>59.9</v>
      </c>
      <c r="AD1224" s="1">
        <v>0.1</v>
      </c>
      <c r="AK1224" s="1">
        <v>100</v>
      </c>
      <c r="AL1224" s="1">
        <v>1800</v>
      </c>
    </row>
    <row r="1225" spans="4:51" x14ac:dyDescent="0.3">
      <c r="D1225" s="2">
        <f t="shared" si="79"/>
        <v>2011</v>
      </c>
      <c r="E1225" s="2">
        <f t="shared" si="80"/>
        <v>8</v>
      </c>
      <c r="F1225" s="3" t="s">
        <v>179</v>
      </c>
      <c r="G1225" s="4">
        <v>40760</v>
      </c>
      <c r="J1225" s="1" t="s">
        <v>181</v>
      </c>
      <c r="K1225" s="1"/>
      <c r="L1225" s="1" t="str">
        <f t="shared" si="81"/>
        <v xml:space="preserve">Fysingen </v>
      </c>
      <c r="M1225" s="1" t="s">
        <v>177</v>
      </c>
      <c r="P1225" s="1">
        <v>1.1000000000000001</v>
      </c>
      <c r="Q1225" s="1">
        <v>21.5</v>
      </c>
      <c r="V1225" s="1">
        <v>2.4039999999999999</v>
      </c>
      <c r="W1225" s="1">
        <v>3</v>
      </c>
      <c r="X1225" s="1">
        <f>W1225 * (1/((10^((0.0901821 + (2729.92 /(273.15 + Q1225)))-AE1225)+1)))</f>
        <v>0.16860114763129927</v>
      </c>
      <c r="Y1225" s="1">
        <v>3.5000000000000003E-2</v>
      </c>
      <c r="Z1225" s="1">
        <v>4</v>
      </c>
      <c r="AB1225" s="1">
        <v>7.4</v>
      </c>
      <c r="AC1225" s="1">
        <v>48.9</v>
      </c>
      <c r="AD1225" s="1">
        <v>1</v>
      </c>
      <c r="AE1225" s="1">
        <v>8.1300000000000008</v>
      </c>
      <c r="AI1225" s="1">
        <v>10.4</v>
      </c>
      <c r="AK1225" s="1">
        <v>27</v>
      </c>
      <c r="AL1225" s="1">
        <v>676</v>
      </c>
      <c r="AV1225" s="1">
        <v>36.655300000000004</v>
      </c>
      <c r="AX1225" s="1">
        <v>74.429449999999989</v>
      </c>
      <c r="AY1225" s="1">
        <v>0.65</v>
      </c>
    </row>
    <row r="1226" spans="4:51" x14ac:dyDescent="0.3">
      <c r="D1226" s="2">
        <f t="shared" si="79"/>
        <v>2011</v>
      </c>
      <c r="E1226" s="2">
        <f t="shared" si="80"/>
        <v>8</v>
      </c>
      <c r="F1226" s="3" t="s">
        <v>179</v>
      </c>
      <c r="G1226" s="4">
        <v>40771</v>
      </c>
      <c r="H1226" s="1">
        <v>6606238</v>
      </c>
      <c r="I1226" s="1">
        <v>661152</v>
      </c>
      <c r="J1226" s="5" t="s">
        <v>176</v>
      </c>
      <c r="K1226" s="1"/>
      <c r="L1226" s="1" t="str">
        <f t="shared" si="81"/>
        <v xml:space="preserve">Oxundaån </v>
      </c>
      <c r="M1226" s="1" t="s">
        <v>177</v>
      </c>
      <c r="N1226" s="1">
        <v>0.5</v>
      </c>
      <c r="O1226" s="1">
        <v>0.5</v>
      </c>
      <c r="Q1226" s="1">
        <v>20</v>
      </c>
      <c r="T1226" s="1">
        <v>40.700000000000003</v>
      </c>
      <c r="V1226" s="1">
        <v>2.3319999999999999</v>
      </c>
      <c r="W1226" s="1">
        <v>42</v>
      </c>
      <c r="X1226" s="1">
        <f>W1226 * (1/((10^((0.0901821 + (2729.92 /(273.15 + Q1226)))-AE1226)+1)))</f>
        <v>0.713284120316098</v>
      </c>
      <c r="Y1226" s="1">
        <v>5.8999999999999997E-2</v>
      </c>
      <c r="Z1226" s="1">
        <v>43</v>
      </c>
      <c r="AA1226" s="1">
        <v>1.8</v>
      </c>
      <c r="AB1226" s="1">
        <v>5.4</v>
      </c>
      <c r="AD1226" s="1">
        <v>58</v>
      </c>
      <c r="AE1226" s="1">
        <v>7.64</v>
      </c>
      <c r="AG1226" s="1">
        <v>1.9</v>
      </c>
      <c r="AI1226" s="1">
        <v>12.4</v>
      </c>
      <c r="AK1226" s="1">
        <v>72</v>
      </c>
      <c r="AL1226" s="1">
        <v>795</v>
      </c>
      <c r="AR1226" s="1">
        <v>47.56</v>
      </c>
      <c r="AS1226" s="1">
        <v>4.2000000000000003E-2</v>
      </c>
      <c r="AT1226" s="1">
        <v>4.4183000000000003</v>
      </c>
      <c r="AU1226" s="1">
        <v>7.3567999999999998</v>
      </c>
      <c r="AV1226" s="1">
        <v>31.125100000000003</v>
      </c>
      <c r="AW1226" s="1">
        <v>20.623060000000002</v>
      </c>
      <c r="AX1226" s="1">
        <v>38.151699999999998</v>
      </c>
      <c r="AY1226" s="1">
        <v>0.64</v>
      </c>
    </row>
    <row r="1227" spans="4:51" x14ac:dyDescent="0.3">
      <c r="D1227" s="2">
        <f t="shared" si="79"/>
        <v>2011</v>
      </c>
      <c r="E1227" s="2">
        <f t="shared" si="80"/>
        <v>8</v>
      </c>
      <c r="F1227" s="3" t="s">
        <v>179</v>
      </c>
      <c r="G1227" s="4">
        <v>40777</v>
      </c>
      <c r="J1227" s="1" t="s">
        <v>191</v>
      </c>
      <c r="K1227" s="1">
        <v>2</v>
      </c>
      <c r="L1227" s="1" t="str">
        <f t="shared" si="81"/>
        <v>Vallentunasjön 2</v>
      </c>
      <c r="M1227" s="1" t="s">
        <v>177</v>
      </c>
      <c r="Q1227" s="1">
        <v>18.600000000000001</v>
      </c>
      <c r="R1227" s="1">
        <v>9.5</v>
      </c>
      <c r="S1227" s="1">
        <v>102</v>
      </c>
    </row>
    <row r="1228" spans="4:51" x14ac:dyDescent="0.3">
      <c r="D1228" s="2">
        <f t="shared" si="79"/>
        <v>2011</v>
      </c>
      <c r="E1228" s="2">
        <f t="shared" si="80"/>
        <v>8</v>
      </c>
      <c r="F1228" s="3" t="s">
        <v>179</v>
      </c>
      <c r="G1228" s="4">
        <v>40777</v>
      </c>
      <c r="J1228" s="1" t="s">
        <v>191</v>
      </c>
      <c r="K1228" s="1">
        <v>2</v>
      </c>
      <c r="L1228" s="1" t="str">
        <f t="shared" si="81"/>
        <v>Vallentunasjön 2</v>
      </c>
      <c r="M1228" s="1" t="s">
        <v>184</v>
      </c>
      <c r="Q1228" s="1">
        <v>18</v>
      </c>
      <c r="R1228" s="1">
        <v>1.7</v>
      </c>
      <c r="S1228" s="1">
        <v>19</v>
      </c>
    </row>
    <row r="1229" spans="4:51" x14ac:dyDescent="0.3">
      <c r="D1229" s="2">
        <f t="shared" si="79"/>
        <v>2011</v>
      </c>
      <c r="E1229" s="2">
        <f t="shared" si="80"/>
        <v>9</v>
      </c>
      <c r="F1229" s="3"/>
      <c r="G1229" s="4">
        <v>40799</v>
      </c>
      <c r="H1229" s="1">
        <v>6606238</v>
      </c>
      <c r="I1229" s="1">
        <v>661152</v>
      </c>
      <c r="J1229" s="5" t="s">
        <v>176</v>
      </c>
      <c r="K1229" s="1"/>
      <c r="L1229" s="1" t="str">
        <f t="shared" si="81"/>
        <v xml:space="preserve">Oxundaån </v>
      </c>
      <c r="M1229" s="1" t="s">
        <v>177</v>
      </c>
      <c r="N1229" s="1">
        <v>0.5</v>
      </c>
      <c r="O1229" s="1">
        <v>0.5</v>
      </c>
      <c r="Q1229" s="1">
        <v>17</v>
      </c>
      <c r="T1229" s="1">
        <v>44.6</v>
      </c>
      <c r="V1229" s="1">
        <v>2.4369999999999998</v>
      </c>
      <c r="W1229" s="1">
        <v>72</v>
      </c>
      <c r="X1229" s="1">
        <f>W1229 * (1/((10^((0.0901821 + (2729.92 /(273.15 + Q1229)))-AE1229)+1)))</f>
        <v>1.2054986522363151</v>
      </c>
      <c r="Y1229" s="1">
        <v>3.9E-2</v>
      </c>
      <c r="Z1229" s="1">
        <v>87</v>
      </c>
      <c r="AA1229" s="1">
        <v>2</v>
      </c>
      <c r="AD1229" s="1">
        <v>26</v>
      </c>
      <c r="AE1229" s="1">
        <v>7.73</v>
      </c>
      <c r="AG1229" s="1">
        <v>2.2000000000000002</v>
      </c>
      <c r="AI1229" s="1">
        <v>10.199999999999999</v>
      </c>
      <c r="AK1229" s="1">
        <v>113</v>
      </c>
      <c r="AL1229" s="1">
        <v>735</v>
      </c>
      <c r="AR1229" s="1">
        <v>48.58</v>
      </c>
      <c r="AS1229" s="1">
        <v>4.8000000000000001E-2</v>
      </c>
      <c r="AT1229" s="1">
        <v>5.3567000000000009</v>
      </c>
      <c r="AU1229" s="1">
        <v>8.9177</v>
      </c>
      <c r="AV1229" s="1">
        <v>37.506100000000004</v>
      </c>
      <c r="AW1229" s="1">
        <v>26.013960000000001</v>
      </c>
      <c r="AX1229" s="1">
        <v>43.485250000000001</v>
      </c>
      <c r="AY1229" s="1">
        <v>1.03</v>
      </c>
    </row>
    <row r="1230" spans="4:51" x14ac:dyDescent="0.3">
      <c r="D1230" s="2">
        <f t="shared" si="79"/>
        <v>2011</v>
      </c>
      <c r="E1230" s="2">
        <f t="shared" si="80"/>
        <v>10</v>
      </c>
      <c r="F1230" s="3" t="s">
        <v>180</v>
      </c>
      <c r="G1230" s="4">
        <v>40828</v>
      </c>
      <c r="J1230" s="1" t="s">
        <v>181</v>
      </c>
      <c r="K1230" s="1"/>
      <c r="L1230" s="1" t="str">
        <f t="shared" si="81"/>
        <v xml:space="preserve">Fysingen </v>
      </c>
      <c r="M1230" s="1" t="s">
        <v>177</v>
      </c>
      <c r="P1230" s="1">
        <v>3.2</v>
      </c>
      <c r="Q1230" s="1">
        <v>8.9</v>
      </c>
      <c r="V1230" s="1">
        <v>2.294</v>
      </c>
      <c r="W1230" s="1">
        <v>38</v>
      </c>
      <c r="X1230" s="1">
        <f>W1230 * (1/((10^((0.0901821 + (2729.92 /(273.15 + Q1230)))-AE1230)+1)))</f>
        <v>0.72835843390497024</v>
      </c>
      <c r="Y1230" s="1">
        <v>3.5999999999999997E-2</v>
      </c>
      <c r="Z1230" s="1">
        <v>2</v>
      </c>
      <c r="AB1230" s="1">
        <v>2.9</v>
      </c>
      <c r="AC1230" s="1">
        <v>49.2</v>
      </c>
      <c r="AD1230" s="1">
        <v>134</v>
      </c>
      <c r="AE1230" s="1">
        <v>8.06</v>
      </c>
      <c r="AI1230" s="1">
        <v>8.5</v>
      </c>
      <c r="AK1230" s="1">
        <v>17</v>
      </c>
      <c r="AL1230" s="1">
        <v>718</v>
      </c>
      <c r="AV1230" s="1">
        <v>37.718800000000002</v>
      </c>
      <c r="AX1230" s="1">
        <v>77.937100000000001</v>
      </c>
      <c r="AY1230" s="1">
        <v>1</v>
      </c>
    </row>
    <row r="1231" spans="4:51" x14ac:dyDescent="0.3">
      <c r="D1231" s="2">
        <f t="shared" si="79"/>
        <v>2011</v>
      </c>
      <c r="E1231" s="2">
        <f t="shared" si="80"/>
        <v>10</v>
      </c>
      <c r="F1231" s="3" t="s">
        <v>180</v>
      </c>
      <c r="G1231" s="4">
        <v>40834</v>
      </c>
      <c r="H1231" s="1">
        <v>6606238</v>
      </c>
      <c r="I1231" s="1">
        <v>661152</v>
      </c>
      <c r="J1231" s="5" t="s">
        <v>176</v>
      </c>
      <c r="K1231" s="1"/>
      <c r="L1231" s="1" t="str">
        <f t="shared" si="81"/>
        <v xml:space="preserve">Oxundaån </v>
      </c>
      <c r="M1231" s="1" t="s">
        <v>177</v>
      </c>
      <c r="N1231" s="1">
        <v>0.5</v>
      </c>
      <c r="O1231" s="1">
        <v>0.5</v>
      </c>
      <c r="Q1231" s="1">
        <v>8.8000000000000007</v>
      </c>
      <c r="T1231" s="1">
        <v>45.2</v>
      </c>
      <c r="V1231" s="1">
        <v>2.4569999999999999</v>
      </c>
      <c r="W1231" s="1">
        <v>99</v>
      </c>
      <c r="X1231" s="1">
        <f>W1231 * (1/((10^((0.0901821 + (2729.92 /(273.15 + Q1231)))-AE1231)+1)))</f>
        <v>0.9747022691585957</v>
      </c>
      <c r="Y1231" s="1">
        <v>0.04</v>
      </c>
      <c r="Z1231" s="1">
        <v>86</v>
      </c>
      <c r="AA1231" s="1">
        <v>1.6</v>
      </c>
      <c r="AD1231" s="1">
        <v>152</v>
      </c>
      <c r="AE1231" s="1">
        <v>7.77</v>
      </c>
      <c r="AG1231" s="1">
        <v>1.6</v>
      </c>
      <c r="AI1231" s="1">
        <v>10.8</v>
      </c>
      <c r="AK1231" s="1">
        <v>100</v>
      </c>
      <c r="AL1231" s="1">
        <v>884</v>
      </c>
      <c r="AR1231" s="1">
        <v>51.2</v>
      </c>
      <c r="AS1231" s="1">
        <v>3.6999999999999998E-2</v>
      </c>
      <c r="AT1231" s="1">
        <v>5.5522</v>
      </c>
      <c r="AU1231" s="1">
        <v>9.6074000000000002</v>
      </c>
      <c r="AV1231" s="1">
        <v>42.043700000000001</v>
      </c>
      <c r="AW1231" s="1">
        <v>27.023320000000002</v>
      </c>
      <c r="AX1231" s="1">
        <v>51.557649999999995</v>
      </c>
      <c r="AY1231" s="1">
        <v>1.76</v>
      </c>
    </row>
    <row r="1232" spans="4:51" x14ac:dyDescent="0.3">
      <c r="D1232" s="2">
        <f t="shared" si="79"/>
        <v>2011</v>
      </c>
      <c r="E1232" s="2">
        <f t="shared" si="80"/>
        <v>11</v>
      </c>
      <c r="F1232" s="3" t="s">
        <v>180</v>
      </c>
      <c r="G1232" s="4">
        <v>40862</v>
      </c>
      <c r="H1232" s="1">
        <v>6606238</v>
      </c>
      <c r="I1232" s="1">
        <v>661152</v>
      </c>
      <c r="J1232" s="5" t="s">
        <v>176</v>
      </c>
      <c r="K1232" s="1"/>
      <c r="L1232" s="1" t="str">
        <f t="shared" si="81"/>
        <v xml:space="preserve">Oxundaån </v>
      </c>
      <c r="M1232" s="1" t="s">
        <v>177</v>
      </c>
      <c r="N1232" s="1">
        <v>0.5</v>
      </c>
      <c r="O1232" s="1">
        <v>0.5</v>
      </c>
      <c r="Q1232" s="1">
        <v>6.5</v>
      </c>
      <c r="T1232" s="1">
        <v>46.6</v>
      </c>
      <c r="V1232" s="1">
        <v>2.4590000000000001</v>
      </c>
      <c r="W1232" s="1">
        <v>98</v>
      </c>
      <c r="X1232" s="1">
        <f>W1232 * (1/((10^((0.0901821 + (2729.92 /(273.15 + Q1232)))-AE1232)+1)))</f>
        <v>0.68561178667910638</v>
      </c>
      <c r="Y1232" s="1">
        <v>4.1000000000000002E-2</v>
      </c>
      <c r="Z1232" s="1">
        <v>72</v>
      </c>
      <c r="AA1232" s="1">
        <v>1.2</v>
      </c>
      <c r="AD1232" s="1">
        <v>189</v>
      </c>
      <c r="AE1232" s="1">
        <v>7.7</v>
      </c>
      <c r="AG1232" s="1">
        <v>1</v>
      </c>
      <c r="AI1232" s="1">
        <v>10.6</v>
      </c>
      <c r="AK1232" s="1">
        <v>87</v>
      </c>
      <c r="AL1232" s="1">
        <v>893</v>
      </c>
      <c r="AR1232" s="1">
        <v>51.559999999999995</v>
      </c>
      <c r="AS1232" s="1">
        <v>3.4000000000000002E-2</v>
      </c>
      <c r="AT1232" s="1">
        <v>5.5912999999999995</v>
      </c>
      <c r="AU1232" s="1">
        <v>9.7284000000000006</v>
      </c>
      <c r="AV1232" s="1">
        <v>33.464800000000004</v>
      </c>
      <c r="AW1232" s="1">
        <v>26.954500000000003</v>
      </c>
      <c r="AX1232" s="1">
        <v>42.187899999999999</v>
      </c>
      <c r="AY1232" s="1">
        <v>2.04</v>
      </c>
    </row>
    <row r="1233" spans="4:51" x14ac:dyDescent="0.3">
      <c r="D1233" s="2">
        <f t="shared" si="79"/>
        <v>2011</v>
      </c>
      <c r="E1233" s="2">
        <f t="shared" si="80"/>
        <v>12</v>
      </c>
      <c r="F1233" s="3" t="s">
        <v>175</v>
      </c>
      <c r="G1233" s="4">
        <v>40889</v>
      </c>
      <c r="H1233" s="1">
        <v>6606238</v>
      </c>
      <c r="I1233" s="1">
        <v>661152</v>
      </c>
      <c r="J1233" s="5" t="s">
        <v>176</v>
      </c>
      <c r="K1233" s="1"/>
      <c r="L1233" s="1" t="str">
        <f t="shared" si="81"/>
        <v xml:space="preserve">Oxundaån </v>
      </c>
      <c r="M1233" s="1" t="s">
        <v>177</v>
      </c>
      <c r="N1233" s="1">
        <v>0.5</v>
      </c>
      <c r="O1233" s="1">
        <v>0.5</v>
      </c>
      <c r="T1233" s="1">
        <v>46.5</v>
      </c>
      <c r="V1233" s="1">
        <v>2.4529999999999998</v>
      </c>
      <c r="W1233" s="1">
        <v>69</v>
      </c>
      <c r="Y1233" s="1">
        <v>3.9E-2</v>
      </c>
      <c r="Z1233" s="1">
        <v>67</v>
      </c>
      <c r="AA1233" s="1">
        <v>2.1</v>
      </c>
      <c r="AD1233" s="1">
        <v>277</v>
      </c>
      <c r="AE1233" s="1">
        <v>7.76</v>
      </c>
      <c r="AG1233" s="1">
        <v>1.8</v>
      </c>
      <c r="AI1233" s="1">
        <v>9.6</v>
      </c>
      <c r="AK1233" s="1">
        <v>76</v>
      </c>
      <c r="AL1233" s="1">
        <v>869</v>
      </c>
      <c r="AR1233" s="1">
        <v>51.820000000000007</v>
      </c>
      <c r="AS1233" s="1">
        <v>7.8E-2</v>
      </c>
      <c r="AT1233" s="1">
        <v>5.5522</v>
      </c>
      <c r="AU1233" s="1">
        <v>9.5589999999999993</v>
      </c>
      <c r="AV1233" s="1">
        <v>39.633100000000006</v>
      </c>
      <c r="AW1233" s="1">
        <v>27.275660000000002</v>
      </c>
      <c r="AX1233" s="1">
        <v>51.1252</v>
      </c>
      <c r="AY1233" s="1">
        <v>2.3199999999999998</v>
      </c>
    </row>
    <row r="1234" spans="4:51" x14ac:dyDescent="0.3">
      <c r="D1234" s="2">
        <f t="shared" si="79"/>
        <v>2012</v>
      </c>
      <c r="E1234" s="2">
        <f t="shared" si="80"/>
        <v>1</v>
      </c>
      <c r="F1234" s="3" t="s">
        <v>175</v>
      </c>
      <c r="G1234" s="4">
        <v>40926</v>
      </c>
      <c r="H1234" s="1">
        <v>6606238</v>
      </c>
      <c r="I1234" s="1">
        <v>661152</v>
      </c>
      <c r="J1234" s="5" t="s">
        <v>176</v>
      </c>
      <c r="K1234" s="1"/>
      <c r="L1234" s="1" t="str">
        <f t="shared" si="81"/>
        <v xml:space="preserve">Oxundaån </v>
      </c>
      <c r="M1234" s="1" t="s">
        <v>177</v>
      </c>
      <c r="N1234" s="1">
        <v>0.5</v>
      </c>
      <c r="O1234" s="1">
        <v>0.5</v>
      </c>
      <c r="Q1234" s="1">
        <v>1</v>
      </c>
      <c r="T1234" s="1">
        <v>47.8</v>
      </c>
      <c r="V1234" s="1">
        <v>2.2669999999999999</v>
      </c>
      <c r="W1234" s="1">
        <v>57</v>
      </c>
      <c r="X1234" s="1">
        <f>W1234 * (1/((10^((0.0901821 + (2729.92 /(273.15 + Q1234)))-AE1234)+1)))</f>
        <v>0.16095494448856901</v>
      </c>
      <c r="Y1234" s="1">
        <v>6.4000000000000001E-2</v>
      </c>
      <c r="Z1234" s="1">
        <v>37</v>
      </c>
      <c r="AA1234" s="1">
        <v>7.5</v>
      </c>
      <c r="AD1234" s="1">
        <v>1207</v>
      </c>
      <c r="AE1234" s="1">
        <v>7.5</v>
      </c>
      <c r="AG1234" s="1">
        <v>5.0999999999999996</v>
      </c>
      <c r="AI1234" s="1">
        <v>11.3</v>
      </c>
      <c r="AK1234" s="1">
        <v>55</v>
      </c>
      <c r="AL1234" s="1">
        <v>1662</v>
      </c>
      <c r="AR1234" s="1">
        <v>54.22</v>
      </c>
      <c r="AS1234" s="1">
        <v>0.56000000000000005</v>
      </c>
      <c r="AT1234" s="1">
        <v>5.6303999999999998</v>
      </c>
      <c r="AU1234" s="1">
        <v>10.502799999999999</v>
      </c>
      <c r="AV1234" s="1">
        <v>37.647900000000007</v>
      </c>
      <c r="AW1234" s="1">
        <v>26.059839999999998</v>
      </c>
      <c r="AX1234" s="1">
        <v>68.759550000000004</v>
      </c>
      <c r="AY1234" s="1">
        <v>4.5599999999999996</v>
      </c>
    </row>
    <row r="1235" spans="4:51" x14ac:dyDescent="0.3">
      <c r="D1235" s="2">
        <f t="shared" si="79"/>
        <v>2012</v>
      </c>
      <c r="E1235" s="2">
        <f t="shared" si="80"/>
        <v>2</v>
      </c>
      <c r="F1235" s="3" t="s">
        <v>175</v>
      </c>
      <c r="G1235" s="4">
        <v>40953</v>
      </c>
      <c r="J1235" s="1" t="s">
        <v>181</v>
      </c>
      <c r="K1235" s="1"/>
      <c r="L1235" s="1" t="str">
        <f t="shared" si="81"/>
        <v xml:space="preserve">Fysingen </v>
      </c>
      <c r="M1235" s="1" t="s">
        <v>177</v>
      </c>
      <c r="Q1235" s="1">
        <v>0.2</v>
      </c>
      <c r="V1235" s="1">
        <v>2.105</v>
      </c>
      <c r="W1235" s="1">
        <v>109</v>
      </c>
      <c r="X1235" s="1">
        <f>W1235 * (1/((10^((0.0901821 + (2729.92 /(273.15 + Q1235)))-AE1235)+1)))</f>
        <v>0.18603698393299989</v>
      </c>
      <c r="Y1235" s="1">
        <v>7.9000000000000001E-2</v>
      </c>
      <c r="Z1235" s="1">
        <v>18</v>
      </c>
      <c r="AB1235" s="1">
        <v>2.8</v>
      </c>
      <c r="AC1235" s="1">
        <v>52.8</v>
      </c>
      <c r="AD1235" s="1">
        <v>1902</v>
      </c>
      <c r="AE1235" s="1">
        <v>7.31</v>
      </c>
      <c r="AI1235" s="1">
        <v>12.3</v>
      </c>
      <c r="AK1235" s="1">
        <v>36</v>
      </c>
      <c r="AL1235" s="1">
        <v>2562</v>
      </c>
      <c r="AV1235" s="1">
        <v>35.733600000000003</v>
      </c>
      <c r="AX1235" s="1">
        <v>96.196099999999987</v>
      </c>
      <c r="AY1235" s="1">
        <v>6.91</v>
      </c>
    </row>
    <row r="1236" spans="4:51" x14ac:dyDescent="0.3">
      <c r="D1236" s="2">
        <f t="shared" si="79"/>
        <v>2012</v>
      </c>
      <c r="E1236" s="2">
        <f t="shared" si="80"/>
        <v>2</v>
      </c>
      <c r="F1236" s="3" t="s">
        <v>175</v>
      </c>
      <c r="G1236" s="4">
        <v>40953</v>
      </c>
      <c r="J1236" s="1" t="s">
        <v>191</v>
      </c>
      <c r="K1236" s="1">
        <v>2</v>
      </c>
      <c r="L1236" s="1" t="str">
        <f t="shared" si="81"/>
        <v>Vallentunasjön 2</v>
      </c>
      <c r="M1236" s="1" t="s">
        <v>177</v>
      </c>
      <c r="Q1236" s="1">
        <v>0.3</v>
      </c>
      <c r="R1236" s="1">
        <v>13.6</v>
      </c>
      <c r="S1236" s="1">
        <v>95</v>
      </c>
    </row>
    <row r="1237" spans="4:51" x14ac:dyDescent="0.3">
      <c r="D1237" s="2">
        <f t="shared" si="79"/>
        <v>2012</v>
      </c>
      <c r="E1237" s="2">
        <f t="shared" si="80"/>
        <v>2</v>
      </c>
      <c r="F1237" s="3" t="s">
        <v>175</v>
      </c>
      <c r="G1237" s="4">
        <v>40953</v>
      </c>
      <c r="J1237" s="1" t="s">
        <v>191</v>
      </c>
      <c r="K1237" s="1">
        <v>2</v>
      </c>
      <c r="L1237" s="1" t="str">
        <f t="shared" si="81"/>
        <v>Vallentunasjön 2</v>
      </c>
      <c r="M1237" s="1" t="s">
        <v>184</v>
      </c>
      <c r="Q1237" s="1">
        <v>3.3</v>
      </c>
      <c r="R1237" s="1">
        <v>0.4</v>
      </c>
      <c r="S1237" s="1">
        <v>3</v>
      </c>
    </row>
    <row r="1238" spans="4:51" x14ac:dyDescent="0.3">
      <c r="D1238" s="2">
        <f t="shared" si="79"/>
        <v>2012</v>
      </c>
      <c r="E1238" s="2">
        <f t="shared" si="80"/>
        <v>2</v>
      </c>
      <c r="F1238" s="3" t="s">
        <v>175</v>
      </c>
      <c r="G1238" s="4">
        <v>40953</v>
      </c>
      <c r="H1238" s="1">
        <v>6606238</v>
      </c>
      <c r="I1238" s="1">
        <v>661152</v>
      </c>
      <c r="J1238" s="5" t="s">
        <v>176</v>
      </c>
      <c r="K1238" s="1"/>
      <c r="L1238" s="1" t="str">
        <f t="shared" si="81"/>
        <v xml:space="preserve">Oxundaån </v>
      </c>
      <c r="M1238" s="1" t="s">
        <v>177</v>
      </c>
      <c r="N1238" s="1">
        <v>0.5</v>
      </c>
      <c r="O1238" s="1">
        <v>0.5</v>
      </c>
      <c r="Q1238" s="1">
        <v>1</v>
      </c>
      <c r="T1238" s="1">
        <v>51</v>
      </c>
      <c r="V1238" s="1">
        <v>2.415</v>
      </c>
      <c r="W1238" s="1">
        <v>43</v>
      </c>
      <c r="X1238" s="1">
        <f>W1238 * (1/((10^((0.0901821 + (2729.92 /(273.15 + Q1238)))-AE1238)+1)))</f>
        <v>0.10104254762980373</v>
      </c>
      <c r="Y1238" s="1">
        <v>6.7000000000000004E-2</v>
      </c>
      <c r="Z1238" s="1">
        <v>37</v>
      </c>
      <c r="AA1238" s="1">
        <v>6.1</v>
      </c>
      <c r="AD1238" s="1">
        <v>1366</v>
      </c>
      <c r="AE1238" s="1">
        <v>7.42</v>
      </c>
      <c r="AG1238" s="1">
        <v>5.4</v>
      </c>
      <c r="AI1238" s="1">
        <v>11.6</v>
      </c>
      <c r="AK1238" s="1">
        <v>53</v>
      </c>
      <c r="AL1238" s="1">
        <v>1932</v>
      </c>
      <c r="AR1238" s="1">
        <v>58.56</v>
      </c>
      <c r="AS1238" s="1">
        <v>0.37</v>
      </c>
      <c r="AT1238" s="1">
        <v>5.9823000000000004</v>
      </c>
      <c r="AU1238" s="1">
        <v>11.1441</v>
      </c>
      <c r="AV1238" s="1">
        <v>40.377550000000006</v>
      </c>
      <c r="AW1238" s="1">
        <v>28.399720000000002</v>
      </c>
      <c r="AX1238" s="1">
        <v>68.999799999999993</v>
      </c>
      <c r="AY1238" s="1">
        <v>5.2</v>
      </c>
    </row>
    <row r="1239" spans="4:51" x14ac:dyDescent="0.3">
      <c r="D1239" s="2">
        <f t="shared" si="79"/>
        <v>2012</v>
      </c>
      <c r="E1239" s="2">
        <f t="shared" si="80"/>
        <v>3</v>
      </c>
      <c r="F1239" s="3" t="s">
        <v>175</v>
      </c>
      <c r="G1239" s="4">
        <v>40982</v>
      </c>
      <c r="J1239" s="1" t="s">
        <v>182</v>
      </c>
      <c r="K1239" s="1"/>
      <c r="L1239" s="1" t="str">
        <f t="shared" si="81"/>
        <v xml:space="preserve">Edssjön </v>
      </c>
      <c r="M1239" s="1" t="s">
        <v>177</v>
      </c>
      <c r="P1239" s="1">
        <v>3.2</v>
      </c>
      <c r="Q1239" s="1">
        <v>4.7</v>
      </c>
      <c r="R1239" s="1">
        <v>9.8000000000000007</v>
      </c>
      <c r="S1239" s="1">
        <v>76</v>
      </c>
      <c r="W1239" s="1">
        <v>8.6</v>
      </c>
      <c r="Z1239" s="1">
        <v>7.99</v>
      </c>
      <c r="AD1239" s="1">
        <v>376.2</v>
      </c>
      <c r="AK1239" s="1">
        <v>65.7</v>
      </c>
      <c r="AL1239" s="1">
        <v>844</v>
      </c>
    </row>
    <row r="1240" spans="4:51" x14ac:dyDescent="0.3">
      <c r="D1240" s="2">
        <f t="shared" si="79"/>
        <v>2012</v>
      </c>
      <c r="E1240" s="2">
        <f t="shared" si="80"/>
        <v>3</v>
      </c>
      <c r="F1240" s="3" t="s">
        <v>175</v>
      </c>
      <c r="G1240" s="4">
        <v>40982</v>
      </c>
      <c r="J1240" s="1" t="s">
        <v>182</v>
      </c>
      <c r="K1240" s="1"/>
      <c r="L1240" s="1" t="str">
        <f t="shared" si="81"/>
        <v xml:space="preserve">Edssjön </v>
      </c>
      <c r="M1240" s="1" t="s">
        <v>184</v>
      </c>
      <c r="Q1240" s="1">
        <v>4.2</v>
      </c>
      <c r="R1240" s="1">
        <v>8</v>
      </c>
      <c r="S1240" s="1">
        <v>61</v>
      </c>
      <c r="W1240" s="1">
        <v>20</v>
      </c>
      <c r="Z1240" s="1">
        <v>49.74</v>
      </c>
      <c r="AD1240" s="1">
        <v>719.2</v>
      </c>
      <c r="AK1240" s="1">
        <v>73.400000000000006</v>
      </c>
      <c r="AL1240" s="1">
        <v>1286</v>
      </c>
    </row>
    <row r="1241" spans="4:51" x14ac:dyDescent="0.3">
      <c r="D1241" s="2">
        <f t="shared" si="79"/>
        <v>2012</v>
      </c>
      <c r="E1241" s="2">
        <f t="shared" si="80"/>
        <v>3</v>
      </c>
      <c r="F1241" s="3" t="s">
        <v>175</v>
      </c>
      <c r="G1241" s="4">
        <v>40982</v>
      </c>
      <c r="J1241" s="1" t="s">
        <v>183</v>
      </c>
      <c r="K1241" s="1"/>
      <c r="L1241" s="1" t="str">
        <f t="shared" si="81"/>
        <v xml:space="preserve">Fjäturen </v>
      </c>
      <c r="M1241" s="1" t="s">
        <v>177</v>
      </c>
      <c r="P1241" s="1">
        <v>3.1</v>
      </c>
      <c r="Q1241" s="1">
        <v>3.2</v>
      </c>
      <c r="R1241" s="1">
        <v>10.1</v>
      </c>
      <c r="S1241" s="1">
        <v>75</v>
      </c>
      <c r="W1241" s="1">
        <v>9.9</v>
      </c>
      <c r="Z1241" s="1">
        <v>2.98</v>
      </c>
      <c r="AD1241" s="1">
        <v>373.2</v>
      </c>
      <c r="AK1241" s="1">
        <v>18.899999999999999</v>
      </c>
      <c r="AL1241" s="1">
        <v>700</v>
      </c>
    </row>
    <row r="1242" spans="4:51" x14ac:dyDescent="0.3">
      <c r="D1242" s="2">
        <f t="shared" si="79"/>
        <v>2012</v>
      </c>
      <c r="E1242" s="2">
        <f t="shared" si="80"/>
        <v>3</v>
      </c>
      <c r="F1242" s="3" t="s">
        <v>175</v>
      </c>
      <c r="G1242" s="4">
        <v>40982</v>
      </c>
      <c r="J1242" s="1" t="s">
        <v>183</v>
      </c>
      <c r="K1242" s="1"/>
      <c r="L1242" s="1" t="str">
        <f t="shared" si="81"/>
        <v xml:space="preserve">Fjäturen </v>
      </c>
      <c r="M1242" s="1" t="s">
        <v>184</v>
      </c>
      <c r="Q1242" s="1">
        <v>3.4</v>
      </c>
      <c r="R1242" s="1">
        <v>2.7</v>
      </c>
      <c r="S1242" s="1">
        <v>20</v>
      </c>
      <c r="W1242" s="1">
        <v>22</v>
      </c>
      <c r="Z1242" s="1">
        <v>6.86</v>
      </c>
      <c r="AD1242" s="1">
        <v>306.2</v>
      </c>
      <c r="AK1242" s="1">
        <v>19.600000000000001</v>
      </c>
      <c r="AL1242" s="1">
        <v>791</v>
      </c>
    </row>
    <row r="1243" spans="4:51" x14ac:dyDescent="0.3">
      <c r="D1243" s="2">
        <f t="shared" si="79"/>
        <v>2012</v>
      </c>
      <c r="E1243" s="2">
        <f t="shared" si="80"/>
        <v>3</v>
      </c>
      <c r="F1243" s="3" t="s">
        <v>175</v>
      </c>
      <c r="G1243" s="4">
        <v>40982</v>
      </c>
      <c r="J1243" s="1" t="s">
        <v>207</v>
      </c>
      <c r="K1243" s="1"/>
      <c r="L1243" s="1" t="str">
        <f t="shared" si="81"/>
        <v xml:space="preserve">Käringsjön </v>
      </c>
      <c r="M1243" s="1" t="s">
        <v>177</v>
      </c>
      <c r="P1243" s="1">
        <v>1.3</v>
      </c>
      <c r="Q1243" s="1">
        <v>3</v>
      </c>
      <c r="R1243" s="1">
        <v>7.6</v>
      </c>
      <c r="S1243" s="1">
        <v>56</v>
      </c>
      <c r="W1243" s="1">
        <v>6.6</v>
      </c>
      <c r="Z1243" s="1">
        <v>6.04</v>
      </c>
      <c r="AD1243" s="1">
        <v>162.9</v>
      </c>
      <c r="AK1243" s="1">
        <v>30.2</v>
      </c>
      <c r="AL1243" s="1">
        <v>808</v>
      </c>
    </row>
    <row r="1244" spans="4:51" x14ac:dyDescent="0.3">
      <c r="D1244" s="2">
        <f t="shared" si="79"/>
        <v>2012</v>
      </c>
      <c r="E1244" s="2">
        <f t="shared" si="80"/>
        <v>3</v>
      </c>
      <c r="F1244" s="3" t="s">
        <v>175</v>
      </c>
      <c r="G1244" s="4">
        <v>40982</v>
      </c>
      <c r="J1244" s="1" t="s">
        <v>207</v>
      </c>
      <c r="K1244" s="1"/>
      <c r="L1244" s="1" t="str">
        <f t="shared" si="81"/>
        <v xml:space="preserve">Käringsjön </v>
      </c>
      <c r="M1244" s="1" t="s">
        <v>184</v>
      </c>
      <c r="Q1244" s="1">
        <v>4.0999999999999996</v>
      </c>
      <c r="R1244" s="1">
        <v>0.2</v>
      </c>
      <c r="S1244" s="1">
        <v>2</v>
      </c>
      <c r="W1244" s="1">
        <v>49</v>
      </c>
      <c r="Z1244" s="1">
        <v>36.229999999999997</v>
      </c>
      <c r="AD1244" s="1">
        <v>148.30000000000001</v>
      </c>
      <c r="AK1244" s="1">
        <v>58.9</v>
      </c>
      <c r="AL1244" s="1">
        <v>1233</v>
      </c>
    </row>
    <row r="1245" spans="4:51" x14ac:dyDescent="0.3">
      <c r="D1245" s="2">
        <f t="shared" si="79"/>
        <v>2012</v>
      </c>
      <c r="E1245" s="2">
        <f t="shared" si="80"/>
        <v>3</v>
      </c>
      <c r="F1245" s="3" t="s">
        <v>175</v>
      </c>
      <c r="G1245" s="4">
        <v>40982</v>
      </c>
      <c r="J1245" s="1" t="s">
        <v>201</v>
      </c>
      <c r="K1245" s="1"/>
      <c r="L1245" s="1" t="str">
        <f t="shared" si="81"/>
        <v xml:space="preserve">Mörtsjön </v>
      </c>
      <c r="M1245" s="1" t="s">
        <v>177</v>
      </c>
      <c r="P1245" s="1">
        <v>1.9</v>
      </c>
      <c r="Q1245" s="1">
        <v>4</v>
      </c>
      <c r="R1245" s="1">
        <v>4.3</v>
      </c>
      <c r="S1245" s="1">
        <v>33</v>
      </c>
      <c r="W1245" s="1">
        <v>1</v>
      </c>
      <c r="Z1245" s="1">
        <v>1.99</v>
      </c>
      <c r="AD1245" s="1">
        <v>184.4</v>
      </c>
      <c r="AK1245" s="1">
        <v>35.700000000000003</v>
      </c>
      <c r="AL1245" s="1">
        <v>1111</v>
      </c>
    </row>
    <row r="1246" spans="4:51" x14ac:dyDescent="0.3">
      <c r="D1246" s="2">
        <f t="shared" si="79"/>
        <v>2012</v>
      </c>
      <c r="E1246" s="2">
        <f t="shared" si="80"/>
        <v>3</v>
      </c>
      <c r="F1246" s="3" t="s">
        <v>175</v>
      </c>
      <c r="G1246" s="4">
        <v>40982</v>
      </c>
      <c r="J1246" s="1" t="s">
        <v>201</v>
      </c>
      <c r="K1246" s="1"/>
      <c r="L1246" s="1" t="str">
        <f t="shared" si="81"/>
        <v xml:space="preserve">Mörtsjön </v>
      </c>
      <c r="M1246" s="1" t="s">
        <v>184</v>
      </c>
      <c r="Q1246" s="1">
        <v>4.4000000000000004</v>
      </c>
      <c r="R1246" s="1">
        <v>0.4</v>
      </c>
      <c r="S1246" s="1">
        <v>3</v>
      </c>
      <c r="W1246" s="1">
        <v>35</v>
      </c>
      <c r="Z1246" s="1">
        <v>9.3800000000000008</v>
      </c>
      <c r="AD1246" s="1">
        <v>965</v>
      </c>
      <c r="AK1246" s="1">
        <v>28.5</v>
      </c>
      <c r="AL1246" s="1">
        <v>1428</v>
      </c>
    </row>
    <row r="1247" spans="4:51" x14ac:dyDescent="0.3">
      <c r="D1247" s="2">
        <f t="shared" si="79"/>
        <v>2012</v>
      </c>
      <c r="E1247" s="2">
        <f t="shared" si="80"/>
        <v>3</v>
      </c>
      <c r="F1247" s="3" t="s">
        <v>175</v>
      </c>
      <c r="G1247" s="4">
        <v>40982</v>
      </c>
      <c r="J1247" s="1" t="s">
        <v>187</v>
      </c>
      <c r="K1247" s="1"/>
      <c r="L1247" s="1" t="str">
        <f t="shared" si="81"/>
        <v xml:space="preserve">Oxundasjön </v>
      </c>
      <c r="M1247" s="1" t="s">
        <v>177</v>
      </c>
      <c r="P1247" s="1">
        <v>0.9</v>
      </c>
      <c r="Q1247" s="1">
        <v>3.8</v>
      </c>
      <c r="R1247" s="1">
        <v>13.4</v>
      </c>
      <c r="S1247" s="1">
        <v>101</v>
      </c>
      <c r="W1247" s="1">
        <v>39</v>
      </c>
      <c r="Z1247" s="1">
        <v>9.3000000000000007</v>
      </c>
      <c r="AD1247" s="1">
        <v>695.3</v>
      </c>
      <c r="AK1247" s="1">
        <v>71.3</v>
      </c>
      <c r="AL1247" s="1">
        <v>1304</v>
      </c>
    </row>
    <row r="1248" spans="4:51" x14ac:dyDescent="0.3">
      <c r="D1248" s="2">
        <f t="shared" si="79"/>
        <v>2012</v>
      </c>
      <c r="E1248" s="2">
        <f t="shared" si="80"/>
        <v>3</v>
      </c>
      <c r="F1248" s="3" t="s">
        <v>175</v>
      </c>
      <c r="G1248" s="4">
        <v>40982</v>
      </c>
      <c r="J1248" s="1" t="s">
        <v>187</v>
      </c>
      <c r="K1248" s="1"/>
      <c r="L1248" s="1" t="str">
        <f t="shared" si="81"/>
        <v xml:space="preserve">Oxundasjön </v>
      </c>
      <c r="M1248" s="1" t="s">
        <v>184</v>
      </c>
      <c r="Q1248" s="1">
        <v>3.8</v>
      </c>
      <c r="R1248" s="1">
        <v>2</v>
      </c>
      <c r="S1248" s="1">
        <v>15</v>
      </c>
      <c r="W1248" s="1">
        <v>5.9</v>
      </c>
      <c r="Z1248" s="1">
        <v>37.68</v>
      </c>
      <c r="AD1248" s="1">
        <v>1148.5</v>
      </c>
      <c r="AK1248" s="1">
        <v>57.3</v>
      </c>
      <c r="AL1248" s="1">
        <v>1602</v>
      </c>
    </row>
    <row r="1249" spans="4:51" x14ac:dyDescent="0.3">
      <c r="D1249" s="2">
        <f t="shared" si="79"/>
        <v>2012</v>
      </c>
      <c r="E1249" s="2">
        <f t="shared" si="80"/>
        <v>3</v>
      </c>
      <c r="F1249" s="3" t="s">
        <v>175</v>
      </c>
      <c r="G1249" s="4">
        <v>40982</v>
      </c>
      <c r="J1249" s="1" t="s">
        <v>188</v>
      </c>
      <c r="K1249" s="1"/>
      <c r="L1249" s="1" t="str">
        <f t="shared" si="81"/>
        <v xml:space="preserve">Ravalen </v>
      </c>
      <c r="M1249" s="1" t="s">
        <v>177</v>
      </c>
      <c r="P1249" s="1">
        <v>1.1000000000000001</v>
      </c>
      <c r="Q1249" s="1">
        <v>4.3</v>
      </c>
      <c r="R1249" s="1">
        <v>10.1</v>
      </c>
      <c r="S1249" s="1">
        <v>77</v>
      </c>
      <c r="W1249" s="1">
        <v>136</v>
      </c>
      <c r="Z1249" s="1">
        <v>4.34</v>
      </c>
      <c r="AD1249" s="1">
        <v>250.8</v>
      </c>
      <c r="AK1249" s="1">
        <v>48.7</v>
      </c>
      <c r="AL1249" s="1">
        <v>957</v>
      </c>
    </row>
    <row r="1250" spans="4:51" x14ac:dyDescent="0.3">
      <c r="D1250" s="2">
        <f t="shared" si="79"/>
        <v>2012</v>
      </c>
      <c r="E1250" s="2">
        <f t="shared" si="80"/>
        <v>3</v>
      </c>
      <c r="F1250" s="3" t="s">
        <v>175</v>
      </c>
      <c r="G1250" s="4">
        <v>40982</v>
      </c>
      <c r="J1250" s="1" t="s">
        <v>188</v>
      </c>
      <c r="K1250" s="1"/>
      <c r="L1250" s="1" t="str">
        <f t="shared" si="81"/>
        <v xml:space="preserve">Ravalen </v>
      </c>
      <c r="M1250" s="1" t="s">
        <v>184</v>
      </c>
      <c r="Q1250" s="1">
        <v>3.9</v>
      </c>
      <c r="R1250" s="1">
        <v>2.1</v>
      </c>
      <c r="S1250" s="1">
        <v>16</v>
      </c>
      <c r="W1250" s="1">
        <v>5</v>
      </c>
      <c r="Z1250" s="1">
        <v>4.5999999999999996</v>
      </c>
      <c r="AD1250" s="1">
        <v>154.6</v>
      </c>
      <c r="AK1250" s="1">
        <v>62.2</v>
      </c>
      <c r="AL1250" s="1">
        <v>944</v>
      </c>
    </row>
    <row r="1251" spans="4:51" x14ac:dyDescent="0.3">
      <c r="D1251" s="2">
        <f t="shared" si="79"/>
        <v>2012</v>
      </c>
      <c r="E1251" s="2">
        <f t="shared" si="80"/>
        <v>3</v>
      </c>
      <c r="F1251" s="3" t="s">
        <v>175</v>
      </c>
      <c r="G1251" s="4">
        <v>40982</v>
      </c>
      <c r="J1251" s="1" t="s">
        <v>189</v>
      </c>
      <c r="K1251" s="1"/>
      <c r="L1251" s="1" t="str">
        <f t="shared" si="81"/>
        <v xml:space="preserve">Rösjön </v>
      </c>
      <c r="M1251" s="1" t="s">
        <v>177</v>
      </c>
      <c r="P1251" s="1">
        <v>2.2000000000000002</v>
      </c>
      <c r="Q1251" s="1">
        <v>3.3</v>
      </c>
      <c r="R1251" s="1">
        <v>12.4</v>
      </c>
      <c r="S1251" s="1">
        <v>92</v>
      </c>
      <c r="W1251" s="1">
        <v>15</v>
      </c>
      <c r="Z1251" s="1">
        <v>2.16</v>
      </c>
      <c r="AD1251" s="1">
        <v>108.7</v>
      </c>
      <c r="AK1251" s="1">
        <v>17.3</v>
      </c>
      <c r="AL1251" s="1">
        <v>378</v>
      </c>
    </row>
    <row r="1252" spans="4:51" x14ac:dyDescent="0.3">
      <c r="D1252" s="2">
        <f t="shared" si="79"/>
        <v>2012</v>
      </c>
      <c r="E1252" s="2">
        <f t="shared" si="80"/>
        <v>3</v>
      </c>
      <c r="F1252" s="3" t="s">
        <v>175</v>
      </c>
      <c r="G1252" s="4">
        <v>40982</v>
      </c>
      <c r="J1252" s="1" t="s">
        <v>189</v>
      </c>
      <c r="K1252" s="1"/>
      <c r="L1252" s="1" t="str">
        <f t="shared" si="81"/>
        <v xml:space="preserve">Rösjön </v>
      </c>
      <c r="M1252" s="1" t="s">
        <v>184</v>
      </c>
      <c r="Q1252" s="1">
        <v>4.2</v>
      </c>
      <c r="R1252" s="1">
        <v>1</v>
      </c>
      <c r="S1252" s="1">
        <v>8</v>
      </c>
      <c r="W1252" s="1">
        <v>6.2</v>
      </c>
      <c r="Z1252" s="1">
        <v>3.48</v>
      </c>
      <c r="AD1252" s="1">
        <v>428.2</v>
      </c>
      <c r="AK1252" s="1">
        <v>18.399999999999999</v>
      </c>
      <c r="AL1252" s="1">
        <v>828</v>
      </c>
    </row>
    <row r="1253" spans="4:51" x14ac:dyDescent="0.3">
      <c r="D1253" s="2">
        <f t="shared" si="79"/>
        <v>2012</v>
      </c>
      <c r="E1253" s="2">
        <f t="shared" si="80"/>
        <v>3</v>
      </c>
      <c r="F1253" s="3" t="s">
        <v>175</v>
      </c>
      <c r="G1253" s="4">
        <v>40982</v>
      </c>
      <c r="J1253" s="1" t="s">
        <v>190</v>
      </c>
      <c r="K1253" s="1"/>
      <c r="L1253" s="1" t="str">
        <f t="shared" si="81"/>
        <v xml:space="preserve">Snuggan </v>
      </c>
      <c r="M1253" s="1" t="s">
        <v>177</v>
      </c>
      <c r="P1253" s="1">
        <v>1.3</v>
      </c>
      <c r="Q1253" s="1">
        <v>2.9</v>
      </c>
      <c r="R1253" s="1">
        <v>9.1999999999999993</v>
      </c>
      <c r="S1253" s="1">
        <v>68</v>
      </c>
      <c r="W1253" s="1">
        <v>220</v>
      </c>
      <c r="Z1253" s="1">
        <v>1.98</v>
      </c>
      <c r="AD1253" s="1">
        <v>27.6</v>
      </c>
      <c r="AI1253" s="1">
        <v>32.5</v>
      </c>
      <c r="AK1253" s="1">
        <v>24.9</v>
      </c>
      <c r="AL1253" s="1">
        <v>1037</v>
      </c>
      <c r="AR1253" s="1">
        <v>3.66</v>
      </c>
      <c r="AT1253" s="1">
        <v>0.53400000000000003</v>
      </c>
      <c r="AU1253" s="1">
        <v>0.755</v>
      </c>
      <c r="AV1253" s="1">
        <v>4.16</v>
      </c>
      <c r="AW1253" s="1">
        <v>4.34</v>
      </c>
      <c r="AX1253" s="1">
        <v>2.5</v>
      </c>
    </row>
    <row r="1254" spans="4:51" x14ac:dyDescent="0.3">
      <c r="D1254" s="2">
        <f t="shared" si="79"/>
        <v>2012</v>
      </c>
      <c r="E1254" s="2">
        <f t="shared" si="80"/>
        <v>3</v>
      </c>
      <c r="F1254" s="3" t="s">
        <v>175</v>
      </c>
      <c r="G1254" s="4">
        <v>40982</v>
      </c>
      <c r="J1254" s="1" t="s">
        <v>190</v>
      </c>
      <c r="K1254" s="1"/>
      <c r="L1254" s="1" t="str">
        <f t="shared" si="81"/>
        <v xml:space="preserve">Snuggan </v>
      </c>
      <c r="M1254" s="1" t="s">
        <v>184</v>
      </c>
      <c r="Q1254" s="1">
        <v>4.0999999999999996</v>
      </c>
      <c r="R1254" s="1">
        <v>0.5</v>
      </c>
      <c r="S1254" s="1">
        <v>3</v>
      </c>
      <c r="W1254" s="1">
        <v>349</v>
      </c>
      <c r="Z1254" s="1">
        <v>2.61</v>
      </c>
      <c r="AD1254" s="1">
        <v>16.8</v>
      </c>
      <c r="AK1254" s="1">
        <v>31.2</v>
      </c>
      <c r="AL1254" s="1">
        <v>1287</v>
      </c>
    </row>
    <row r="1255" spans="4:51" x14ac:dyDescent="0.3">
      <c r="D1255" s="2">
        <f t="shared" si="79"/>
        <v>2012</v>
      </c>
      <c r="E1255" s="2">
        <f t="shared" si="80"/>
        <v>3</v>
      </c>
      <c r="F1255" s="3" t="s">
        <v>175</v>
      </c>
      <c r="G1255" s="4">
        <v>40982</v>
      </c>
      <c r="J1255" s="1" t="s">
        <v>192</v>
      </c>
      <c r="K1255" s="1"/>
      <c r="L1255" s="1" t="str">
        <f t="shared" si="81"/>
        <v xml:space="preserve">Väsjön </v>
      </c>
      <c r="M1255" s="1" t="s">
        <v>177</v>
      </c>
      <c r="P1255" s="1">
        <v>2</v>
      </c>
      <c r="Q1255" s="1">
        <v>3.9</v>
      </c>
      <c r="R1255" s="1">
        <v>9.1999999999999993</v>
      </c>
      <c r="S1255" s="1">
        <v>70</v>
      </c>
      <c r="W1255" s="1">
        <v>16</v>
      </c>
      <c r="Z1255" s="1">
        <v>2.13</v>
      </c>
      <c r="AD1255" s="1">
        <v>147.30000000000001</v>
      </c>
      <c r="AK1255" s="1">
        <v>19.100000000000001</v>
      </c>
      <c r="AL1255" s="1">
        <v>528</v>
      </c>
    </row>
    <row r="1256" spans="4:51" x14ac:dyDescent="0.3">
      <c r="D1256" s="2">
        <f t="shared" si="79"/>
        <v>2012</v>
      </c>
      <c r="E1256" s="2">
        <f t="shared" si="80"/>
        <v>3</v>
      </c>
      <c r="F1256" s="3" t="s">
        <v>175</v>
      </c>
      <c r="G1256" s="4">
        <v>40982</v>
      </c>
      <c r="J1256" s="1" t="s">
        <v>192</v>
      </c>
      <c r="K1256" s="1"/>
      <c r="L1256" s="1" t="str">
        <f t="shared" si="81"/>
        <v xml:space="preserve">Väsjön </v>
      </c>
      <c r="M1256" s="1" t="s">
        <v>184</v>
      </c>
      <c r="Q1256" s="1">
        <v>4.4000000000000004</v>
      </c>
      <c r="R1256" s="1">
        <v>0.3</v>
      </c>
      <c r="S1256" s="1">
        <v>2</v>
      </c>
      <c r="W1256" s="1">
        <v>72</v>
      </c>
      <c r="Z1256" s="1">
        <v>1.8199999999999998</v>
      </c>
      <c r="AD1256" s="1">
        <v>19.600000000000001</v>
      </c>
      <c r="AK1256" s="1">
        <v>31.3</v>
      </c>
      <c r="AL1256" s="1">
        <v>732</v>
      </c>
    </row>
    <row r="1257" spans="4:51" x14ac:dyDescent="0.3">
      <c r="D1257" s="2">
        <f t="shared" si="79"/>
        <v>2012</v>
      </c>
      <c r="E1257" s="2">
        <f t="shared" si="80"/>
        <v>3</v>
      </c>
      <c r="F1257" s="3" t="s">
        <v>175</v>
      </c>
      <c r="G1257" s="4">
        <v>40982</v>
      </c>
      <c r="J1257" s="1" t="s">
        <v>193</v>
      </c>
      <c r="K1257" s="1"/>
      <c r="L1257" s="1" t="str">
        <f t="shared" si="81"/>
        <v xml:space="preserve">Översjön </v>
      </c>
      <c r="M1257" s="1" t="s">
        <v>177</v>
      </c>
      <c r="P1257" s="1">
        <v>3.2</v>
      </c>
      <c r="Q1257" s="1">
        <v>4.7</v>
      </c>
      <c r="R1257" s="1">
        <v>9.8000000000000007</v>
      </c>
      <c r="S1257" s="1">
        <v>76</v>
      </c>
      <c r="W1257" s="1">
        <v>113</v>
      </c>
      <c r="Z1257" s="1">
        <v>1.6600000000000001</v>
      </c>
      <c r="AD1257" s="1">
        <v>153.4</v>
      </c>
      <c r="AK1257" s="1">
        <v>19.600000000000001</v>
      </c>
      <c r="AL1257" s="1">
        <v>849</v>
      </c>
    </row>
    <row r="1258" spans="4:51" x14ac:dyDescent="0.3">
      <c r="D1258" s="2">
        <f t="shared" si="79"/>
        <v>2012</v>
      </c>
      <c r="E1258" s="2">
        <f t="shared" si="80"/>
        <v>3</v>
      </c>
      <c r="F1258" s="3" t="s">
        <v>175</v>
      </c>
      <c r="G1258" s="4">
        <v>40982</v>
      </c>
      <c r="J1258" s="1" t="s">
        <v>193</v>
      </c>
      <c r="K1258" s="1"/>
      <c r="L1258" s="1" t="str">
        <f t="shared" si="81"/>
        <v xml:space="preserve">Översjön </v>
      </c>
      <c r="M1258" s="1" t="s">
        <v>184</v>
      </c>
      <c r="Q1258" s="1">
        <v>4.2</v>
      </c>
      <c r="R1258" s="1">
        <v>8</v>
      </c>
      <c r="S1258" s="1">
        <v>61</v>
      </c>
      <c r="W1258" s="1">
        <v>132</v>
      </c>
      <c r="Z1258" s="1">
        <v>1.44</v>
      </c>
      <c r="AD1258" s="1">
        <v>145.5</v>
      </c>
      <c r="AK1258" s="1">
        <v>28.9</v>
      </c>
      <c r="AL1258" s="1">
        <v>968</v>
      </c>
    </row>
    <row r="1259" spans="4:51" x14ac:dyDescent="0.3">
      <c r="D1259" s="2">
        <f t="shared" si="79"/>
        <v>2012</v>
      </c>
      <c r="E1259" s="2">
        <f t="shared" si="80"/>
        <v>3</v>
      </c>
      <c r="F1259" s="3" t="s">
        <v>175</v>
      </c>
      <c r="G1259" s="4">
        <v>40982</v>
      </c>
      <c r="H1259" s="1">
        <v>6606238</v>
      </c>
      <c r="I1259" s="1">
        <v>661152</v>
      </c>
      <c r="J1259" s="5" t="s">
        <v>176</v>
      </c>
      <c r="K1259" s="1"/>
      <c r="L1259" s="1" t="str">
        <f t="shared" si="81"/>
        <v xml:space="preserve">Oxundaån </v>
      </c>
      <c r="M1259" s="1" t="s">
        <v>177</v>
      </c>
      <c r="N1259" s="1">
        <v>0.5</v>
      </c>
      <c r="O1259" s="1">
        <v>0.5</v>
      </c>
      <c r="Q1259" s="1">
        <v>3.3</v>
      </c>
      <c r="T1259" s="1">
        <v>40.200000000000003</v>
      </c>
      <c r="V1259" s="1">
        <v>1.853</v>
      </c>
      <c r="W1259" s="1">
        <v>22</v>
      </c>
      <c r="X1259" s="1">
        <f>W1259 * (1/((10^((0.0901821 + (2729.92 /(273.15 + Q1259)))-AE1259)+1)))</f>
        <v>4.7466636276224869E-2</v>
      </c>
      <c r="Y1259" s="1">
        <v>6.9000000000000006E-2</v>
      </c>
      <c r="Z1259" s="1">
        <v>21</v>
      </c>
      <c r="AA1259" s="1">
        <v>13</v>
      </c>
      <c r="AD1259" s="1">
        <v>1250</v>
      </c>
      <c r="AE1259" s="1">
        <v>7.3</v>
      </c>
      <c r="AG1259" s="1">
        <v>9.6999999999999993</v>
      </c>
      <c r="AI1259" s="1">
        <v>11.3</v>
      </c>
      <c r="AK1259" s="1">
        <v>64</v>
      </c>
      <c r="AL1259" s="1">
        <v>1925</v>
      </c>
      <c r="AR1259" s="1">
        <v>45.480000000000004</v>
      </c>
      <c r="AS1259" s="1">
        <v>0.57999999999999996</v>
      </c>
      <c r="AT1259" s="1">
        <v>5.0048000000000004</v>
      </c>
      <c r="AU1259" s="1">
        <v>8.3731999999999989</v>
      </c>
      <c r="AV1259" s="1">
        <v>35.166400000000003</v>
      </c>
      <c r="AW1259" s="1">
        <v>23.83466</v>
      </c>
      <c r="AX1259" s="1">
        <v>52.278399999999998</v>
      </c>
      <c r="AY1259" s="1">
        <v>5.51</v>
      </c>
    </row>
    <row r="1260" spans="4:51" x14ac:dyDescent="0.3">
      <c r="D1260" s="2">
        <f t="shared" si="79"/>
        <v>2012</v>
      </c>
      <c r="E1260" s="2">
        <f t="shared" si="80"/>
        <v>3</v>
      </c>
      <c r="F1260" s="3" t="s">
        <v>175</v>
      </c>
      <c r="G1260" s="4">
        <v>40983</v>
      </c>
      <c r="J1260" s="1" t="s">
        <v>185</v>
      </c>
      <c r="K1260" s="1"/>
      <c r="L1260" s="1" t="str">
        <f t="shared" si="81"/>
        <v xml:space="preserve">Gullsjön </v>
      </c>
      <c r="M1260" s="1" t="s">
        <v>177</v>
      </c>
      <c r="P1260" s="1">
        <v>1.7</v>
      </c>
      <c r="Q1260" s="1">
        <v>4.7</v>
      </c>
      <c r="R1260" s="1">
        <v>2.5</v>
      </c>
      <c r="S1260" s="1">
        <v>19</v>
      </c>
      <c r="W1260" s="1">
        <v>34</v>
      </c>
      <c r="Z1260" s="1">
        <v>2.27</v>
      </c>
      <c r="AD1260" s="1">
        <v>60.6</v>
      </c>
      <c r="AK1260" s="1">
        <v>19.7</v>
      </c>
      <c r="AL1260" s="1">
        <v>501</v>
      </c>
    </row>
    <row r="1261" spans="4:51" x14ac:dyDescent="0.3">
      <c r="D1261" s="2">
        <f t="shared" si="79"/>
        <v>2012</v>
      </c>
      <c r="E1261" s="2">
        <f t="shared" si="80"/>
        <v>3</v>
      </c>
      <c r="F1261" s="3" t="s">
        <v>175</v>
      </c>
      <c r="G1261" s="4">
        <v>40983</v>
      </c>
      <c r="J1261" s="1" t="s">
        <v>185</v>
      </c>
      <c r="K1261" s="1"/>
      <c r="L1261" s="1" t="str">
        <f t="shared" si="81"/>
        <v xml:space="preserve">Gullsjön </v>
      </c>
      <c r="M1261" s="1" t="s">
        <v>184</v>
      </c>
      <c r="Q1261" s="1">
        <v>3.2</v>
      </c>
      <c r="R1261" s="1">
        <v>0.8</v>
      </c>
      <c r="S1261" s="1">
        <v>6</v>
      </c>
      <c r="W1261" s="1">
        <v>104</v>
      </c>
      <c r="Z1261" s="1">
        <v>2.56</v>
      </c>
      <c r="AD1261" s="1">
        <v>107.5</v>
      </c>
      <c r="AK1261" s="1">
        <v>30.1</v>
      </c>
      <c r="AL1261" s="1">
        <v>969</v>
      </c>
    </row>
    <row r="1262" spans="4:51" x14ac:dyDescent="0.3">
      <c r="D1262" s="2">
        <f t="shared" si="79"/>
        <v>2012</v>
      </c>
      <c r="E1262" s="2">
        <f t="shared" si="80"/>
        <v>3</v>
      </c>
      <c r="F1262" s="3" t="s">
        <v>175</v>
      </c>
      <c r="G1262" s="4">
        <v>40983</v>
      </c>
      <c r="J1262" s="1" t="s">
        <v>186</v>
      </c>
      <c r="K1262" s="1">
        <v>4</v>
      </c>
      <c r="L1262" s="1" t="str">
        <f t="shared" si="81"/>
        <v>Norrviken 4</v>
      </c>
      <c r="M1262" s="1" t="s">
        <v>177</v>
      </c>
      <c r="P1262" s="1">
        <v>1</v>
      </c>
      <c r="Q1262" s="1">
        <v>4.3</v>
      </c>
      <c r="R1262" s="1">
        <v>13.7</v>
      </c>
      <c r="S1262" s="1">
        <v>105</v>
      </c>
      <c r="W1262" s="1">
        <v>16</v>
      </c>
      <c r="Z1262" s="1">
        <v>5.3</v>
      </c>
      <c r="AD1262" s="1">
        <v>676.1</v>
      </c>
      <c r="AK1262" s="1">
        <v>66.599999999999994</v>
      </c>
      <c r="AL1262" s="1">
        <v>1421</v>
      </c>
    </row>
    <row r="1263" spans="4:51" x14ac:dyDescent="0.3">
      <c r="D1263" s="2">
        <f t="shared" si="79"/>
        <v>2012</v>
      </c>
      <c r="E1263" s="2">
        <f t="shared" si="80"/>
        <v>3</v>
      </c>
      <c r="F1263" s="3" t="s">
        <v>175</v>
      </c>
      <c r="G1263" s="4">
        <v>40983</v>
      </c>
      <c r="J1263" s="1" t="s">
        <v>186</v>
      </c>
      <c r="K1263" s="1">
        <v>3</v>
      </c>
      <c r="L1263" s="1" t="str">
        <f t="shared" si="81"/>
        <v>Norrviken 3</v>
      </c>
      <c r="M1263" s="1" t="s">
        <v>177</v>
      </c>
      <c r="P1263" s="1">
        <v>1.9</v>
      </c>
      <c r="Q1263" s="1">
        <v>4</v>
      </c>
      <c r="R1263" s="1">
        <v>13</v>
      </c>
      <c r="S1263" s="1">
        <v>99</v>
      </c>
      <c r="W1263" s="1">
        <v>4</v>
      </c>
      <c r="Z1263" s="1">
        <v>44.61</v>
      </c>
      <c r="AD1263" s="1">
        <v>462.5</v>
      </c>
      <c r="AK1263" s="1">
        <v>85.7</v>
      </c>
      <c r="AL1263" s="1">
        <v>1108</v>
      </c>
    </row>
    <row r="1264" spans="4:51" x14ac:dyDescent="0.3">
      <c r="D1264" s="2">
        <f t="shared" si="79"/>
        <v>2012</v>
      </c>
      <c r="E1264" s="2">
        <f t="shared" si="80"/>
        <v>3</v>
      </c>
      <c r="F1264" s="3" t="s">
        <v>175</v>
      </c>
      <c r="G1264" s="4">
        <v>40983</v>
      </c>
      <c r="J1264" s="1" t="s">
        <v>186</v>
      </c>
      <c r="K1264" s="1">
        <v>2</v>
      </c>
      <c r="L1264" s="1" t="str">
        <f t="shared" si="81"/>
        <v>Norrviken 2</v>
      </c>
      <c r="M1264" s="1" t="s">
        <v>177</v>
      </c>
      <c r="P1264" s="1">
        <v>1.6</v>
      </c>
      <c r="Q1264" s="1">
        <v>4.0999999999999996</v>
      </c>
      <c r="R1264" s="1">
        <v>12</v>
      </c>
      <c r="S1264" s="1">
        <v>90</v>
      </c>
      <c r="W1264" s="1">
        <v>5</v>
      </c>
      <c r="Z1264" s="1">
        <v>15.9</v>
      </c>
      <c r="AD1264" s="1">
        <v>447.1</v>
      </c>
      <c r="AK1264" s="1">
        <v>69.400000000000006</v>
      </c>
      <c r="AL1264" s="1">
        <v>1252</v>
      </c>
    </row>
    <row r="1265" spans="4:51" x14ac:dyDescent="0.3">
      <c r="D1265" s="2">
        <f t="shared" si="79"/>
        <v>2012</v>
      </c>
      <c r="E1265" s="2">
        <f t="shared" si="80"/>
        <v>3</v>
      </c>
      <c r="F1265" s="3" t="s">
        <v>175</v>
      </c>
      <c r="G1265" s="4">
        <v>40983</v>
      </c>
      <c r="J1265" s="1" t="s">
        <v>186</v>
      </c>
      <c r="K1265" s="1">
        <v>1</v>
      </c>
      <c r="L1265" s="1" t="str">
        <f t="shared" si="81"/>
        <v>Norrviken 1</v>
      </c>
      <c r="M1265" s="1" t="s">
        <v>177</v>
      </c>
      <c r="Q1265" s="1">
        <v>3.2</v>
      </c>
      <c r="R1265" s="1">
        <v>11</v>
      </c>
      <c r="S1265" s="1">
        <v>81</v>
      </c>
      <c r="W1265" s="1">
        <v>121</v>
      </c>
      <c r="Z1265" s="1">
        <v>5.03</v>
      </c>
      <c r="AD1265" s="1">
        <v>515.29999999999995</v>
      </c>
      <c r="AK1265" s="1">
        <v>35.299999999999997</v>
      </c>
      <c r="AL1265" s="1">
        <v>1217</v>
      </c>
    </row>
    <row r="1266" spans="4:51" x14ac:dyDescent="0.3">
      <c r="D1266" s="2">
        <f t="shared" si="79"/>
        <v>2012</v>
      </c>
      <c r="E1266" s="2">
        <f t="shared" si="80"/>
        <v>3</v>
      </c>
      <c r="F1266" s="3" t="s">
        <v>175</v>
      </c>
      <c r="G1266" s="4">
        <v>40983</v>
      </c>
      <c r="J1266" s="1" t="s">
        <v>186</v>
      </c>
      <c r="K1266" s="1">
        <v>3</v>
      </c>
      <c r="L1266" s="1" t="str">
        <f t="shared" si="81"/>
        <v>Norrviken 3</v>
      </c>
      <c r="M1266" s="1" t="s">
        <v>184</v>
      </c>
      <c r="Q1266" s="1">
        <v>3.9</v>
      </c>
      <c r="R1266" s="1">
        <v>0.4</v>
      </c>
      <c r="S1266" s="1">
        <v>3</v>
      </c>
      <c r="W1266" s="1">
        <v>311</v>
      </c>
      <c r="Z1266" s="1">
        <v>69.319999999999993</v>
      </c>
      <c r="AD1266" s="1">
        <v>591.9</v>
      </c>
      <c r="AK1266" s="1">
        <v>90.6</v>
      </c>
      <c r="AL1266" s="1">
        <v>1468</v>
      </c>
    </row>
    <row r="1267" spans="4:51" x14ac:dyDescent="0.3">
      <c r="D1267" s="2">
        <f t="shared" si="79"/>
        <v>2012</v>
      </c>
      <c r="E1267" s="2">
        <f t="shared" si="80"/>
        <v>3</v>
      </c>
      <c r="F1267" s="3" t="s">
        <v>175</v>
      </c>
      <c r="G1267" s="4">
        <v>40983</v>
      </c>
      <c r="J1267" s="1" t="s">
        <v>186</v>
      </c>
      <c r="K1267" s="1">
        <v>2</v>
      </c>
      <c r="L1267" s="1" t="str">
        <f t="shared" si="81"/>
        <v>Norrviken 2</v>
      </c>
      <c r="M1267" s="1" t="s">
        <v>184</v>
      </c>
      <c r="Q1267" s="1">
        <v>3</v>
      </c>
      <c r="R1267" s="1">
        <v>4.0999999999999996</v>
      </c>
      <c r="S1267" s="1">
        <v>30</v>
      </c>
      <c r="W1267" s="1">
        <v>13</v>
      </c>
      <c r="Z1267" s="1">
        <v>59.91</v>
      </c>
      <c r="AD1267" s="1">
        <v>656.5</v>
      </c>
      <c r="AK1267" s="1">
        <v>75.2</v>
      </c>
      <c r="AL1267" s="1">
        <v>1212</v>
      </c>
    </row>
    <row r="1268" spans="4:51" x14ac:dyDescent="0.3">
      <c r="D1268" s="2">
        <f t="shared" si="79"/>
        <v>2012</v>
      </c>
      <c r="E1268" s="2">
        <f t="shared" si="80"/>
        <v>3</v>
      </c>
      <c r="F1268" s="3" t="s">
        <v>175</v>
      </c>
      <c r="G1268" s="4">
        <v>40983</v>
      </c>
      <c r="J1268" s="1" t="s">
        <v>191</v>
      </c>
      <c r="K1268" s="1" t="s">
        <v>206</v>
      </c>
      <c r="L1268" s="1" t="str">
        <f t="shared" si="81"/>
        <v>Vallentunasjön Blandprov</v>
      </c>
      <c r="M1268" s="1" t="s">
        <v>177</v>
      </c>
      <c r="P1268" s="1">
        <v>1.8</v>
      </c>
      <c r="W1268" s="1">
        <v>440</v>
      </c>
      <c r="Z1268" s="1">
        <v>9</v>
      </c>
      <c r="AB1268" s="1">
        <v>15.9</v>
      </c>
      <c r="AD1268" s="1">
        <v>290</v>
      </c>
      <c r="AK1268" s="1">
        <v>40</v>
      </c>
      <c r="AL1268" s="1">
        <v>1600</v>
      </c>
    </row>
    <row r="1269" spans="4:51" x14ac:dyDescent="0.3">
      <c r="D1269" s="2">
        <f t="shared" si="79"/>
        <v>2012</v>
      </c>
      <c r="E1269" s="2">
        <f t="shared" si="80"/>
        <v>4</v>
      </c>
      <c r="F1269" s="3" t="s">
        <v>178</v>
      </c>
      <c r="G1269" s="4">
        <v>41011</v>
      </c>
      <c r="H1269" s="1">
        <v>6606238</v>
      </c>
      <c r="I1269" s="1">
        <v>661152</v>
      </c>
      <c r="J1269" s="5" t="s">
        <v>176</v>
      </c>
      <c r="K1269" s="1"/>
      <c r="L1269" s="1" t="str">
        <f t="shared" si="81"/>
        <v xml:space="preserve">Oxundaån </v>
      </c>
      <c r="M1269" s="1" t="s">
        <v>177</v>
      </c>
      <c r="N1269" s="1">
        <v>0.5</v>
      </c>
      <c r="O1269" s="1">
        <v>0.5</v>
      </c>
      <c r="Q1269" s="1">
        <v>5.7</v>
      </c>
      <c r="T1269" s="1">
        <v>37.6</v>
      </c>
      <c r="V1269" s="1">
        <v>2.1360000000000001</v>
      </c>
      <c r="W1269" s="1">
        <v>15</v>
      </c>
      <c r="X1269" s="1">
        <f t="shared" ref="X1269:X1291" si="82">W1269 * (1/((10^((0.0901821 + (2729.92 /(273.15 + Q1269)))-AE1269)+1)))</f>
        <v>0.10785795268405775</v>
      </c>
      <c r="Y1269" s="1">
        <v>5.1999999999999998E-2</v>
      </c>
      <c r="Z1269" s="1">
        <v>7</v>
      </c>
      <c r="AA1269" s="1">
        <v>4.3</v>
      </c>
      <c r="AD1269" s="1">
        <v>520</v>
      </c>
      <c r="AE1269" s="1">
        <v>7.74</v>
      </c>
      <c r="AG1269" s="1">
        <v>5.4</v>
      </c>
      <c r="AI1269" s="1">
        <v>10.199999999999999</v>
      </c>
      <c r="AK1269" s="1">
        <v>37</v>
      </c>
      <c r="AL1269" s="1">
        <v>1150</v>
      </c>
      <c r="AR1269" s="1">
        <v>49.76</v>
      </c>
      <c r="AS1269" s="1">
        <v>0.17</v>
      </c>
      <c r="AT1269" s="1">
        <v>4.8483999999999998</v>
      </c>
      <c r="AU1269" s="1">
        <v>8.5183999999999997</v>
      </c>
      <c r="AV1269" s="1">
        <v>37.080700000000007</v>
      </c>
      <c r="AW1269" s="1">
        <v>25.325760000000002</v>
      </c>
      <c r="AX1269" s="1">
        <v>50.452500000000001</v>
      </c>
      <c r="AY1269" s="1">
        <v>3.4</v>
      </c>
    </row>
    <row r="1270" spans="4:51" x14ac:dyDescent="0.3">
      <c r="D1270" s="2">
        <f t="shared" si="79"/>
        <v>2012</v>
      </c>
      <c r="E1270" s="2">
        <f t="shared" si="80"/>
        <v>4</v>
      </c>
      <c r="F1270" s="3" t="s">
        <v>178</v>
      </c>
      <c r="G1270" s="4">
        <v>41015</v>
      </c>
      <c r="J1270" s="1" t="s">
        <v>181</v>
      </c>
      <c r="K1270" s="1"/>
      <c r="L1270" s="1" t="str">
        <f t="shared" si="81"/>
        <v xml:space="preserve">Fysingen </v>
      </c>
      <c r="M1270" s="1" t="s">
        <v>177</v>
      </c>
      <c r="P1270" s="1">
        <v>1.2</v>
      </c>
      <c r="Q1270" s="1">
        <v>5.5</v>
      </c>
      <c r="V1270" s="1">
        <v>1.7989999999999999</v>
      </c>
      <c r="W1270" s="1">
        <v>8</v>
      </c>
      <c r="X1270" s="1">
        <f t="shared" si="82"/>
        <v>8.7335552230479563E-2</v>
      </c>
      <c r="Y1270" s="1">
        <v>5.7000000000000002E-2</v>
      </c>
      <c r="Z1270" s="1">
        <v>9</v>
      </c>
      <c r="AB1270" s="1">
        <v>9.5</v>
      </c>
      <c r="AC1270" s="1">
        <v>44.7</v>
      </c>
      <c r="AD1270" s="1">
        <v>1185</v>
      </c>
      <c r="AE1270" s="1">
        <v>7.93</v>
      </c>
      <c r="AI1270" s="1">
        <v>9.4</v>
      </c>
      <c r="AK1270" s="1">
        <v>24</v>
      </c>
      <c r="AL1270" s="1">
        <v>1649</v>
      </c>
      <c r="AV1270" s="1">
        <v>29.281700000000001</v>
      </c>
      <c r="AX1270" s="1">
        <v>76.303399999999996</v>
      </c>
      <c r="AY1270" s="1">
        <v>5.65</v>
      </c>
    </row>
    <row r="1271" spans="4:51" x14ac:dyDescent="0.3">
      <c r="D1271" s="2">
        <f t="shared" si="79"/>
        <v>2012</v>
      </c>
      <c r="E1271" s="2">
        <f t="shared" si="80"/>
        <v>5</v>
      </c>
      <c r="F1271" s="3" t="s">
        <v>178</v>
      </c>
      <c r="G1271" s="4">
        <v>41044</v>
      </c>
      <c r="H1271" s="1">
        <v>6606238</v>
      </c>
      <c r="I1271" s="1">
        <v>661152</v>
      </c>
      <c r="J1271" s="5" t="s">
        <v>176</v>
      </c>
      <c r="K1271" s="1"/>
      <c r="L1271" s="1" t="str">
        <f t="shared" si="81"/>
        <v xml:space="preserve">Oxundaån </v>
      </c>
      <c r="M1271" s="1" t="s">
        <v>177</v>
      </c>
      <c r="N1271" s="1">
        <v>0.5</v>
      </c>
      <c r="O1271" s="1">
        <v>0.5</v>
      </c>
      <c r="Q1271" s="1">
        <v>13.5</v>
      </c>
      <c r="T1271" s="1">
        <v>43.3</v>
      </c>
      <c r="V1271" s="1">
        <v>2.2109999999999999</v>
      </c>
      <c r="W1271" s="1">
        <v>18</v>
      </c>
      <c r="X1271" s="1">
        <f t="shared" si="82"/>
        <v>0.40886627742342585</v>
      </c>
      <c r="Y1271" s="1">
        <v>6.3E-2</v>
      </c>
      <c r="Z1271" s="1">
        <v>5</v>
      </c>
      <c r="AA1271" s="1">
        <v>4.7</v>
      </c>
      <c r="AD1271" s="1">
        <v>253</v>
      </c>
      <c r="AE1271" s="1">
        <v>7.98</v>
      </c>
      <c r="AG1271" s="1">
        <v>5.7</v>
      </c>
      <c r="AI1271" s="1">
        <v>10.9</v>
      </c>
      <c r="AK1271" s="1">
        <v>35</v>
      </c>
      <c r="AL1271" s="1">
        <v>957</v>
      </c>
      <c r="AR1271" s="1">
        <v>50.76</v>
      </c>
      <c r="AS1271" s="1">
        <v>0.16</v>
      </c>
      <c r="AT1271" s="1">
        <v>4.8875000000000002</v>
      </c>
      <c r="AU1271" s="1">
        <v>8.8692999999999991</v>
      </c>
      <c r="AV1271" s="1">
        <v>37.009800000000006</v>
      </c>
      <c r="AW1271" s="1">
        <v>25.578100000000003</v>
      </c>
      <c r="AX1271" s="1">
        <v>50.5486</v>
      </c>
      <c r="AY1271" s="1">
        <v>2.17</v>
      </c>
    </row>
    <row r="1272" spans="4:51" x14ac:dyDescent="0.3">
      <c r="D1272" s="2">
        <f t="shared" si="79"/>
        <v>2012</v>
      </c>
      <c r="E1272" s="2">
        <f t="shared" si="80"/>
        <v>6</v>
      </c>
      <c r="F1272" s="3"/>
      <c r="G1272" s="4">
        <v>41073</v>
      </c>
      <c r="H1272" s="1">
        <v>6606238</v>
      </c>
      <c r="I1272" s="1">
        <v>661152</v>
      </c>
      <c r="J1272" s="5" t="s">
        <v>176</v>
      </c>
      <c r="K1272" s="1"/>
      <c r="L1272" s="1" t="str">
        <f t="shared" si="81"/>
        <v xml:space="preserve">Oxundaån </v>
      </c>
      <c r="M1272" s="1" t="s">
        <v>177</v>
      </c>
      <c r="N1272" s="1">
        <v>0.5</v>
      </c>
      <c r="O1272" s="1">
        <v>0.5</v>
      </c>
      <c r="Q1272" s="1">
        <v>18.2</v>
      </c>
      <c r="T1272" s="1">
        <v>45.2</v>
      </c>
      <c r="V1272" s="1">
        <v>2.347</v>
      </c>
      <c r="W1272" s="1">
        <v>65</v>
      </c>
      <c r="X1272" s="1">
        <f t="shared" si="82"/>
        <v>1.9050814013443842</v>
      </c>
      <c r="Y1272" s="1">
        <v>5.8000000000000003E-2</v>
      </c>
      <c r="Z1272" s="1">
        <v>2</v>
      </c>
      <c r="AA1272" s="1">
        <v>2</v>
      </c>
      <c r="AD1272" s="1">
        <v>7</v>
      </c>
      <c r="AE1272" s="1">
        <v>7.94</v>
      </c>
      <c r="AG1272" s="1">
        <v>3</v>
      </c>
      <c r="AI1272" s="1">
        <v>11.3</v>
      </c>
      <c r="AK1272" s="1">
        <v>29</v>
      </c>
      <c r="AL1272" s="1">
        <v>783</v>
      </c>
      <c r="AR1272" s="1">
        <v>50.08</v>
      </c>
      <c r="AS1272" s="1">
        <v>8.5999999999999993E-2</v>
      </c>
      <c r="AT1272" s="1">
        <v>4.9266000000000005</v>
      </c>
      <c r="AU1272" s="1">
        <v>8.5546999999999986</v>
      </c>
      <c r="AV1272" s="1">
        <v>38.144200000000005</v>
      </c>
      <c r="AW1272" s="1">
        <v>26.220420000000001</v>
      </c>
      <c r="AX1272" s="1">
        <v>46.896799999999999</v>
      </c>
      <c r="AY1272" s="1">
        <v>1.23</v>
      </c>
    </row>
    <row r="1273" spans="4:51" x14ac:dyDescent="0.3">
      <c r="D1273" s="2">
        <f t="shared" si="79"/>
        <v>2012</v>
      </c>
      <c r="E1273" s="2">
        <f t="shared" si="80"/>
        <v>7</v>
      </c>
      <c r="F1273" s="3" t="s">
        <v>179</v>
      </c>
      <c r="G1273" s="4">
        <v>41108</v>
      </c>
      <c r="H1273" s="1">
        <v>6606238</v>
      </c>
      <c r="I1273" s="1">
        <v>661152</v>
      </c>
      <c r="J1273" s="5" t="s">
        <v>176</v>
      </c>
      <c r="K1273" s="1"/>
      <c r="L1273" s="1" t="str">
        <f t="shared" si="81"/>
        <v xml:space="preserve">Oxundaån </v>
      </c>
      <c r="M1273" s="1" t="s">
        <v>177</v>
      </c>
      <c r="N1273" s="1">
        <v>0.5</v>
      </c>
      <c r="O1273" s="1">
        <v>0.5</v>
      </c>
      <c r="Q1273" s="1">
        <v>19.7</v>
      </c>
      <c r="T1273" s="1">
        <v>46.6</v>
      </c>
      <c r="V1273" s="1">
        <v>2.4089999999999998</v>
      </c>
      <c r="W1273" s="1">
        <v>59</v>
      </c>
      <c r="X1273" s="1">
        <f t="shared" si="82"/>
        <v>1.0030387856590639</v>
      </c>
      <c r="Y1273" s="1">
        <v>4.5999999999999999E-2</v>
      </c>
      <c r="Z1273" s="1">
        <v>34</v>
      </c>
      <c r="AA1273" s="1">
        <v>3</v>
      </c>
      <c r="AB1273" s="1">
        <v>8.5</v>
      </c>
      <c r="AD1273" s="1">
        <v>12</v>
      </c>
      <c r="AE1273" s="1">
        <v>7.65</v>
      </c>
      <c r="AG1273" s="1">
        <v>3.6</v>
      </c>
      <c r="AI1273" s="1">
        <v>10.8</v>
      </c>
      <c r="AK1273" s="1">
        <v>66</v>
      </c>
      <c r="AL1273" s="1">
        <v>762</v>
      </c>
      <c r="AR1273" s="1">
        <v>49.960000000000008</v>
      </c>
      <c r="AS1273" s="1">
        <v>8.5000000000000006E-2</v>
      </c>
      <c r="AT1273" s="1">
        <v>4.8483999999999998</v>
      </c>
      <c r="AU1273" s="1">
        <v>8.5909999999999993</v>
      </c>
      <c r="AV1273" s="1">
        <v>37.257950000000001</v>
      </c>
      <c r="AW1273" s="1">
        <v>25.348700000000001</v>
      </c>
      <c r="AX1273" s="1">
        <v>42.572299999999998</v>
      </c>
      <c r="AY1273" s="1">
        <v>0.32</v>
      </c>
    </row>
    <row r="1274" spans="4:51" x14ac:dyDescent="0.3">
      <c r="D1274" s="2">
        <f t="shared" si="79"/>
        <v>2012</v>
      </c>
      <c r="E1274" s="2">
        <f t="shared" si="80"/>
        <v>8</v>
      </c>
      <c r="F1274" s="3" t="s">
        <v>179</v>
      </c>
      <c r="G1274" s="4">
        <v>41130</v>
      </c>
      <c r="J1274" s="1" t="s">
        <v>181</v>
      </c>
      <c r="K1274" s="1"/>
      <c r="L1274" s="1" t="str">
        <f t="shared" si="81"/>
        <v xml:space="preserve">Fysingen </v>
      </c>
      <c r="M1274" s="1" t="s">
        <v>177</v>
      </c>
      <c r="P1274" s="1">
        <v>1.05</v>
      </c>
      <c r="Q1274" s="1">
        <v>20.3</v>
      </c>
      <c r="V1274" s="1">
        <v>2.1360000000000001</v>
      </c>
      <c r="W1274" s="1">
        <v>74</v>
      </c>
      <c r="X1274" s="1">
        <f t="shared" si="82"/>
        <v>2.0147265046883764</v>
      </c>
      <c r="Y1274" s="1">
        <v>0.04</v>
      </c>
      <c r="Z1274" s="1">
        <v>2</v>
      </c>
      <c r="AB1274" s="1">
        <v>9.8000000000000007</v>
      </c>
      <c r="AC1274" s="1">
        <v>45.9</v>
      </c>
      <c r="AD1274" s="1">
        <v>129</v>
      </c>
      <c r="AE1274" s="1">
        <v>7.84</v>
      </c>
      <c r="AI1274" s="1">
        <v>10.9</v>
      </c>
      <c r="AK1274" s="1">
        <v>31</v>
      </c>
      <c r="AL1274" s="1">
        <v>885</v>
      </c>
      <c r="AV1274" s="1">
        <v>31.656850000000002</v>
      </c>
      <c r="AX1274" s="1">
        <v>73.900899999999993</v>
      </c>
      <c r="AY1274" s="1">
        <v>0.79</v>
      </c>
    </row>
    <row r="1275" spans="4:51" x14ac:dyDescent="0.3">
      <c r="D1275" s="2">
        <f t="shared" si="79"/>
        <v>2012</v>
      </c>
      <c r="E1275" s="2">
        <f t="shared" si="80"/>
        <v>8</v>
      </c>
      <c r="F1275" s="3" t="s">
        <v>179</v>
      </c>
      <c r="G1275" s="4">
        <v>41136</v>
      </c>
      <c r="J1275" s="1" t="s">
        <v>186</v>
      </c>
      <c r="K1275" s="1">
        <v>3</v>
      </c>
      <c r="L1275" s="1" t="str">
        <f t="shared" si="81"/>
        <v>Norrviken 3</v>
      </c>
      <c r="M1275" s="1" t="s">
        <v>177</v>
      </c>
      <c r="P1275" s="1">
        <v>2.8</v>
      </c>
      <c r="Q1275" s="1">
        <v>19.600000000000001</v>
      </c>
      <c r="R1275" s="1">
        <v>8.6999999999999993</v>
      </c>
      <c r="S1275" s="1">
        <v>94</v>
      </c>
      <c r="V1275" s="1">
        <v>2.6723112840467</v>
      </c>
      <c r="W1275" s="1">
        <v>7.2</v>
      </c>
      <c r="X1275" s="1">
        <f t="shared" si="82"/>
        <v>0.33968196006417678</v>
      </c>
      <c r="Y1275" s="1">
        <v>3.9E-2</v>
      </c>
      <c r="Z1275" s="1">
        <v>19.079999999999998</v>
      </c>
      <c r="AB1275" s="1">
        <v>7.4681040000000003</v>
      </c>
      <c r="AD1275" s="1">
        <v>0.9</v>
      </c>
      <c r="AE1275" s="1">
        <v>8.11</v>
      </c>
      <c r="AK1275" s="1">
        <v>51.29</v>
      </c>
      <c r="AL1275" s="1">
        <v>721.74900000000002</v>
      </c>
    </row>
    <row r="1276" spans="4:51" x14ac:dyDescent="0.3">
      <c r="D1276" s="2">
        <f t="shared" si="79"/>
        <v>2012</v>
      </c>
      <c r="E1276" s="2">
        <f t="shared" si="80"/>
        <v>8</v>
      </c>
      <c r="F1276" s="3" t="s">
        <v>179</v>
      </c>
      <c r="G1276" s="4">
        <v>41136</v>
      </c>
      <c r="J1276" s="1" t="s">
        <v>186</v>
      </c>
      <c r="K1276" s="1">
        <v>2</v>
      </c>
      <c r="L1276" s="1" t="str">
        <f t="shared" si="81"/>
        <v>Norrviken 2</v>
      </c>
      <c r="M1276" s="1" t="s">
        <v>177</v>
      </c>
      <c r="P1276" s="1">
        <v>2.5</v>
      </c>
      <c r="Q1276" s="1">
        <v>19.399999999999999</v>
      </c>
      <c r="R1276" s="1">
        <v>7.8</v>
      </c>
      <c r="S1276" s="1">
        <v>85</v>
      </c>
      <c r="V1276" s="1">
        <v>2.5196077821011702</v>
      </c>
      <c r="W1276" s="1">
        <v>12.8</v>
      </c>
      <c r="X1276" s="1">
        <f t="shared" si="82"/>
        <v>0.46710884574675426</v>
      </c>
      <c r="Y1276" s="1">
        <v>4.2999999999999997E-2</v>
      </c>
      <c r="Z1276" s="1">
        <v>19.309999999999999</v>
      </c>
      <c r="AB1276" s="1">
        <v>7.844735</v>
      </c>
      <c r="AD1276" s="1">
        <v>1.8</v>
      </c>
      <c r="AE1276" s="1">
        <v>8</v>
      </c>
      <c r="AK1276" s="1">
        <v>51.62</v>
      </c>
      <c r="AL1276" s="1">
        <v>722.75599999999997</v>
      </c>
    </row>
    <row r="1277" spans="4:51" x14ac:dyDescent="0.3">
      <c r="D1277" s="2">
        <f t="shared" si="79"/>
        <v>2012</v>
      </c>
      <c r="E1277" s="2">
        <f t="shared" si="80"/>
        <v>8</v>
      </c>
      <c r="F1277" s="3" t="s">
        <v>179</v>
      </c>
      <c r="G1277" s="4">
        <v>41136</v>
      </c>
      <c r="J1277" s="1" t="s">
        <v>186</v>
      </c>
      <c r="K1277" s="1">
        <v>4</v>
      </c>
      <c r="L1277" s="1" t="str">
        <f t="shared" si="81"/>
        <v>Norrviken 4</v>
      </c>
      <c r="M1277" s="1" t="s">
        <v>177</v>
      </c>
      <c r="P1277" s="1">
        <v>2</v>
      </c>
      <c r="Q1277" s="1">
        <v>19.899999999999999</v>
      </c>
      <c r="R1277" s="1">
        <v>8.8000000000000007</v>
      </c>
      <c r="S1277" s="1">
        <v>95</v>
      </c>
      <c r="V1277" s="1">
        <v>2.4432560311284099</v>
      </c>
      <c r="W1277" s="1">
        <v>12.5</v>
      </c>
      <c r="X1277" s="1">
        <f t="shared" si="82"/>
        <v>0.64305382488342777</v>
      </c>
      <c r="Y1277" s="1">
        <v>4.8000000000000001E-2</v>
      </c>
      <c r="Z1277" s="1">
        <v>18.87</v>
      </c>
      <c r="AB1277" s="1">
        <v>4.4563800000000002</v>
      </c>
      <c r="AD1277" s="1">
        <v>2</v>
      </c>
      <c r="AE1277" s="1">
        <v>8.14</v>
      </c>
      <c r="AK1277" s="1">
        <v>45.46</v>
      </c>
      <c r="AL1277" s="1">
        <v>694.75800000000004</v>
      </c>
    </row>
    <row r="1278" spans="4:51" x14ac:dyDescent="0.3">
      <c r="D1278" s="2">
        <f t="shared" si="79"/>
        <v>2012</v>
      </c>
      <c r="E1278" s="2">
        <f t="shared" si="80"/>
        <v>8</v>
      </c>
      <c r="F1278" s="3" t="s">
        <v>179</v>
      </c>
      <c r="G1278" s="4">
        <v>41136</v>
      </c>
      <c r="J1278" s="1" t="s">
        <v>186</v>
      </c>
      <c r="K1278" s="1">
        <v>1</v>
      </c>
      <c r="L1278" s="1" t="str">
        <f t="shared" si="81"/>
        <v>Norrviken 1</v>
      </c>
      <c r="M1278" s="1" t="s">
        <v>177</v>
      </c>
      <c r="P1278" s="1">
        <v>1.4</v>
      </c>
      <c r="Q1278" s="1">
        <v>19</v>
      </c>
      <c r="R1278" s="1">
        <v>8.6</v>
      </c>
      <c r="S1278" s="1">
        <v>92</v>
      </c>
      <c r="V1278" s="1">
        <v>2.4814319066147901</v>
      </c>
      <c r="W1278" s="1">
        <v>5.3</v>
      </c>
      <c r="X1278" s="1">
        <f t="shared" si="82"/>
        <v>0.13449004254140753</v>
      </c>
      <c r="Y1278" s="1">
        <v>0.05</v>
      </c>
      <c r="Z1278" s="1">
        <v>19.29</v>
      </c>
      <c r="AB1278" s="1">
        <v>13.700445</v>
      </c>
      <c r="AD1278" s="1">
        <v>0.4</v>
      </c>
      <c r="AE1278" s="1">
        <v>7.85</v>
      </c>
      <c r="AK1278" s="1">
        <v>73.760000000000005</v>
      </c>
      <c r="AL1278" s="1">
        <v>917.80499999999995</v>
      </c>
    </row>
    <row r="1279" spans="4:51" x14ac:dyDescent="0.3">
      <c r="D1279" s="2">
        <f t="shared" si="79"/>
        <v>2012</v>
      </c>
      <c r="E1279" s="2">
        <f t="shared" si="80"/>
        <v>8</v>
      </c>
      <c r="F1279" s="3" t="s">
        <v>179</v>
      </c>
      <c r="G1279" s="4">
        <v>41136</v>
      </c>
      <c r="J1279" s="1" t="s">
        <v>186</v>
      </c>
      <c r="K1279" s="1">
        <v>3</v>
      </c>
      <c r="L1279" s="1" t="str">
        <f t="shared" si="81"/>
        <v>Norrviken 3</v>
      </c>
      <c r="M1279" s="1" t="s">
        <v>184</v>
      </c>
      <c r="Q1279" s="1">
        <v>11.9</v>
      </c>
      <c r="R1279" s="1">
        <v>0.1</v>
      </c>
      <c r="S1279" s="1">
        <v>1</v>
      </c>
      <c r="V1279" s="1">
        <v>3.2067735408560401</v>
      </c>
      <c r="W1279" s="1">
        <v>2183</v>
      </c>
      <c r="X1279" s="1">
        <f t="shared" si="82"/>
        <v>12.286661155577871</v>
      </c>
      <c r="Y1279" s="1">
        <v>7.3999999999999996E-2</v>
      </c>
      <c r="Z1279" s="1">
        <v>833.63</v>
      </c>
      <c r="AD1279" s="1">
        <v>0</v>
      </c>
      <c r="AE1279" s="1">
        <v>7.42</v>
      </c>
      <c r="AK1279" s="1">
        <v>832.34</v>
      </c>
      <c r="AL1279" s="1">
        <v>2804</v>
      </c>
    </row>
    <row r="1280" spans="4:51" x14ac:dyDescent="0.3">
      <c r="D1280" s="2">
        <f t="shared" si="79"/>
        <v>2012</v>
      </c>
      <c r="E1280" s="2">
        <f t="shared" si="80"/>
        <v>8</v>
      </c>
      <c r="F1280" s="3" t="s">
        <v>179</v>
      </c>
      <c r="G1280" s="4">
        <v>41136</v>
      </c>
      <c r="J1280" s="1" t="s">
        <v>186</v>
      </c>
      <c r="K1280" s="1">
        <v>2</v>
      </c>
      <c r="L1280" s="1" t="str">
        <f t="shared" si="81"/>
        <v>Norrviken 2</v>
      </c>
      <c r="M1280" s="1" t="s">
        <v>184</v>
      </c>
      <c r="Q1280" s="1">
        <v>15.4</v>
      </c>
      <c r="R1280" s="1">
        <v>0.1</v>
      </c>
      <c r="S1280" s="1">
        <v>1</v>
      </c>
      <c r="V1280" s="1">
        <v>2.8250147859922201</v>
      </c>
      <c r="W1280" s="1">
        <v>568</v>
      </c>
      <c r="X1280" s="1">
        <f t="shared" si="82"/>
        <v>4.8931369647188916</v>
      </c>
      <c r="Y1280" s="1">
        <v>4.8000000000000001E-2</v>
      </c>
      <c r="Z1280" s="1">
        <v>263.70999999999998</v>
      </c>
      <c r="AD1280" s="1">
        <v>0.19999999999999901</v>
      </c>
      <c r="AE1280" s="1">
        <v>7.49</v>
      </c>
      <c r="AK1280" s="1">
        <v>313.67</v>
      </c>
      <c r="AL1280" s="1">
        <v>1288.076</v>
      </c>
    </row>
    <row r="1281" spans="4:51" x14ac:dyDescent="0.3">
      <c r="D1281" s="2">
        <f t="shared" si="79"/>
        <v>2012</v>
      </c>
      <c r="E1281" s="2">
        <f t="shared" si="80"/>
        <v>8</v>
      </c>
      <c r="F1281" s="3" t="s">
        <v>179</v>
      </c>
      <c r="G1281" s="4">
        <v>41136</v>
      </c>
      <c r="J1281" s="1" t="s">
        <v>186</v>
      </c>
      <c r="K1281" s="1">
        <v>4</v>
      </c>
      <c r="L1281" s="1" t="str">
        <f t="shared" si="81"/>
        <v>Norrviken 4</v>
      </c>
      <c r="M1281" s="1" t="s">
        <v>184</v>
      </c>
      <c r="Q1281" s="1">
        <v>19.899999999999999</v>
      </c>
      <c r="R1281" s="1">
        <v>9</v>
      </c>
      <c r="S1281" s="1">
        <v>98</v>
      </c>
      <c r="V1281" s="1">
        <v>2.5577836575875499</v>
      </c>
      <c r="W1281" s="1">
        <v>6.8</v>
      </c>
      <c r="X1281" s="1">
        <f t="shared" si="82"/>
        <v>0.38167704680489689</v>
      </c>
      <c r="Y1281" s="1">
        <v>4.2000000000000003E-2</v>
      </c>
      <c r="Z1281" s="1">
        <v>19.239999999999998</v>
      </c>
      <c r="AD1281" s="1">
        <v>1.2</v>
      </c>
      <c r="AE1281" s="1">
        <v>8.18</v>
      </c>
      <c r="AK1281" s="1">
        <v>47.34</v>
      </c>
      <c r="AL1281" s="1">
        <v>713.12699999999995</v>
      </c>
    </row>
    <row r="1282" spans="4:51" x14ac:dyDescent="0.3">
      <c r="D1282" s="2">
        <f t="shared" ref="D1282:D1345" si="83">YEAR(G1282)</f>
        <v>2012</v>
      </c>
      <c r="E1282" s="2">
        <f t="shared" ref="E1282:E1345" si="84">MONTH(G1282)</f>
        <v>8</v>
      </c>
      <c r="F1282" s="3" t="s">
        <v>179</v>
      </c>
      <c r="G1282" s="4">
        <v>41136</v>
      </c>
      <c r="J1282" s="1" t="s">
        <v>186</v>
      </c>
      <c r="K1282" s="1">
        <v>1</v>
      </c>
      <c r="L1282" s="1" t="str">
        <f t="shared" ref="L1282:L1345" si="85">CONCATENATE(J1282," ",K1282)</f>
        <v>Norrviken 1</v>
      </c>
      <c r="M1282" s="1" t="s">
        <v>184</v>
      </c>
      <c r="Q1282" s="1">
        <v>19.3</v>
      </c>
      <c r="R1282" s="1">
        <v>6.2</v>
      </c>
      <c r="S1282" s="1">
        <v>67</v>
      </c>
      <c r="V1282" s="1">
        <v>2.5196077821011702</v>
      </c>
      <c r="W1282" s="1">
        <v>6.5</v>
      </c>
      <c r="X1282" s="1">
        <f t="shared" si="82"/>
        <v>0.17625314682785684</v>
      </c>
      <c r="Y1282" s="1">
        <v>5.0999999999999997E-2</v>
      </c>
      <c r="Z1282" s="1">
        <v>32.92</v>
      </c>
      <c r="AD1282" s="1">
        <v>0.3</v>
      </c>
      <c r="AE1282" s="1">
        <v>7.87</v>
      </c>
      <c r="AK1282" s="1">
        <v>84.17</v>
      </c>
      <c r="AL1282" s="1">
        <v>893.625</v>
      </c>
    </row>
    <row r="1283" spans="4:51" x14ac:dyDescent="0.3">
      <c r="D1283" s="2">
        <f t="shared" si="83"/>
        <v>2012</v>
      </c>
      <c r="E1283" s="2">
        <f t="shared" si="84"/>
        <v>8</v>
      </c>
      <c r="F1283" s="3" t="s">
        <v>179</v>
      </c>
      <c r="G1283" s="4">
        <v>41136</v>
      </c>
      <c r="H1283" s="1">
        <v>6606238</v>
      </c>
      <c r="I1283" s="1">
        <v>661152</v>
      </c>
      <c r="J1283" s="5" t="s">
        <v>176</v>
      </c>
      <c r="K1283" s="1"/>
      <c r="L1283" s="1" t="str">
        <f t="shared" si="85"/>
        <v xml:space="preserve">Oxundaån </v>
      </c>
      <c r="M1283" s="1" t="s">
        <v>177</v>
      </c>
      <c r="N1283" s="1">
        <v>0.5</v>
      </c>
      <c r="O1283" s="1">
        <v>0.5</v>
      </c>
      <c r="Q1283" s="1">
        <v>20</v>
      </c>
      <c r="T1283" s="1">
        <v>42</v>
      </c>
      <c r="V1283" s="1">
        <v>2.444</v>
      </c>
      <c r="W1283" s="1">
        <v>76</v>
      </c>
      <c r="X1283" s="1">
        <f t="shared" si="82"/>
        <v>1.1013521259782582</v>
      </c>
      <c r="Y1283" s="1">
        <v>4.4999999999999998E-2</v>
      </c>
      <c r="Z1283" s="1">
        <v>62</v>
      </c>
      <c r="AA1283" s="1">
        <v>1.7</v>
      </c>
      <c r="AB1283" s="1">
        <v>6.2</v>
      </c>
      <c r="AD1283" s="1">
        <v>27</v>
      </c>
      <c r="AE1283" s="1">
        <v>7.57</v>
      </c>
      <c r="AG1283" s="1">
        <v>2</v>
      </c>
      <c r="AI1283" s="1">
        <v>11.3</v>
      </c>
      <c r="AK1283" s="1">
        <v>85</v>
      </c>
      <c r="AL1283" s="1">
        <v>811</v>
      </c>
      <c r="AR1283" s="1">
        <v>51.120000000000005</v>
      </c>
      <c r="AS1283" s="1">
        <v>4.1000000000000002E-2</v>
      </c>
      <c r="AT1283" s="1">
        <v>4.9657</v>
      </c>
      <c r="AU1283" s="1">
        <v>8.7603999999999989</v>
      </c>
      <c r="AV1283" s="1">
        <v>37.789700000000003</v>
      </c>
      <c r="AW1283" s="1">
        <v>26.17454</v>
      </c>
      <c r="AX1283" s="1">
        <v>43.389150000000001</v>
      </c>
      <c r="AY1283" s="1">
        <v>0.62</v>
      </c>
    </row>
    <row r="1284" spans="4:51" x14ac:dyDescent="0.3">
      <c r="D1284" s="2">
        <f t="shared" si="83"/>
        <v>2012</v>
      </c>
      <c r="E1284" s="2">
        <f t="shared" si="84"/>
        <v>8</v>
      </c>
      <c r="F1284" s="3" t="s">
        <v>179</v>
      </c>
      <c r="G1284" s="4">
        <v>41137</v>
      </c>
      <c r="J1284" s="1" t="s">
        <v>185</v>
      </c>
      <c r="K1284" s="1"/>
      <c r="L1284" s="1" t="str">
        <f t="shared" si="85"/>
        <v xml:space="preserve">Gullsjön </v>
      </c>
      <c r="M1284" s="1" t="s">
        <v>177</v>
      </c>
      <c r="P1284" s="1">
        <v>2</v>
      </c>
      <c r="Q1284" s="1">
        <v>20.3</v>
      </c>
      <c r="R1284" s="1">
        <v>5.7</v>
      </c>
      <c r="S1284" s="1">
        <v>63</v>
      </c>
      <c r="V1284" s="1">
        <v>1.50363218390805</v>
      </c>
      <c r="W1284" s="1">
        <v>5.9779999999999998</v>
      </c>
      <c r="X1284" s="1">
        <f t="shared" si="82"/>
        <v>4.8972906045592277E-2</v>
      </c>
      <c r="Y1284" s="1">
        <v>0.159</v>
      </c>
      <c r="Z1284" s="1">
        <v>0.23</v>
      </c>
      <c r="AB1284" s="1">
        <v>4.9002499999999998</v>
      </c>
      <c r="AD1284" s="1">
        <v>0.46100000000000002</v>
      </c>
      <c r="AE1284" s="1">
        <v>7.31</v>
      </c>
      <c r="AK1284" s="1">
        <v>17.760000000000002</v>
      </c>
      <c r="AL1284" s="1">
        <v>664.03399999999999</v>
      </c>
      <c r="AV1284" s="1">
        <v>68.8</v>
      </c>
    </row>
    <row r="1285" spans="4:51" x14ac:dyDescent="0.3">
      <c r="D1285" s="2">
        <f t="shared" si="83"/>
        <v>2012</v>
      </c>
      <c r="E1285" s="2">
        <f t="shared" si="84"/>
        <v>8</v>
      </c>
      <c r="F1285" s="3" t="s">
        <v>179</v>
      </c>
      <c r="G1285" s="4">
        <v>41137</v>
      </c>
      <c r="J1285" s="1" t="s">
        <v>185</v>
      </c>
      <c r="K1285" s="1"/>
      <c r="L1285" s="1" t="str">
        <f t="shared" si="85"/>
        <v xml:space="preserve">Gullsjön </v>
      </c>
      <c r="M1285" s="1" t="s">
        <v>184</v>
      </c>
      <c r="Q1285" s="1">
        <v>16.7</v>
      </c>
      <c r="R1285" s="1">
        <v>0.1</v>
      </c>
      <c r="S1285" s="1">
        <v>1</v>
      </c>
      <c r="V1285" s="1">
        <v>1.6539954022988499</v>
      </c>
      <c r="W1285" s="1">
        <v>3.036</v>
      </c>
      <c r="X1285" s="1">
        <f t="shared" si="82"/>
        <v>1.0769302517900007E-2</v>
      </c>
      <c r="Y1285" s="1">
        <v>0.16700000000000001</v>
      </c>
      <c r="Z1285" s="1">
        <v>6.9999999999999798E-2</v>
      </c>
      <c r="AD1285" s="1">
        <v>0</v>
      </c>
      <c r="AE1285" s="1">
        <v>7.06</v>
      </c>
      <c r="AK1285" s="1">
        <v>18.190000000000001</v>
      </c>
      <c r="AL1285" s="1">
        <v>684.40099999999995</v>
      </c>
    </row>
    <row r="1286" spans="4:51" x14ac:dyDescent="0.3">
      <c r="D1286" s="2">
        <f t="shared" si="83"/>
        <v>2012</v>
      </c>
      <c r="E1286" s="2">
        <f t="shared" si="84"/>
        <v>8</v>
      </c>
      <c r="F1286" s="3" t="s">
        <v>179</v>
      </c>
      <c r="G1286" s="4">
        <v>41137</v>
      </c>
      <c r="J1286" s="1" t="s">
        <v>187</v>
      </c>
      <c r="K1286" s="1"/>
      <c r="L1286" s="1" t="str">
        <f t="shared" si="85"/>
        <v xml:space="preserve">Oxundasjön </v>
      </c>
      <c r="M1286" s="1" t="s">
        <v>177</v>
      </c>
      <c r="P1286" s="1">
        <v>2.4</v>
      </c>
      <c r="Q1286" s="1">
        <v>20.399999999999999</v>
      </c>
      <c r="R1286" s="1">
        <v>8.6</v>
      </c>
      <c r="S1286" s="1">
        <v>95</v>
      </c>
      <c r="V1286" s="1">
        <v>2.4809931034482799</v>
      </c>
      <c r="W1286" s="1">
        <v>4.7670000000000003</v>
      </c>
      <c r="X1286" s="1">
        <f t="shared" si="82"/>
        <v>0.25946604473022772</v>
      </c>
      <c r="Y1286" s="1">
        <v>4.9000000000000002E-2</v>
      </c>
      <c r="Z1286" s="1">
        <v>36.9</v>
      </c>
      <c r="AB1286" s="1">
        <v>12.83457875</v>
      </c>
      <c r="AD1286" s="1">
        <v>0.23899999999999999</v>
      </c>
      <c r="AE1286" s="1">
        <v>8.15</v>
      </c>
      <c r="AK1286" s="1">
        <v>81.180000000000007</v>
      </c>
      <c r="AL1286" s="1">
        <v>767.38400000000001</v>
      </c>
    </row>
    <row r="1287" spans="4:51" x14ac:dyDescent="0.3">
      <c r="D1287" s="2">
        <f t="shared" si="83"/>
        <v>2012</v>
      </c>
      <c r="E1287" s="2">
        <f t="shared" si="84"/>
        <v>8</v>
      </c>
      <c r="F1287" s="3" t="s">
        <v>179</v>
      </c>
      <c r="G1287" s="4">
        <v>41137</v>
      </c>
      <c r="J1287" s="1" t="s">
        <v>187</v>
      </c>
      <c r="K1287" s="1"/>
      <c r="L1287" s="1" t="str">
        <f t="shared" si="85"/>
        <v xml:space="preserve">Oxundasjön </v>
      </c>
      <c r="M1287" s="1" t="s">
        <v>184</v>
      </c>
      <c r="Q1287" s="1">
        <v>19.399999999999999</v>
      </c>
      <c r="R1287" s="1">
        <v>3.6</v>
      </c>
      <c r="S1287" s="1">
        <v>39</v>
      </c>
      <c r="V1287" s="1">
        <v>2.4809931034482799</v>
      </c>
      <c r="W1287" s="1">
        <v>24.88</v>
      </c>
      <c r="X1287" s="1">
        <f t="shared" si="82"/>
        <v>0.4634862424833664</v>
      </c>
      <c r="Y1287" s="1">
        <v>4.7E-2</v>
      </c>
      <c r="Z1287" s="1">
        <v>56.15</v>
      </c>
      <c r="AD1287" s="1">
        <v>6.0359999999999996</v>
      </c>
      <c r="AE1287" s="1">
        <v>7.7</v>
      </c>
      <c r="AK1287" s="1">
        <v>93.65</v>
      </c>
      <c r="AL1287" s="1">
        <v>763.24800000000005</v>
      </c>
    </row>
    <row r="1288" spans="4:51" x14ac:dyDescent="0.3">
      <c r="D1288" s="2">
        <f t="shared" si="83"/>
        <v>2012</v>
      </c>
      <c r="E1288" s="2">
        <f t="shared" si="84"/>
        <v>8</v>
      </c>
      <c r="F1288" s="3" t="s">
        <v>179</v>
      </c>
      <c r="G1288" s="4">
        <v>41137</v>
      </c>
      <c r="J1288" s="1" t="s">
        <v>188</v>
      </c>
      <c r="K1288" s="1"/>
      <c r="L1288" s="1" t="str">
        <f t="shared" si="85"/>
        <v xml:space="preserve">Ravalen </v>
      </c>
      <c r="M1288" s="1" t="s">
        <v>177</v>
      </c>
      <c r="P1288" s="1">
        <v>1.7</v>
      </c>
      <c r="Q1288" s="1">
        <v>21</v>
      </c>
      <c r="R1288" s="1">
        <v>12.2</v>
      </c>
      <c r="S1288" s="1">
        <v>135</v>
      </c>
      <c r="V1288" s="1">
        <v>1.6164045977011501</v>
      </c>
      <c r="W1288" s="1">
        <v>11.378</v>
      </c>
      <c r="X1288" s="1">
        <f t="shared" si="82"/>
        <v>3.1820662482744804</v>
      </c>
      <c r="Y1288" s="1">
        <v>6.9000000000000006E-2</v>
      </c>
      <c r="Z1288" s="6">
        <v>0</v>
      </c>
      <c r="AB1288" s="1">
        <v>2.5923937500000003</v>
      </c>
      <c r="AD1288" s="1">
        <v>0.17599999999999999</v>
      </c>
      <c r="AE1288" s="1">
        <v>8.9600000000000009</v>
      </c>
      <c r="AK1288" s="1">
        <v>21.47</v>
      </c>
      <c r="AL1288" s="1">
        <v>758.77200000000005</v>
      </c>
    </row>
    <row r="1289" spans="4:51" x14ac:dyDescent="0.3">
      <c r="D1289" s="2">
        <f t="shared" si="83"/>
        <v>2012</v>
      </c>
      <c r="E1289" s="2">
        <f t="shared" si="84"/>
        <v>8</v>
      </c>
      <c r="F1289" s="3" t="s">
        <v>179</v>
      </c>
      <c r="G1289" s="4">
        <v>41137</v>
      </c>
      <c r="J1289" s="1" t="s">
        <v>188</v>
      </c>
      <c r="K1289" s="1"/>
      <c r="L1289" s="1" t="str">
        <f t="shared" si="85"/>
        <v xml:space="preserve">Ravalen </v>
      </c>
      <c r="M1289" s="1" t="s">
        <v>184</v>
      </c>
      <c r="Q1289" s="1">
        <v>20.5</v>
      </c>
      <c r="R1289" s="1">
        <v>12.5</v>
      </c>
      <c r="S1289" s="1">
        <v>138</v>
      </c>
      <c r="V1289" s="1">
        <v>1.50363218390805</v>
      </c>
      <c r="W1289" s="1">
        <v>8.7240000000000002</v>
      </c>
      <c r="X1289" s="1">
        <f t="shared" si="82"/>
        <v>2.2205183603037022</v>
      </c>
      <c r="Y1289" s="1">
        <v>7.1999999999999995E-2</v>
      </c>
      <c r="Z1289" s="1">
        <v>0.38</v>
      </c>
      <c r="AD1289" s="1">
        <v>0.14599999999999999</v>
      </c>
      <c r="AE1289" s="1">
        <v>8.92</v>
      </c>
      <c r="AK1289" s="1">
        <v>21.25</v>
      </c>
      <c r="AL1289" s="1">
        <v>757.93399999999997</v>
      </c>
    </row>
    <row r="1290" spans="4:51" x14ac:dyDescent="0.3">
      <c r="D1290" s="2">
        <f t="shared" si="83"/>
        <v>2012</v>
      </c>
      <c r="E1290" s="2">
        <f t="shared" si="84"/>
        <v>8</v>
      </c>
      <c r="F1290" s="3" t="s">
        <v>179</v>
      </c>
      <c r="G1290" s="4">
        <v>41137</v>
      </c>
      <c r="J1290" s="1" t="s">
        <v>189</v>
      </c>
      <c r="K1290" s="1"/>
      <c r="L1290" s="1" t="str">
        <f t="shared" si="85"/>
        <v xml:space="preserve">Rösjön </v>
      </c>
      <c r="M1290" s="1" t="s">
        <v>177</v>
      </c>
      <c r="P1290" s="1">
        <v>2.4</v>
      </c>
      <c r="Q1290" s="1">
        <v>21.7</v>
      </c>
      <c r="R1290" s="1">
        <v>8.6999999999999993</v>
      </c>
      <c r="S1290" s="1">
        <v>99</v>
      </c>
      <c r="V1290" s="1">
        <v>1.80435862068966</v>
      </c>
      <c r="W1290" s="1">
        <v>4.8440000000000003</v>
      </c>
      <c r="X1290" s="1">
        <f t="shared" si="82"/>
        <v>0.24749786893474204</v>
      </c>
      <c r="Y1290" s="1">
        <v>0.03</v>
      </c>
      <c r="Z1290" s="1">
        <v>0.8</v>
      </c>
      <c r="AB1290" s="1">
        <v>6.6026400000000001</v>
      </c>
      <c r="AD1290" s="1">
        <v>0.17199999999999999</v>
      </c>
      <c r="AE1290" s="1">
        <v>8.08</v>
      </c>
      <c r="AK1290" s="1">
        <v>18.260000000000002</v>
      </c>
      <c r="AL1290" s="1">
        <v>546.54200000000003</v>
      </c>
    </row>
    <row r="1291" spans="4:51" x14ac:dyDescent="0.3">
      <c r="D1291" s="2">
        <f t="shared" si="83"/>
        <v>2012</v>
      </c>
      <c r="E1291" s="2">
        <f t="shared" si="84"/>
        <v>8</v>
      </c>
      <c r="F1291" s="3" t="s">
        <v>179</v>
      </c>
      <c r="G1291" s="4">
        <v>41137</v>
      </c>
      <c r="J1291" s="1" t="s">
        <v>189</v>
      </c>
      <c r="K1291" s="1"/>
      <c r="L1291" s="1" t="str">
        <f t="shared" si="85"/>
        <v xml:space="preserve">Rösjön </v>
      </c>
      <c r="M1291" s="1" t="s">
        <v>184</v>
      </c>
      <c r="Q1291" s="1">
        <v>17.899999999999999</v>
      </c>
      <c r="R1291" s="1">
        <v>0.1</v>
      </c>
      <c r="S1291" s="1">
        <v>1</v>
      </c>
      <c r="V1291" s="1">
        <v>1.80435862068966</v>
      </c>
      <c r="W1291" s="1">
        <v>50.204999999999998</v>
      </c>
      <c r="X1291" s="1">
        <f t="shared" si="82"/>
        <v>0.59678068844428067</v>
      </c>
      <c r="Y1291" s="1">
        <v>3.1E-2</v>
      </c>
      <c r="Z1291" s="1">
        <v>66.56</v>
      </c>
      <c r="AD1291" s="1">
        <v>0</v>
      </c>
      <c r="AE1291" s="1">
        <v>7.55</v>
      </c>
      <c r="AK1291" s="1">
        <v>122.41</v>
      </c>
      <c r="AL1291" s="1">
        <v>622.46100000000001</v>
      </c>
    </row>
    <row r="1292" spans="4:51" x14ac:dyDescent="0.3">
      <c r="D1292" s="2">
        <f t="shared" si="83"/>
        <v>2012</v>
      </c>
      <c r="E1292" s="2">
        <f t="shared" si="84"/>
        <v>8</v>
      </c>
      <c r="F1292" s="3" t="s">
        <v>179</v>
      </c>
      <c r="G1292" s="4">
        <v>41137</v>
      </c>
      <c r="J1292" s="1" t="s">
        <v>191</v>
      </c>
      <c r="K1292" s="1" t="s">
        <v>206</v>
      </c>
      <c r="L1292" s="1" t="str">
        <f t="shared" si="85"/>
        <v>Vallentunasjön Blandprov</v>
      </c>
      <c r="M1292" s="1" t="s">
        <v>177</v>
      </c>
      <c r="P1292" s="1">
        <v>0.9</v>
      </c>
      <c r="W1292" s="1">
        <v>2.14</v>
      </c>
      <c r="Z1292" s="1">
        <v>1.83</v>
      </c>
      <c r="AB1292" s="1">
        <v>43.752659999999999</v>
      </c>
      <c r="AD1292" s="1">
        <v>0</v>
      </c>
      <c r="AK1292" s="1">
        <v>80.97</v>
      </c>
      <c r="AL1292" s="1">
        <v>1429.472</v>
      </c>
    </row>
    <row r="1293" spans="4:51" x14ac:dyDescent="0.3">
      <c r="D1293" s="2">
        <f t="shared" si="83"/>
        <v>2012</v>
      </c>
      <c r="E1293" s="2">
        <f t="shared" si="84"/>
        <v>8</v>
      </c>
      <c r="F1293" s="3" t="s">
        <v>179</v>
      </c>
      <c r="G1293" s="4">
        <v>41137</v>
      </c>
      <c r="J1293" s="1" t="s">
        <v>191</v>
      </c>
      <c r="K1293" s="1">
        <v>2</v>
      </c>
      <c r="L1293" s="1" t="str">
        <f t="shared" si="85"/>
        <v>Vallentunasjön 2</v>
      </c>
      <c r="M1293" s="1" t="s">
        <v>177</v>
      </c>
      <c r="Q1293" s="1">
        <v>20.2</v>
      </c>
      <c r="R1293" s="1">
        <v>11</v>
      </c>
      <c r="S1293" s="1">
        <v>121</v>
      </c>
    </row>
    <row r="1294" spans="4:51" x14ac:dyDescent="0.3">
      <c r="D1294" s="2">
        <f t="shared" si="83"/>
        <v>2012</v>
      </c>
      <c r="E1294" s="2">
        <f t="shared" si="84"/>
        <v>8</v>
      </c>
      <c r="F1294" s="3" t="s">
        <v>179</v>
      </c>
      <c r="G1294" s="4">
        <v>41137</v>
      </c>
      <c r="J1294" s="1" t="s">
        <v>191</v>
      </c>
      <c r="K1294" s="1">
        <v>2</v>
      </c>
      <c r="L1294" s="1" t="str">
        <f t="shared" si="85"/>
        <v>Vallentunasjön 2</v>
      </c>
      <c r="M1294" s="1" t="s">
        <v>184</v>
      </c>
      <c r="Q1294" s="1">
        <v>19.3</v>
      </c>
      <c r="R1294" s="1">
        <v>7.5</v>
      </c>
      <c r="S1294" s="1">
        <v>81</v>
      </c>
    </row>
    <row r="1295" spans="4:51" x14ac:dyDescent="0.3">
      <c r="D1295" s="2">
        <f t="shared" si="83"/>
        <v>2012</v>
      </c>
      <c r="E1295" s="2">
        <f t="shared" si="84"/>
        <v>8</v>
      </c>
      <c r="F1295" s="3" t="s">
        <v>179</v>
      </c>
      <c r="G1295" s="4">
        <v>41137</v>
      </c>
      <c r="J1295" s="1" t="s">
        <v>193</v>
      </c>
      <c r="K1295" s="1"/>
      <c r="L1295" s="1" t="str">
        <f t="shared" si="85"/>
        <v xml:space="preserve">Översjön </v>
      </c>
      <c r="M1295" s="1" t="s">
        <v>177</v>
      </c>
      <c r="P1295" s="1">
        <v>2.2999999999999998</v>
      </c>
      <c r="Q1295" s="1">
        <v>21</v>
      </c>
      <c r="R1295" s="1">
        <v>9.9</v>
      </c>
      <c r="S1295" s="1">
        <v>111</v>
      </c>
      <c r="V1295" s="1">
        <v>1.8795402298850599</v>
      </c>
      <c r="W1295" s="1">
        <v>3.911</v>
      </c>
      <c r="X1295" s="1">
        <f t="shared" ref="X1295:X1300" si="86">W1295 * (1/((10^((0.0901821 + (2729.92 /(273.15 + Q1295)))-AE1295)+1)))</f>
        <v>0.2267070043005549</v>
      </c>
      <c r="Y1295" s="1">
        <v>4.3999999999999997E-2</v>
      </c>
      <c r="Z1295" s="1">
        <v>0.59</v>
      </c>
      <c r="AB1295" s="1">
        <v>13.6418575</v>
      </c>
      <c r="AD1295" s="1">
        <v>0</v>
      </c>
      <c r="AE1295" s="1">
        <v>8.16</v>
      </c>
      <c r="AK1295" s="1">
        <v>35.049999999999997</v>
      </c>
      <c r="AL1295" s="1">
        <v>861.68200000000002</v>
      </c>
    </row>
    <row r="1296" spans="4:51" x14ac:dyDescent="0.3">
      <c r="D1296" s="2">
        <f t="shared" si="83"/>
        <v>2012</v>
      </c>
      <c r="E1296" s="2">
        <f t="shared" si="84"/>
        <v>8</v>
      </c>
      <c r="F1296" s="3" t="s">
        <v>179</v>
      </c>
      <c r="G1296" s="4">
        <v>41137</v>
      </c>
      <c r="J1296" s="1" t="s">
        <v>193</v>
      </c>
      <c r="K1296" s="1"/>
      <c r="L1296" s="1" t="str">
        <f t="shared" si="85"/>
        <v xml:space="preserve">Översjön </v>
      </c>
      <c r="M1296" s="1" t="s">
        <v>184</v>
      </c>
      <c r="Q1296" s="1">
        <v>19.600000000000001</v>
      </c>
      <c r="R1296" s="1">
        <v>5.7</v>
      </c>
      <c r="S1296" s="1">
        <v>62</v>
      </c>
      <c r="V1296" s="1">
        <v>1.76676781609196</v>
      </c>
      <c r="W1296" s="1">
        <v>3.9079999999999999</v>
      </c>
      <c r="X1296" s="1">
        <f t="shared" si="86"/>
        <v>0.10586579786046796</v>
      </c>
      <c r="Y1296" s="1">
        <v>4.2999999999999997E-2</v>
      </c>
      <c r="Z1296" s="1">
        <v>0.77999999999999903</v>
      </c>
      <c r="AD1296" s="1">
        <v>0</v>
      </c>
      <c r="AE1296" s="1">
        <v>7.86</v>
      </c>
      <c r="AK1296" s="1">
        <v>27.44</v>
      </c>
      <c r="AL1296" s="1">
        <v>866.64200000000005</v>
      </c>
    </row>
    <row r="1297" spans="4:51" x14ac:dyDescent="0.3">
      <c r="D1297" s="2">
        <f t="shared" si="83"/>
        <v>2012</v>
      </c>
      <c r="E1297" s="2">
        <f t="shared" si="84"/>
        <v>8</v>
      </c>
      <c r="F1297" s="3" t="s">
        <v>179</v>
      </c>
      <c r="G1297" s="4">
        <v>41149</v>
      </c>
      <c r="J1297" s="1" t="s">
        <v>182</v>
      </c>
      <c r="K1297" s="1"/>
      <c r="L1297" s="1" t="str">
        <f t="shared" si="85"/>
        <v xml:space="preserve">Edssjön </v>
      </c>
      <c r="M1297" s="1" t="s">
        <v>177</v>
      </c>
      <c r="P1297" s="1">
        <v>2.4</v>
      </c>
      <c r="Q1297" s="1">
        <v>17.399999999999999</v>
      </c>
      <c r="R1297" s="1">
        <v>8.6999999999999993</v>
      </c>
      <c r="S1297" s="1">
        <v>91</v>
      </c>
      <c r="V1297" s="1">
        <v>2.7336549618320598</v>
      </c>
      <c r="W1297" s="1">
        <v>0</v>
      </c>
      <c r="X1297" s="1">
        <f t="shared" si="86"/>
        <v>0</v>
      </c>
      <c r="Y1297" s="1">
        <v>5.3999999999999999E-2</v>
      </c>
      <c r="Z1297" s="1">
        <v>69.83</v>
      </c>
      <c r="AB1297" s="1">
        <v>18.628678000000001</v>
      </c>
      <c r="AD1297" s="1">
        <v>0</v>
      </c>
      <c r="AE1297" s="1">
        <v>7.96</v>
      </c>
      <c r="AK1297" s="1">
        <v>117.79</v>
      </c>
      <c r="AL1297" s="1">
        <v>790</v>
      </c>
    </row>
    <row r="1298" spans="4:51" x14ac:dyDescent="0.3">
      <c r="D1298" s="2">
        <f t="shared" si="83"/>
        <v>2012</v>
      </c>
      <c r="E1298" s="2">
        <f t="shared" si="84"/>
        <v>8</v>
      </c>
      <c r="F1298" s="3" t="s">
        <v>179</v>
      </c>
      <c r="G1298" s="4">
        <v>41149</v>
      </c>
      <c r="J1298" s="1" t="s">
        <v>182</v>
      </c>
      <c r="K1298" s="1"/>
      <c r="L1298" s="1" t="str">
        <f t="shared" si="85"/>
        <v xml:space="preserve">Edssjön </v>
      </c>
      <c r="M1298" s="1" t="s">
        <v>184</v>
      </c>
      <c r="Q1298" s="1">
        <v>17</v>
      </c>
      <c r="R1298" s="1">
        <v>6</v>
      </c>
      <c r="S1298" s="1">
        <v>62</v>
      </c>
      <c r="V1298" s="1">
        <v>2.69620763358779</v>
      </c>
      <c r="W1298" s="1">
        <v>6.7469999999999999</v>
      </c>
      <c r="X1298" s="1">
        <f t="shared" si="86"/>
        <v>0.13844388694162227</v>
      </c>
      <c r="Y1298" s="1">
        <v>5.6000000000000001E-2</v>
      </c>
      <c r="Z1298" s="1">
        <v>72.72</v>
      </c>
      <c r="AD1298" s="1">
        <v>0</v>
      </c>
      <c r="AE1298" s="1">
        <v>7.82</v>
      </c>
      <c r="AK1298" s="1">
        <v>129.36000000000001</v>
      </c>
      <c r="AL1298" s="1">
        <v>856</v>
      </c>
    </row>
    <row r="1299" spans="4:51" x14ac:dyDescent="0.3">
      <c r="D1299" s="2">
        <f t="shared" si="83"/>
        <v>2012</v>
      </c>
      <c r="E1299" s="2">
        <f t="shared" si="84"/>
        <v>8</v>
      </c>
      <c r="F1299" s="3" t="s">
        <v>179</v>
      </c>
      <c r="G1299" s="4">
        <v>41149</v>
      </c>
      <c r="J1299" s="1" t="s">
        <v>183</v>
      </c>
      <c r="K1299" s="1"/>
      <c r="L1299" s="1" t="str">
        <f t="shared" si="85"/>
        <v xml:space="preserve">Fjäturen </v>
      </c>
      <c r="M1299" s="1" t="s">
        <v>177</v>
      </c>
      <c r="P1299" s="1">
        <v>3</v>
      </c>
      <c r="Q1299" s="1">
        <v>18.2</v>
      </c>
      <c r="R1299" s="1">
        <v>8.1999999999999993</v>
      </c>
      <c r="S1299" s="1">
        <v>87</v>
      </c>
      <c r="V1299" s="1">
        <v>1.98470839694656</v>
      </c>
      <c r="W1299" s="1">
        <v>0</v>
      </c>
      <c r="X1299" s="1">
        <f t="shared" si="86"/>
        <v>0</v>
      </c>
      <c r="Y1299" s="1">
        <v>6.0999999999999999E-2</v>
      </c>
      <c r="Z1299" s="1">
        <v>2.0299999999999998</v>
      </c>
      <c r="AB1299" s="1">
        <v>11.18093</v>
      </c>
      <c r="AD1299" s="1">
        <v>0</v>
      </c>
      <c r="AE1299" s="1">
        <v>7.71</v>
      </c>
      <c r="AK1299" s="1">
        <v>24.24</v>
      </c>
      <c r="AL1299" s="1">
        <v>602</v>
      </c>
    </row>
    <row r="1300" spans="4:51" x14ac:dyDescent="0.3">
      <c r="D1300" s="2">
        <f t="shared" si="83"/>
        <v>2012</v>
      </c>
      <c r="E1300" s="2">
        <f t="shared" si="84"/>
        <v>8</v>
      </c>
      <c r="F1300" s="3" t="s">
        <v>179</v>
      </c>
      <c r="G1300" s="4">
        <v>41149</v>
      </c>
      <c r="J1300" s="1" t="s">
        <v>183</v>
      </c>
      <c r="K1300" s="1"/>
      <c r="L1300" s="1" t="str">
        <f t="shared" si="85"/>
        <v xml:space="preserve">Fjäturen </v>
      </c>
      <c r="M1300" s="1" t="s">
        <v>184</v>
      </c>
      <c r="Q1300" s="1">
        <v>12.2</v>
      </c>
      <c r="R1300" s="1">
        <v>0.1</v>
      </c>
      <c r="S1300" s="1">
        <v>1</v>
      </c>
      <c r="V1300" s="1">
        <v>2.0596030534351102</v>
      </c>
      <c r="W1300" s="1">
        <v>54.984999999999999</v>
      </c>
      <c r="X1300" s="1">
        <f t="shared" si="86"/>
        <v>0.37170504799889514</v>
      </c>
      <c r="Y1300" s="1">
        <v>6.8000000000000005E-2</v>
      </c>
      <c r="Z1300" s="1">
        <v>21.04</v>
      </c>
      <c r="AD1300" s="1">
        <v>0.34</v>
      </c>
      <c r="AE1300" s="1">
        <v>7.49</v>
      </c>
      <c r="AK1300" s="1">
        <v>54.82</v>
      </c>
      <c r="AL1300" s="1">
        <v>917</v>
      </c>
    </row>
    <row r="1301" spans="4:51" x14ac:dyDescent="0.3">
      <c r="D1301" s="2">
        <f t="shared" si="83"/>
        <v>2012</v>
      </c>
      <c r="E1301" s="2">
        <f t="shared" si="84"/>
        <v>8</v>
      </c>
      <c r="F1301" s="3" t="s">
        <v>179</v>
      </c>
      <c r="G1301" s="4">
        <v>41149</v>
      </c>
      <c r="J1301" s="1" t="s">
        <v>207</v>
      </c>
      <c r="K1301" s="1"/>
      <c r="L1301" s="1" t="str">
        <f t="shared" si="85"/>
        <v xml:space="preserve">Käringsjön </v>
      </c>
      <c r="M1301" s="1" t="s">
        <v>177</v>
      </c>
      <c r="P1301" s="1">
        <v>1.4</v>
      </c>
      <c r="Q1301" s="1">
        <v>17.8</v>
      </c>
      <c r="R1301" s="1">
        <v>7</v>
      </c>
      <c r="S1301" s="1">
        <v>73</v>
      </c>
      <c r="W1301" s="1">
        <v>3.0209999999999999</v>
      </c>
      <c r="Y1301" s="1">
        <v>0.46899999999999997</v>
      </c>
      <c r="Z1301" s="1">
        <v>1.73</v>
      </c>
      <c r="AB1301" s="1">
        <v>27.376387999999999</v>
      </c>
      <c r="AD1301" s="1">
        <v>0</v>
      </c>
      <c r="AK1301" s="1">
        <v>25.37</v>
      </c>
      <c r="AL1301" s="1">
        <v>1040</v>
      </c>
    </row>
    <row r="1302" spans="4:51" x14ac:dyDescent="0.3">
      <c r="D1302" s="2">
        <f t="shared" si="83"/>
        <v>2012</v>
      </c>
      <c r="E1302" s="2">
        <f t="shared" si="84"/>
        <v>8</v>
      </c>
      <c r="F1302" s="3" t="s">
        <v>179</v>
      </c>
      <c r="G1302" s="4">
        <v>41149</v>
      </c>
      <c r="J1302" s="1" t="s">
        <v>207</v>
      </c>
      <c r="K1302" s="1"/>
      <c r="L1302" s="1" t="str">
        <f t="shared" si="85"/>
        <v xml:space="preserve">Käringsjön </v>
      </c>
      <c r="M1302" s="1" t="s">
        <v>184</v>
      </c>
      <c r="Q1302" s="1">
        <v>8.6</v>
      </c>
      <c r="R1302" s="1">
        <v>0.1</v>
      </c>
      <c r="S1302" s="1">
        <v>1</v>
      </c>
      <c r="W1302" s="1">
        <v>606</v>
      </c>
      <c r="Y1302" s="1">
        <v>0.83599999999999997</v>
      </c>
      <c r="Z1302" s="1">
        <v>289.07</v>
      </c>
      <c r="AD1302" s="1">
        <v>0</v>
      </c>
      <c r="AK1302" s="1">
        <v>330.97</v>
      </c>
      <c r="AL1302" s="1">
        <v>1795</v>
      </c>
    </row>
    <row r="1303" spans="4:51" x14ac:dyDescent="0.3">
      <c r="D1303" s="2">
        <f t="shared" si="83"/>
        <v>2012</v>
      </c>
      <c r="E1303" s="2">
        <f t="shared" si="84"/>
        <v>8</v>
      </c>
      <c r="F1303" s="3" t="s">
        <v>179</v>
      </c>
      <c r="G1303" s="4">
        <v>41149</v>
      </c>
      <c r="J1303" s="1" t="s">
        <v>201</v>
      </c>
      <c r="K1303" s="1"/>
      <c r="L1303" s="1" t="str">
        <f t="shared" si="85"/>
        <v xml:space="preserve">Mörtsjön </v>
      </c>
      <c r="M1303" s="1" t="s">
        <v>177</v>
      </c>
      <c r="P1303" s="1">
        <v>2.1</v>
      </c>
      <c r="Q1303" s="1">
        <v>18.100000000000001</v>
      </c>
      <c r="R1303" s="1">
        <v>7.2</v>
      </c>
      <c r="S1303" s="1">
        <v>76</v>
      </c>
      <c r="V1303" s="1">
        <v>1.79747175572519</v>
      </c>
      <c r="W1303" s="1">
        <v>15.06</v>
      </c>
      <c r="X1303" s="1">
        <f t="shared" ref="X1303:X1314" si="87">W1303 * (1/((10^((0.0901821 + (2729.92 /(273.15 + Q1303)))-AE1303)+1)))</f>
        <v>0.13508708365638686</v>
      </c>
      <c r="Y1303" s="1">
        <v>0.152</v>
      </c>
      <c r="Z1303" s="1">
        <v>2.71</v>
      </c>
      <c r="AB1303" s="1">
        <v>14.670223999999999</v>
      </c>
      <c r="AD1303" s="1">
        <v>11.432</v>
      </c>
      <c r="AE1303" s="1">
        <v>7.42</v>
      </c>
      <c r="AK1303" s="1">
        <v>28.42</v>
      </c>
      <c r="AL1303" s="1">
        <v>743</v>
      </c>
    </row>
    <row r="1304" spans="4:51" x14ac:dyDescent="0.3">
      <c r="D1304" s="2">
        <f t="shared" si="83"/>
        <v>2012</v>
      </c>
      <c r="E1304" s="2">
        <f t="shared" si="84"/>
        <v>8</v>
      </c>
      <c r="F1304" s="3" t="s">
        <v>179</v>
      </c>
      <c r="G1304" s="4">
        <v>41149</v>
      </c>
      <c r="J1304" s="1" t="s">
        <v>201</v>
      </c>
      <c r="K1304" s="1"/>
      <c r="L1304" s="1" t="str">
        <f t="shared" si="85"/>
        <v xml:space="preserve">Mörtsjön </v>
      </c>
      <c r="M1304" s="1" t="s">
        <v>184</v>
      </c>
      <c r="Q1304" s="1">
        <v>11.6</v>
      </c>
      <c r="R1304" s="1">
        <v>0.1</v>
      </c>
      <c r="S1304" s="1">
        <v>1</v>
      </c>
      <c r="V1304" s="1">
        <v>2.1719450381679399</v>
      </c>
      <c r="W1304" s="1">
        <v>536</v>
      </c>
      <c r="X1304" s="1">
        <f t="shared" si="87"/>
        <v>1.5511281583704584</v>
      </c>
      <c r="Y1304" s="1">
        <v>0.19900000000000001</v>
      </c>
      <c r="Z1304" s="1">
        <v>30.01</v>
      </c>
      <c r="AD1304" s="1">
        <v>12.994</v>
      </c>
      <c r="AE1304" s="1">
        <v>7.14</v>
      </c>
      <c r="AK1304" s="1">
        <v>84.6</v>
      </c>
      <c r="AL1304" s="1">
        <v>1407</v>
      </c>
    </row>
    <row r="1305" spans="4:51" x14ac:dyDescent="0.3">
      <c r="D1305" s="2">
        <f t="shared" si="83"/>
        <v>2012</v>
      </c>
      <c r="E1305" s="2">
        <f t="shared" si="84"/>
        <v>8</v>
      </c>
      <c r="F1305" s="3" t="s">
        <v>179</v>
      </c>
      <c r="G1305" s="4">
        <v>41149</v>
      </c>
      <c r="J1305" s="1" t="s">
        <v>190</v>
      </c>
      <c r="K1305" s="1"/>
      <c r="L1305" s="1" t="str">
        <f t="shared" si="85"/>
        <v xml:space="preserve">Snuggan </v>
      </c>
      <c r="M1305" s="1" t="s">
        <v>177</v>
      </c>
      <c r="P1305" s="1">
        <v>0.6</v>
      </c>
      <c r="Q1305" s="1">
        <v>16.2</v>
      </c>
      <c r="R1305" s="1">
        <v>6.1</v>
      </c>
      <c r="S1305" s="1">
        <v>62</v>
      </c>
      <c r="V1305" s="1">
        <v>5.2426259541984703E-2</v>
      </c>
      <c r="W1305" s="1">
        <v>55.56</v>
      </c>
      <c r="X1305" s="1">
        <f t="shared" si="87"/>
        <v>6.1640769259792925E-3</v>
      </c>
      <c r="Y1305" s="1">
        <v>0.64200000000000002</v>
      </c>
      <c r="Z1305" s="1">
        <v>2.14</v>
      </c>
      <c r="AB1305" s="1">
        <v>17.178865714285699</v>
      </c>
      <c r="AD1305" s="1">
        <v>0</v>
      </c>
      <c r="AE1305" s="1">
        <v>5.57</v>
      </c>
      <c r="AK1305" s="1">
        <v>25.49</v>
      </c>
      <c r="AL1305" s="1">
        <v>1003</v>
      </c>
      <c r="AR1305" s="1">
        <v>3.74</v>
      </c>
      <c r="AT1305" s="1">
        <v>0.50700000000000001</v>
      </c>
      <c r="AU1305" s="1">
        <v>0.84499999999999997</v>
      </c>
      <c r="AV1305" s="1">
        <v>6.49</v>
      </c>
      <c r="AW1305" s="1">
        <v>4.8099999999999996</v>
      </c>
      <c r="AX1305" s="1">
        <v>2.5</v>
      </c>
    </row>
    <row r="1306" spans="4:51" x14ac:dyDescent="0.3">
      <c r="D1306" s="2">
        <f t="shared" si="83"/>
        <v>2012</v>
      </c>
      <c r="E1306" s="2">
        <f t="shared" si="84"/>
        <v>8</v>
      </c>
      <c r="F1306" s="3" t="s">
        <v>179</v>
      </c>
      <c r="G1306" s="4">
        <v>41149</v>
      </c>
      <c r="J1306" s="1" t="s">
        <v>190</v>
      </c>
      <c r="K1306" s="1"/>
      <c r="L1306" s="1" t="str">
        <f t="shared" si="85"/>
        <v xml:space="preserve">Snuggan </v>
      </c>
      <c r="M1306" s="1" t="s">
        <v>184</v>
      </c>
      <c r="Q1306" s="1">
        <v>11.6</v>
      </c>
      <c r="R1306" s="1">
        <v>0.1</v>
      </c>
      <c r="S1306" s="1">
        <v>1</v>
      </c>
      <c r="V1306" s="1">
        <v>0.26213129770992399</v>
      </c>
      <c r="W1306" s="1">
        <v>730</v>
      </c>
      <c r="X1306" s="1">
        <f t="shared" si="87"/>
        <v>0.1844822601001018</v>
      </c>
      <c r="Y1306" s="1">
        <v>0.82499999999999996</v>
      </c>
      <c r="Z1306" s="1">
        <v>4.34</v>
      </c>
      <c r="AD1306" s="1">
        <v>0</v>
      </c>
      <c r="AE1306" s="1">
        <v>6.08</v>
      </c>
      <c r="AK1306" s="1">
        <v>50.63</v>
      </c>
      <c r="AL1306" s="1">
        <v>1921</v>
      </c>
    </row>
    <row r="1307" spans="4:51" x14ac:dyDescent="0.3">
      <c r="D1307" s="2">
        <f t="shared" si="83"/>
        <v>2012</v>
      </c>
      <c r="E1307" s="2">
        <f t="shared" si="84"/>
        <v>8</v>
      </c>
      <c r="F1307" s="3" t="s">
        <v>179</v>
      </c>
      <c r="G1307" s="4">
        <v>41149</v>
      </c>
      <c r="J1307" s="1" t="s">
        <v>192</v>
      </c>
      <c r="K1307" s="1"/>
      <c r="L1307" s="1" t="str">
        <f t="shared" si="85"/>
        <v xml:space="preserve">Väsjön </v>
      </c>
      <c r="M1307" s="1" t="s">
        <v>177</v>
      </c>
      <c r="P1307" s="1">
        <v>2.7</v>
      </c>
      <c r="Q1307" s="1">
        <v>16.899999999999999</v>
      </c>
      <c r="R1307" s="1">
        <v>5.9</v>
      </c>
      <c r="S1307" s="1">
        <v>61</v>
      </c>
      <c r="V1307" s="1">
        <v>2.6213129770992403</v>
      </c>
      <c r="W1307" s="1">
        <v>5.0739999999999998</v>
      </c>
      <c r="X1307" s="1">
        <f t="shared" si="87"/>
        <v>5.3538602550723367E-2</v>
      </c>
      <c r="Y1307" s="1">
        <v>0.06</v>
      </c>
      <c r="Z1307" s="1">
        <v>1.8</v>
      </c>
      <c r="AB1307" s="1">
        <v>6.3325319999999996</v>
      </c>
      <c r="AD1307" s="1">
        <v>0.154</v>
      </c>
      <c r="AE1307" s="1">
        <v>7.53</v>
      </c>
      <c r="AK1307" s="1">
        <v>19.13</v>
      </c>
      <c r="AL1307" s="1">
        <v>603</v>
      </c>
    </row>
    <row r="1308" spans="4:51" x14ac:dyDescent="0.3">
      <c r="D1308" s="2">
        <f t="shared" si="83"/>
        <v>2012</v>
      </c>
      <c r="E1308" s="2">
        <f t="shared" si="84"/>
        <v>8</v>
      </c>
      <c r="F1308" s="3" t="s">
        <v>179</v>
      </c>
      <c r="G1308" s="4">
        <v>41149</v>
      </c>
      <c r="J1308" s="1" t="s">
        <v>192</v>
      </c>
      <c r="K1308" s="1"/>
      <c r="L1308" s="1" t="str">
        <f t="shared" si="85"/>
        <v xml:space="preserve">Väsjön </v>
      </c>
      <c r="M1308" s="1" t="s">
        <v>184</v>
      </c>
      <c r="Q1308" s="1">
        <v>17.100000000000001</v>
      </c>
      <c r="R1308" s="1">
        <v>5</v>
      </c>
      <c r="S1308" s="1">
        <v>52</v>
      </c>
      <c r="V1308" s="1">
        <v>2.65876030534351</v>
      </c>
      <c r="W1308" s="1">
        <v>7.649</v>
      </c>
      <c r="X1308" s="1">
        <f t="shared" si="87"/>
        <v>8.9719987174584626E-2</v>
      </c>
      <c r="Y1308" s="1">
        <v>6.9000000000000006E-2</v>
      </c>
      <c r="Z1308" s="1">
        <v>2.09</v>
      </c>
      <c r="AD1308" s="1">
        <v>0.187</v>
      </c>
      <c r="AE1308" s="1">
        <v>7.57</v>
      </c>
      <c r="AK1308" s="1">
        <v>21.27</v>
      </c>
      <c r="AL1308" s="1">
        <v>642</v>
      </c>
    </row>
    <row r="1309" spans="4:51" x14ac:dyDescent="0.3">
      <c r="D1309" s="2">
        <f t="shared" si="83"/>
        <v>2012</v>
      </c>
      <c r="E1309" s="2">
        <f t="shared" si="84"/>
        <v>9</v>
      </c>
      <c r="F1309" s="3"/>
      <c r="G1309" s="4">
        <v>41163</v>
      </c>
      <c r="H1309" s="1">
        <v>6606238</v>
      </c>
      <c r="I1309" s="1">
        <v>661152</v>
      </c>
      <c r="J1309" s="5" t="s">
        <v>176</v>
      </c>
      <c r="K1309" s="1"/>
      <c r="L1309" s="1" t="str">
        <f t="shared" si="85"/>
        <v xml:space="preserve">Oxundaån </v>
      </c>
      <c r="M1309" s="1" t="s">
        <v>177</v>
      </c>
      <c r="N1309" s="1">
        <v>0.5</v>
      </c>
      <c r="O1309" s="1">
        <v>0.5</v>
      </c>
      <c r="Q1309" s="1">
        <v>16.2</v>
      </c>
      <c r="T1309" s="1">
        <v>43.1</v>
      </c>
      <c r="V1309" s="1">
        <v>2.3719999999999999</v>
      </c>
      <c r="W1309" s="1">
        <v>34</v>
      </c>
      <c r="X1309" s="1">
        <f t="shared" si="87"/>
        <v>0.73641570641303844</v>
      </c>
      <c r="Y1309" s="1">
        <v>4.1000000000000002E-2</v>
      </c>
      <c r="Z1309" s="1">
        <v>50</v>
      </c>
      <c r="AA1309" s="1">
        <v>2.4</v>
      </c>
      <c r="AD1309" s="1">
        <v>24</v>
      </c>
      <c r="AE1309" s="1">
        <v>7.87</v>
      </c>
      <c r="AG1309" s="1">
        <v>2.7</v>
      </c>
      <c r="AI1309" s="1">
        <v>10.7</v>
      </c>
      <c r="AK1309" s="1">
        <v>77</v>
      </c>
      <c r="AL1309" s="1">
        <v>734</v>
      </c>
      <c r="AR1309" s="1">
        <v>47.839999999999996</v>
      </c>
      <c r="AS1309" s="1">
        <v>5.8999999999999997E-2</v>
      </c>
      <c r="AT1309" s="1">
        <v>4.8875000000000002</v>
      </c>
      <c r="AU1309" s="1">
        <v>8.4337</v>
      </c>
      <c r="AV1309" s="1">
        <v>35.910849999999996</v>
      </c>
      <c r="AW1309" s="1">
        <v>24.476980000000001</v>
      </c>
      <c r="AX1309" s="1">
        <v>41.851549999999996</v>
      </c>
      <c r="AY1309" s="1">
        <v>0.85</v>
      </c>
    </row>
    <row r="1310" spans="4:51" x14ac:dyDescent="0.3">
      <c r="D1310" s="2">
        <f t="shared" si="83"/>
        <v>2012</v>
      </c>
      <c r="E1310" s="2">
        <f t="shared" si="84"/>
        <v>10</v>
      </c>
      <c r="F1310" s="3" t="s">
        <v>180</v>
      </c>
      <c r="G1310" s="4">
        <v>41197</v>
      </c>
      <c r="J1310" s="1" t="s">
        <v>181</v>
      </c>
      <c r="K1310" s="1"/>
      <c r="L1310" s="1" t="str">
        <f t="shared" si="85"/>
        <v xml:space="preserve">Fysingen </v>
      </c>
      <c r="M1310" s="1" t="s">
        <v>177</v>
      </c>
      <c r="P1310" s="1">
        <v>2.1</v>
      </c>
      <c r="Q1310" s="1">
        <v>7.9</v>
      </c>
      <c r="V1310" s="1">
        <v>1.9650000000000001</v>
      </c>
      <c r="W1310" s="1">
        <v>39</v>
      </c>
      <c r="X1310" s="1">
        <f t="shared" si="87"/>
        <v>0.36601422573906539</v>
      </c>
      <c r="Y1310" s="1">
        <v>9.4E-2</v>
      </c>
      <c r="Z1310" s="1">
        <v>6</v>
      </c>
      <c r="AB1310" s="1">
        <v>8</v>
      </c>
      <c r="AC1310" s="1">
        <v>42.6</v>
      </c>
      <c r="AD1310" s="1">
        <v>402</v>
      </c>
      <c r="AE1310" s="1">
        <v>7.78</v>
      </c>
      <c r="AI1310" s="1">
        <v>12.7</v>
      </c>
      <c r="AK1310" s="1">
        <v>26</v>
      </c>
      <c r="AL1310" s="1">
        <v>1161</v>
      </c>
      <c r="AV1310" s="1">
        <v>28.430900000000005</v>
      </c>
      <c r="AX1310" s="1">
        <v>68.471249999999998</v>
      </c>
      <c r="AY1310" s="1">
        <v>2.71</v>
      </c>
    </row>
    <row r="1311" spans="4:51" x14ac:dyDescent="0.3">
      <c r="D1311" s="2">
        <f t="shared" si="83"/>
        <v>2012</v>
      </c>
      <c r="E1311" s="2">
        <f t="shared" si="84"/>
        <v>10</v>
      </c>
      <c r="F1311" s="3" t="s">
        <v>180</v>
      </c>
      <c r="G1311" s="4">
        <v>41199</v>
      </c>
      <c r="H1311" s="1">
        <v>6606238</v>
      </c>
      <c r="I1311" s="1">
        <v>661152</v>
      </c>
      <c r="J1311" s="5" t="s">
        <v>176</v>
      </c>
      <c r="K1311" s="1"/>
      <c r="L1311" s="1" t="str">
        <f t="shared" si="85"/>
        <v xml:space="preserve">Oxundaån </v>
      </c>
      <c r="M1311" s="1" t="s">
        <v>177</v>
      </c>
      <c r="N1311" s="1">
        <v>0.5</v>
      </c>
      <c r="O1311" s="1">
        <v>0.5</v>
      </c>
      <c r="Q1311" s="1">
        <v>8</v>
      </c>
      <c r="T1311" s="1">
        <v>43.1</v>
      </c>
      <c r="V1311" s="1">
        <v>2.3340000000000001</v>
      </c>
      <c r="W1311" s="1">
        <v>65</v>
      </c>
      <c r="X1311" s="1">
        <f t="shared" si="87"/>
        <v>0.53616618772303126</v>
      </c>
      <c r="Y1311" s="1">
        <v>6.4000000000000001E-2</v>
      </c>
      <c r="Z1311" s="1">
        <v>51</v>
      </c>
      <c r="AA1311" s="1">
        <v>2.2999999999999998</v>
      </c>
      <c r="AD1311" s="1">
        <v>196</v>
      </c>
      <c r="AE1311" s="1">
        <v>7.72</v>
      </c>
      <c r="AG1311" s="1">
        <v>2</v>
      </c>
      <c r="AI1311" s="1">
        <v>11.3</v>
      </c>
      <c r="AK1311" s="1">
        <v>70</v>
      </c>
      <c r="AL1311" s="1">
        <v>971</v>
      </c>
      <c r="AR1311" s="1">
        <v>47.699999999999996</v>
      </c>
      <c r="AS1311" s="1">
        <v>0.11</v>
      </c>
      <c r="AT1311" s="1">
        <v>4.9657</v>
      </c>
      <c r="AU1311" s="1">
        <v>8.4457999999999984</v>
      </c>
      <c r="AV1311" s="1">
        <v>34.528300000000002</v>
      </c>
      <c r="AW1311" s="1">
        <v>23.536440000000002</v>
      </c>
      <c r="AX1311" s="1">
        <v>45.503349999999998</v>
      </c>
      <c r="AY1311" s="1">
        <v>1.79</v>
      </c>
    </row>
    <row r="1312" spans="4:51" x14ac:dyDescent="0.3">
      <c r="D1312" s="2">
        <f t="shared" si="83"/>
        <v>2012</v>
      </c>
      <c r="E1312" s="2">
        <f t="shared" si="84"/>
        <v>11</v>
      </c>
      <c r="F1312" s="3" t="s">
        <v>180</v>
      </c>
      <c r="G1312" s="4">
        <v>41227</v>
      </c>
      <c r="H1312" s="1">
        <v>6606238</v>
      </c>
      <c r="I1312" s="1">
        <v>661152</v>
      </c>
      <c r="J1312" s="5" t="s">
        <v>176</v>
      </c>
      <c r="K1312" s="1"/>
      <c r="L1312" s="1" t="str">
        <f t="shared" si="85"/>
        <v xml:space="preserve">Oxundaån </v>
      </c>
      <c r="M1312" s="1" t="s">
        <v>177</v>
      </c>
      <c r="N1312" s="1">
        <v>0.5</v>
      </c>
      <c r="O1312" s="1">
        <v>0.5</v>
      </c>
      <c r="Q1312" s="1">
        <v>3.9</v>
      </c>
      <c r="T1312" s="1">
        <v>44</v>
      </c>
      <c r="V1312" s="1">
        <v>2.4020000000000001</v>
      </c>
      <c r="W1312" s="1">
        <v>105</v>
      </c>
      <c r="X1312" s="1">
        <f t="shared" si="87"/>
        <v>0.53122214371854226</v>
      </c>
      <c r="Y1312" s="1">
        <v>9.1300000000000006E-2</v>
      </c>
      <c r="Z1312" s="1">
        <v>49</v>
      </c>
      <c r="AA1312" s="1">
        <v>5.5</v>
      </c>
      <c r="AD1312" s="1">
        <v>424</v>
      </c>
      <c r="AE1312" s="1">
        <v>7.65</v>
      </c>
      <c r="AG1312" s="1">
        <v>3.7</v>
      </c>
      <c r="AI1312" s="1">
        <v>12.7</v>
      </c>
      <c r="AK1312" s="1">
        <v>68</v>
      </c>
      <c r="AL1312" s="1">
        <v>1173</v>
      </c>
      <c r="AR1312" s="1">
        <v>49.459999999999994</v>
      </c>
      <c r="AS1312" s="1">
        <v>0.33</v>
      </c>
      <c r="AT1312" s="1">
        <v>5.3136900000000002</v>
      </c>
      <c r="AU1312" s="1">
        <v>8.6514999999999986</v>
      </c>
      <c r="AV1312" s="1">
        <v>32.791250000000005</v>
      </c>
      <c r="AW1312" s="1">
        <v>23.169400000000003</v>
      </c>
      <c r="AX1312" s="1">
        <v>44.878700000000002</v>
      </c>
      <c r="AY1312" s="1">
        <v>3.57</v>
      </c>
    </row>
    <row r="1313" spans="1:81" x14ac:dyDescent="0.3">
      <c r="D1313" s="2">
        <f t="shared" si="83"/>
        <v>2012</v>
      </c>
      <c r="E1313" s="2">
        <f t="shared" si="84"/>
        <v>12</v>
      </c>
      <c r="F1313" s="3" t="s">
        <v>175</v>
      </c>
      <c r="G1313" s="4">
        <v>41255</v>
      </c>
      <c r="H1313" s="1">
        <v>6606238</v>
      </c>
      <c r="I1313" s="1">
        <v>661152</v>
      </c>
      <c r="J1313" s="5" t="s">
        <v>176</v>
      </c>
      <c r="K1313" s="1"/>
      <c r="L1313" s="1" t="str">
        <f t="shared" si="85"/>
        <v xml:space="preserve">Oxundaån </v>
      </c>
      <c r="M1313" s="1" t="s">
        <v>177</v>
      </c>
      <c r="N1313" s="1">
        <v>0.5</v>
      </c>
      <c r="O1313" s="1">
        <v>0.5</v>
      </c>
      <c r="Q1313" s="1">
        <v>0.3</v>
      </c>
      <c r="T1313" s="1">
        <v>44.09</v>
      </c>
      <c r="V1313" s="1">
        <v>2.3180000000000001</v>
      </c>
      <c r="W1313" s="1">
        <v>88</v>
      </c>
      <c r="X1313" s="1">
        <f t="shared" si="87"/>
        <v>0.29484378318447396</v>
      </c>
      <c r="Y1313" s="1">
        <v>0.105</v>
      </c>
      <c r="Z1313" s="1">
        <v>46</v>
      </c>
      <c r="AA1313" s="1">
        <v>13</v>
      </c>
      <c r="AD1313" s="1">
        <v>731</v>
      </c>
      <c r="AE1313" s="1">
        <v>7.6</v>
      </c>
      <c r="AG1313" s="1">
        <v>5.2</v>
      </c>
      <c r="AI1313" s="1">
        <v>13.2</v>
      </c>
      <c r="AK1313" s="1">
        <v>63</v>
      </c>
      <c r="AL1313" s="1">
        <v>1451</v>
      </c>
      <c r="AR1313" s="1">
        <v>50.72</v>
      </c>
      <c r="AS1313" s="1">
        <v>0.74</v>
      </c>
      <c r="AT1313" s="1">
        <v>5.33324</v>
      </c>
      <c r="AU1313" s="1">
        <v>9.0145</v>
      </c>
      <c r="AV1313" s="1">
        <v>31.018750000000004</v>
      </c>
      <c r="AW1313" s="1">
        <v>21.63242</v>
      </c>
      <c r="AX1313" s="1">
        <v>53.719900000000003</v>
      </c>
      <c r="AY1313" s="1">
        <v>6.14</v>
      </c>
    </row>
    <row r="1314" spans="1:81" x14ac:dyDescent="0.3">
      <c r="D1314" s="2">
        <f t="shared" si="83"/>
        <v>2013</v>
      </c>
      <c r="E1314" s="2">
        <f t="shared" si="84"/>
        <v>1</v>
      </c>
      <c r="F1314" s="3" t="s">
        <v>175</v>
      </c>
      <c r="G1314" s="4">
        <v>41290</v>
      </c>
      <c r="H1314" s="1">
        <v>6606238</v>
      </c>
      <c r="I1314" s="1">
        <v>661152</v>
      </c>
      <c r="J1314" s="5" t="s">
        <v>176</v>
      </c>
      <c r="K1314" s="1"/>
      <c r="L1314" s="1" t="str">
        <f t="shared" si="85"/>
        <v xml:space="preserve">Oxundaån </v>
      </c>
      <c r="M1314" s="1" t="s">
        <v>177</v>
      </c>
      <c r="N1314" s="1">
        <v>0.5</v>
      </c>
      <c r="O1314" s="1">
        <v>0.5</v>
      </c>
      <c r="Q1314" s="1">
        <v>0.4</v>
      </c>
      <c r="T1314" s="1">
        <v>42.42</v>
      </c>
      <c r="V1314" s="1">
        <v>2.4159999999999999</v>
      </c>
      <c r="W1314" s="1">
        <v>90</v>
      </c>
      <c r="X1314" s="1">
        <f t="shared" si="87"/>
        <v>0.15265871235186809</v>
      </c>
      <c r="Y1314" s="1">
        <v>0.129</v>
      </c>
      <c r="Z1314" s="1">
        <v>60</v>
      </c>
      <c r="AA1314" s="1">
        <v>19</v>
      </c>
      <c r="AD1314" s="1">
        <v>1387</v>
      </c>
      <c r="AE1314" s="1">
        <v>7.3</v>
      </c>
      <c r="AG1314" s="1">
        <v>9.3000000000000007</v>
      </c>
      <c r="AI1314" s="1">
        <v>13.9</v>
      </c>
      <c r="AK1314" s="1">
        <v>77</v>
      </c>
      <c r="AL1314" s="1">
        <v>1878</v>
      </c>
      <c r="AR1314" s="1">
        <v>47.9</v>
      </c>
      <c r="AT1314" s="1">
        <v>5.0790899999999999</v>
      </c>
      <c r="AU1314" s="1">
        <v>7.8287000000000004</v>
      </c>
      <c r="AV1314" s="1">
        <v>32.543100000000003</v>
      </c>
      <c r="AW1314" s="1">
        <v>22.481200000000001</v>
      </c>
      <c r="AX1314" s="1">
        <v>43.389150000000001</v>
      </c>
      <c r="AY1314" s="1">
        <v>6.45</v>
      </c>
      <c r="CC1314" s="1">
        <v>0.27</v>
      </c>
    </row>
    <row r="1315" spans="1:81" x14ac:dyDescent="0.3">
      <c r="A1315" s="1">
        <v>20661</v>
      </c>
      <c r="B1315" s="1" t="s">
        <v>208</v>
      </c>
      <c r="C1315" s="1" t="s">
        <v>209</v>
      </c>
      <c r="D1315" s="2">
        <f t="shared" si="83"/>
        <v>2013</v>
      </c>
      <c r="E1315" s="2">
        <f t="shared" si="84"/>
        <v>1</v>
      </c>
      <c r="F1315" s="3" t="s">
        <v>175</v>
      </c>
      <c r="G1315" s="4">
        <v>41296</v>
      </c>
      <c r="H1315" s="1">
        <v>6600935</v>
      </c>
      <c r="I1315" s="1">
        <v>1626764</v>
      </c>
      <c r="J1315" s="1" t="s">
        <v>191</v>
      </c>
      <c r="K1315" s="1" t="s">
        <v>210</v>
      </c>
      <c r="L1315" s="1" t="str">
        <f t="shared" si="85"/>
        <v>Vallentunasjön Va2</v>
      </c>
      <c r="M1315" s="1" t="s">
        <v>177</v>
      </c>
      <c r="N1315" s="1">
        <v>0.5</v>
      </c>
      <c r="O1315" s="1">
        <v>0.5</v>
      </c>
      <c r="P1315" s="1">
        <v>2.6</v>
      </c>
      <c r="Q1315" s="1">
        <v>0.7</v>
      </c>
      <c r="R1315" s="1">
        <v>11.1</v>
      </c>
      <c r="S1315" s="1">
        <v>78</v>
      </c>
    </row>
    <row r="1316" spans="1:81" x14ac:dyDescent="0.3">
      <c r="A1316" s="1">
        <v>20662</v>
      </c>
      <c r="B1316" s="1" t="s">
        <v>208</v>
      </c>
      <c r="C1316" s="1" t="s">
        <v>209</v>
      </c>
      <c r="D1316" s="2">
        <f t="shared" si="83"/>
        <v>2013</v>
      </c>
      <c r="E1316" s="2">
        <f t="shared" si="84"/>
        <v>1</v>
      </c>
      <c r="F1316" s="3" t="s">
        <v>175</v>
      </c>
      <c r="G1316" s="4">
        <v>41296</v>
      </c>
      <c r="H1316" s="1">
        <v>6600935</v>
      </c>
      <c r="I1316" s="1">
        <v>1626764</v>
      </c>
      <c r="J1316" s="1" t="s">
        <v>191</v>
      </c>
      <c r="K1316" s="1" t="s">
        <v>210</v>
      </c>
      <c r="L1316" s="1" t="str">
        <f t="shared" si="85"/>
        <v>Vallentunasjön Va2</v>
      </c>
      <c r="M1316" s="1" t="s">
        <v>211</v>
      </c>
      <c r="N1316" s="1">
        <v>1</v>
      </c>
      <c r="O1316" s="1">
        <v>1</v>
      </c>
      <c r="Q1316" s="1">
        <v>1.2</v>
      </c>
      <c r="R1316" s="1">
        <v>10</v>
      </c>
      <c r="S1316" s="1">
        <v>71</v>
      </c>
    </row>
    <row r="1317" spans="1:81" x14ac:dyDescent="0.3">
      <c r="A1317" s="1">
        <v>20663</v>
      </c>
      <c r="B1317" s="1" t="s">
        <v>208</v>
      </c>
      <c r="C1317" s="1" t="s">
        <v>209</v>
      </c>
      <c r="D1317" s="2">
        <f t="shared" si="83"/>
        <v>2013</v>
      </c>
      <c r="E1317" s="2">
        <f t="shared" si="84"/>
        <v>1</v>
      </c>
      <c r="F1317" s="3" t="s">
        <v>175</v>
      </c>
      <c r="G1317" s="4">
        <v>41296</v>
      </c>
      <c r="H1317" s="1">
        <v>6600935</v>
      </c>
      <c r="I1317" s="1">
        <v>1626764</v>
      </c>
      <c r="J1317" s="1" t="s">
        <v>191</v>
      </c>
      <c r="K1317" s="1" t="s">
        <v>210</v>
      </c>
      <c r="L1317" s="1" t="str">
        <f t="shared" si="85"/>
        <v>Vallentunasjön Va2</v>
      </c>
      <c r="M1317" s="1" t="s">
        <v>212</v>
      </c>
      <c r="N1317" s="1">
        <v>2</v>
      </c>
      <c r="O1317" s="1">
        <v>2</v>
      </c>
      <c r="Q1317" s="1">
        <v>2.2999999999999998</v>
      </c>
      <c r="R1317" s="1">
        <v>4.8</v>
      </c>
      <c r="S1317" s="1">
        <v>35</v>
      </c>
    </row>
    <row r="1318" spans="1:81" x14ac:dyDescent="0.3">
      <c r="A1318" s="1">
        <v>20664</v>
      </c>
      <c r="B1318" s="1" t="s">
        <v>208</v>
      </c>
      <c r="C1318" s="1" t="s">
        <v>209</v>
      </c>
      <c r="D1318" s="2">
        <f t="shared" si="83"/>
        <v>2013</v>
      </c>
      <c r="E1318" s="2">
        <f t="shared" si="84"/>
        <v>1</v>
      </c>
      <c r="F1318" s="3" t="s">
        <v>175</v>
      </c>
      <c r="G1318" s="4">
        <v>41296</v>
      </c>
      <c r="H1318" s="1">
        <v>6600935</v>
      </c>
      <c r="I1318" s="1">
        <v>1626764</v>
      </c>
      <c r="J1318" s="1" t="s">
        <v>191</v>
      </c>
      <c r="K1318" s="1" t="s">
        <v>210</v>
      </c>
      <c r="L1318" s="1" t="str">
        <f t="shared" si="85"/>
        <v>Vallentunasjön Va2</v>
      </c>
      <c r="M1318" s="1" t="s">
        <v>213</v>
      </c>
      <c r="N1318" s="1">
        <v>3</v>
      </c>
      <c r="O1318" s="1">
        <v>3</v>
      </c>
      <c r="Q1318" s="1">
        <v>3.4</v>
      </c>
      <c r="R1318" s="1">
        <v>0.5</v>
      </c>
      <c r="S1318" s="1">
        <v>3</v>
      </c>
    </row>
    <row r="1319" spans="1:81" x14ac:dyDescent="0.3">
      <c r="A1319" s="1">
        <v>20665</v>
      </c>
      <c r="B1319" s="1" t="s">
        <v>208</v>
      </c>
      <c r="C1319" s="1" t="s">
        <v>209</v>
      </c>
      <c r="D1319" s="2">
        <f t="shared" si="83"/>
        <v>2013</v>
      </c>
      <c r="E1319" s="2">
        <f t="shared" si="84"/>
        <v>1</v>
      </c>
      <c r="F1319" s="3" t="s">
        <v>175</v>
      </c>
      <c r="G1319" s="4">
        <v>41296</v>
      </c>
      <c r="H1319" s="1">
        <v>6600935</v>
      </c>
      <c r="I1319" s="1">
        <v>1626764</v>
      </c>
      <c r="J1319" s="1" t="s">
        <v>191</v>
      </c>
      <c r="K1319" s="1" t="s">
        <v>210</v>
      </c>
      <c r="L1319" s="1" t="str">
        <f t="shared" si="85"/>
        <v>Vallentunasjön Va2</v>
      </c>
      <c r="M1319" s="1" t="s">
        <v>214</v>
      </c>
      <c r="N1319" s="1">
        <v>4</v>
      </c>
      <c r="O1319" s="1">
        <v>4</v>
      </c>
      <c r="Q1319" s="1">
        <v>3.8</v>
      </c>
      <c r="R1319" s="1">
        <v>0.9</v>
      </c>
      <c r="S1319" s="1">
        <v>7</v>
      </c>
    </row>
    <row r="1320" spans="1:81" x14ac:dyDescent="0.3">
      <c r="A1320" s="1">
        <v>20666</v>
      </c>
      <c r="B1320" s="1" t="s">
        <v>208</v>
      </c>
      <c r="C1320" s="1" t="s">
        <v>209</v>
      </c>
      <c r="D1320" s="2">
        <f t="shared" si="83"/>
        <v>2013</v>
      </c>
      <c r="E1320" s="2">
        <f t="shared" si="84"/>
        <v>1</v>
      </c>
      <c r="F1320" s="3" t="s">
        <v>175</v>
      </c>
      <c r="G1320" s="4">
        <v>41296</v>
      </c>
      <c r="H1320" s="1">
        <v>6600935</v>
      </c>
      <c r="I1320" s="1">
        <v>1626764</v>
      </c>
      <c r="J1320" s="1" t="s">
        <v>191</v>
      </c>
      <c r="K1320" s="1" t="s">
        <v>210</v>
      </c>
      <c r="L1320" s="1" t="str">
        <f t="shared" si="85"/>
        <v>Vallentunasjön Va2</v>
      </c>
      <c r="M1320" s="1" t="s">
        <v>184</v>
      </c>
      <c r="N1320" s="1">
        <v>4</v>
      </c>
      <c r="O1320" s="1">
        <v>4</v>
      </c>
      <c r="Q1320" s="1">
        <v>4.0999999999999996</v>
      </c>
      <c r="R1320" s="1">
        <v>0.5</v>
      </c>
      <c r="S1320" s="1">
        <v>4</v>
      </c>
    </row>
    <row r="1321" spans="1:81" x14ac:dyDescent="0.3">
      <c r="A1321" s="1">
        <v>20667</v>
      </c>
      <c r="B1321" s="1" t="s">
        <v>208</v>
      </c>
      <c r="C1321" s="1" t="s">
        <v>209</v>
      </c>
      <c r="D1321" s="2">
        <f t="shared" si="83"/>
        <v>2013</v>
      </c>
      <c r="E1321" s="2">
        <f t="shared" si="84"/>
        <v>1</v>
      </c>
      <c r="F1321" s="3" t="s">
        <v>175</v>
      </c>
      <c r="G1321" s="4">
        <v>41296</v>
      </c>
      <c r="J1321" s="1" t="s">
        <v>191</v>
      </c>
      <c r="K1321" s="1" t="s">
        <v>206</v>
      </c>
      <c r="L1321" s="1" t="str">
        <f t="shared" si="85"/>
        <v>Vallentunasjön Blandprov</v>
      </c>
      <c r="M1321" s="1" t="s">
        <v>177</v>
      </c>
      <c r="N1321" s="1">
        <v>4</v>
      </c>
      <c r="O1321" s="1">
        <v>0</v>
      </c>
      <c r="W1321" s="1">
        <v>546</v>
      </c>
      <c r="Z1321" s="1">
        <v>13.48</v>
      </c>
      <c r="AB1321" s="1">
        <v>2.92788</v>
      </c>
      <c r="AD1321" s="1">
        <v>201.74600000000001</v>
      </c>
      <c r="AG1321" s="1">
        <v>4.80000000000007</v>
      </c>
      <c r="AK1321" s="1">
        <v>36.86</v>
      </c>
      <c r="AL1321" s="1">
        <v>1530.99</v>
      </c>
    </row>
    <row r="1322" spans="1:81" x14ac:dyDescent="0.3">
      <c r="D1322" s="2">
        <f t="shared" si="83"/>
        <v>2013</v>
      </c>
      <c r="E1322" s="2">
        <f t="shared" si="84"/>
        <v>2</v>
      </c>
      <c r="F1322" s="3" t="s">
        <v>175</v>
      </c>
      <c r="G1322" s="4">
        <v>41317</v>
      </c>
      <c r="J1322" s="1" t="s">
        <v>181</v>
      </c>
      <c r="K1322" s="1"/>
      <c r="L1322" s="1" t="str">
        <f t="shared" si="85"/>
        <v xml:space="preserve">Fysingen </v>
      </c>
      <c r="M1322" s="1" t="s">
        <v>177</v>
      </c>
      <c r="N1322" s="1">
        <v>0.5</v>
      </c>
      <c r="O1322" s="1">
        <v>0.5</v>
      </c>
      <c r="Q1322" s="1">
        <v>0.4</v>
      </c>
      <c r="V1322" s="1">
        <v>1.667</v>
      </c>
      <c r="W1322" s="1">
        <v>108</v>
      </c>
      <c r="X1322" s="1">
        <f>W1322 * (1/((10^((0.0901821 + (2729.92 /(273.15 + Q1322)))-AE1322)+1)))</f>
        <v>8.1905041538465867E-2</v>
      </c>
      <c r="Y1322" s="1">
        <v>0.20399999999999999</v>
      </c>
      <c r="Z1322" s="1">
        <v>68</v>
      </c>
      <c r="AA1322" s="1">
        <v>35</v>
      </c>
      <c r="AB1322" s="1">
        <v>1.7</v>
      </c>
      <c r="AC1322" s="1">
        <v>36.08</v>
      </c>
      <c r="AD1322" s="1">
        <v>2078</v>
      </c>
      <c r="AE1322" s="1">
        <v>6.95</v>
      </c>
      <c r="AI1322" s="1">
        <v>16.600000000000001</v>
      </c>
      <c r="AK1322" s="1">
        <v>130</v>
      </c>
      <c r="AL1322" s="1">
        <v>2862</v>
      </c>
      <c r="AR1322" s="1">
        <v>41.2</v>
      </c>
      <c r="AS1322" s="1">
        <v>1.4</v>
      </c>
      <c r="AT1322" s="1">
        <v>5.0908200000000008</v>
      </c>
      <c r="AU1322" s="1">
        <v>8.2279999999999998</v>
      </c>
      <c r="AV1322" s="1">
        <v>20.561</v>
      </c>
      <c r="AW1322" s="1">
        <v>15.599200000000002</v>
      </c>
      <c r="AX1322" s="1">
        <v>52.470599999999997</v>
      </c>
      <c r="AY1322" s="1">
        <v>8.5</v>
      </c>
      <c r="AZ1322" s="1">
        <v>1000</v>
      </c>
    </row>
    <row r="1323" spans="1:81" x14ac:dyDescent="0.3">
      <c r="D1323" s="2">
        <f t="shared" si="83"/>
        <v>2013</v>
      </c>
      <c r="E1323" s="2">
        <f t="shared" si="84"/>
        <v>2</v>
      </c>
      <c r="F1323" s="3" t="s">
        <v>175</v>
      </c>
      <c r="G1323" s="4">
        <v>41318</v>
      </c>
      <c r="H1323" s="1">
        <v>6606238</v>
      </c>
      <c r="I1323" s="1">
        <v>661152</v>
      </c>
      <c r="J1323" s="5" t="s">
        <v>176</v>
      </c>
      <c r="K1323" s="1"/>
      <c r="L1323" s="1" t="str">
        <f t="shared" si="85"/>
        <v xml:space="preserve">Oxundaån </v>
      </c>
      <c r="M1323" s="1" t="s">
        <v>177</v>
      </c>
      <c r="N1323" s="1">
        <v>0.5</v>
      </c>
      <c r="O1323" s="1">
        <v>0.5</v>
      </c>
      <c r="Q1323" s="1">
        <v>0.6</v>
      </c>
      <c r="T1323" s="1">
        <v>43.16</v>
      </c>
      <c r="V1323" s="1">
        <v>2.371</v>
      </c>
      <c r="W1323" s="1">
        <v>55</v>
      </c>
      <c r="X1323" s="1">
        <f>W1323 * (1/((10^((0.0901821 + (2729.92 /(273.15 + Q1323)))-AE1323)+1)))</f>
        <v>8.6533895477390807E-2</v>
      </c>
      <c r="Y1323" s="1">
        <v>0.11700000000000001</v>
      </c>
      <c r="Z1323" s="1">
        <v>45</v>
      </c>
      <c r="AA1323" s="1">
        <v>13</v>
      </c>
      <c r="AD1323" s="1">
        <v>1234</v>
      </c>
      <c r="AE1323" s="1">
        <v>7.26</v>
      </c>
      <c r="AG1323" s="1">
        <v>4.8</v>
      </c>
      <c r="AI1323" s="1">
        <v>15.3</v>
      </c>
      <c r="AK1323" s="1">
        <v>65</v>
      </c>
      <c r="AL1323" s="1">
        <v>1884</v>
      </c>
      <c r="AR1323" s="1">
        <v>51.1</v>
      </c>
      <c r="AT1323" s="1">
        <v>5.17293</v>
      </c>
      <c r="AU1323" s="1">
        <v>8.4578999999999986</v>
      </c>
      <c r="AV1323" s="1">
        <v>34.386500000000005</v>
      </c>
      <c r="AW1323" s="1">
        <v>23.169400000000003</v>
      </c>
      <c r="AX1323" s="1">
        <v>46.560449999999996</v>
      </c>
      <c r="AY1323" s="1">
        <v>6.3</v>
      </c>
      <c r="CC1323" s="1">
        <v>0.12</v>
      </c>
    </row>
    <row r="1324" spans="1:81" x14ac:dyDescent="0.3">
      <c r="A1324" s="1">
        <v>20890</v>
      </c>
      <c r="B1324" s="1" t="s">
        <v>208</v>
      </c>
      <c r="C1324" s="1" t="s">
        <v>209</v>
      </c>
      <c r="D1324" s="2">
        <f t="shared" si="83"/>
        <v>2013</v>
      </c>
      <c r="E1324" s="2">
        <f t="shared" si="84"/>
        <v>2</v>
      </c>
      <c r="F1324" s="3" t="s">
        <v>175</v>
      </c>
      <c r="G1324" s="4">
        <v>41324</v>
      </c>
      <c r="H1324" s="1">
        <v>6600935</v>
      </c>
      <c r="I1324" s="1">
        <v>1626764</v>
      </c>
      <c r="J1324" s="1" t="s">
        <v>191</v>
      </c>
      <c r="K1324" s="1" t="s">
        <v>210</v>
      </c>
      <c r="L1324" s="1" t="str">
        <f t="shared" si="85"/>
        <v>Vallentunasjön Va2</v>
      </c>
      <c r="M1324" s="1" t="s">
        <v>177</v>
      </c>
      <c r="N1324" s="1">
        <v>0.5</v>
      </c>
      <c r="O1324" s="1">
        <v>0.5</v>
      </c>
      <c r="P1324" s="1">
        <v>2.4</v>
      </c>
      <c r="Q1324" s="1">
        <v>1.1000000000000001</v>
      </c>
      <c r="R1324" s="1">
        <v>9.3000000000000007</v>
      </c>
      <c r="S1324" s="1">
        <v>65</v>
      </c>
    </row>
    <row r="1325" spans="1:81" x14ac:dyDescent="0.3">
      <c r="A1325" s="1">
        <v>20891</v>
      </c>
      <c r="B1325" s="1" t="s">
        <v>208</v>
      </c>
      <c r="C1325" s="1" t="s">
        <v>209</v>
      </c>
      <c r="D1325" s="2">
        <f t="shared" si="83"/>
        <v>2013</v>
      </c>
      <c r="E1325" s="2">
        <f t="shared" si="84"/>
        <v>2</v>
      </c>
      <c r="F1325" s="3" t="s">
        <v>175</v>
      </c>
      <c r="G1325" s="4">
        <v>41324</v>
      </c>
      <c r="H1325" s="1">
        <v>6600935</v>
      </c>
      <c r="I1325" s="1">
        <v>1626764</v>
      </c>
      <c r="J1325" s="1" t="s">
        <v>191</v>
      </c>
      <c r="K1325" s="1" t="s">
        <v>210</v>
      </c>
      <c r="L1325" s="1" t="str">
        <f t="shared" si="85"/>
        <v>Vallentunasjön Va2</v>
      </c>
      <c r="M1325" s="1" t="s">
        <v>211</v>
      </c>
      <c r="N1325" s="1">
        <v>1</v>
      </c>
      <c r="O1325" s="1">
        <v>1</v>
      </c>
      <c r="Q1325" s="1">
        <v>1.6</v>
      </c>
      <c r="R1325" s="1">
        <v>7.7</v>
      </c>
      <c r="S1325" s="1">
        <v>55</v>
      </c>
    </row>
    <row r="1326" spans="1:81" x14ac:dyDescent="0.3">
      <c r="A1326" s="1">
        <v>20892</v>
      </c>
      <c r="B1326" s="1" t="s">
        <v>208</v>
      </c>
      <c r="C1326" s="1" t="s">
        <v>209</v>
      </c>
      <c r="D1326" s="2">
        <f t="shared" si="83"/>
        <v>2013</v>
      </c>
      <c r="E1326" s="2">
        <f t="shared" si="84"/>
        <v>2</v>
      </c>
      <c r="F1326" s="3" t="s">
        <v>175</v>
      </c>
      <c r="G1326" s="4">
        <v>41324</v>
      </c>
      <c r="H1326" s="1">
        <v>6600935</v>
      </c>
      <c r="I1326" s="1">
        <v>1626764</v>
      </c>
      <c r="J1326" s="1" t="s">
        <v>191</v>
      </c>
      <c r="K1326" s="1" t="s">
        <v>210</v>
      </c>
      <c r="L1326" s="1" t="str">
        <f t="shared" si="85"/>
        <v>Vallentunasjön Va2</v>
      </c>
      <c r="M1326" s="1" t="s">
        <v>212</v>
      </c>
      <c r="N1326" s="1">
        <v>2</v>
      </c>
      <c r="O1326" s="1">
        <v>2</v>
      </c>
      <c r="Q1326" s="1">
        <v>2.6</v>
      </c>
      <c r="R1326" s="1">
        <v>4.5999999999999996</v>
      </c>
      <c r="S1326" s="1">
        <v>33</v>
      </c>
    </row>
    <row r="1327" spans="1:81" x14ac:dyDescent="0.3">
      <c r="A1327" s="1">
        <v>20893</v>
      </c>
      <c r="B1327" s="1" t="s">
        <v>208</v>
      </c>
      <c r="C1327" s="1" t="s">
        <v>209</v>
      </c>
      <c r="D1327" s="2">
        <f t="shared" si="83"/>
        <v>2013</v>
      </c>
      <c r="E1327" s="2">
        <f t="shared" si="84"/>
        <v>2</v>
      </c>
      <c r="F1327" s="3" t="s">
        <v>175</v>
      </c>
      <c r="G1327" s="4">
        <v>41324</v>
      </c>
      <c r="H1327" s="1">
        <v>6600935</v>
      </c>
      <c r="I1327" s="1">
        <v>1626764</v>
      </c>
      <c r="J1327" s="1" t="s">
        <v>191</v>
      </c>
      <c r="K1327" s="1" t="s">
        <v>210</v>
      </c>
      <c r="L1327" s="1" t="str">
        <f t="shared" si="85"/>
        <v>Vallentunasjön Va2</v>
      </c>
      <c r="M1327" s="1" t="s">
        <v>213</v>
      </c>
      <c r="N1327" s="1">
        <v>3</v>
      </c>
      <c r="O1327" s="1">
        <v>3</v>
      </c>
      <c r="Q1327" s="1">
        <v>3.3</v>
      </c>
      <c r="R1327" s="1">
        <v>1.9</v>
      </c>
      <c r="S1327" s="1">
        <v>14</v>
      </c>
    </row>
    <row r="1328" spans="1:81" x14ac:dyDescent="0.3">
      <c r="A1328" s="1">
        <v>20894</v>
      </c>
      <c r="B1328" s="1" t="s">
        <v>208</v>
      </c>
      <c r="C1328" s="1" t="s">
        <v>209</v>
      </c>
      <c r="D1328" s="2">
        <f t="shared" si="83"/>
        <v>2013</v>
      </c>
      <c r="E1328" s="2">
        <f t="shared" si="84"/>
        <v>2</v>
      </c>
      <c r="F1328" s="3" t="s">
        <v>175</v>
      </c>
      <c r="G1328" s="4">
        <v>41324</v>
      </c>
      <c r="H1328" s="1">
        <v>6600935</v>
      </c>
      <c r="I1328" s="1">
        <v>1626764</v>
      </c>
      <c r="J1328" s="1" t="s">
        <v>191</v>
      </c>
      <c r="K1328" s="1" t="s">
        <v>210</v>
      </c>
      <c r="L1328" s="1" t="str">
        <f t="shared" si="85"/>
        <v>Vallentunasjön Va2</v>
      </c>
      <c r="M1328" s="1" t="s">
        <v>214</v>
      </c>
      <c r="N1328" s="1">
        <v>4</v>
      </c>
      <c r="O1328" s="1">
        <v>4</v>
      </c>
      <c r="Q1328" s="1">
        <v>4.2</v>
      </c>
      <c r="R1328" s="1">
        <v>0.3</v>
      </c>
      <c r="S1328" s="1">
        <v>3</v>
      </c>
    </row>
    <row r="1329" spans="1:43" x14ac:dyDescent="0.3">
      <c r="A1329" s="1">
        <v>20895</v>
      </c>
      <c r="B1329" s="1" t="s">
        <v>208</v>
      </c>
      <c r="C1329" s="1" t="s">
        <v>209</v>
      </c>
      <c r="D1329" s="2">
        <f t="shared" si="83"/>
        <v>2013</v>
      </c>
      <c r="E1329" s="2">
        <f t="shared" si="84"/>
        <v>2</v>
      </c>
      <c r="F1329" s="3" t="s">
        <v>175</v>
      </c>
      <c r="G1329" s="4">
        <v>41324</v>
      </c>
      <c r="J1329" s="1" t="s">
        <v>191</v>
      </c>
      <c r="K1329" s="1" t="s">
        <v>206</v>
      </c>
      <c r="L1329" s="1" t="str">
        <f t="shared" si="85"/>
        <v>Vallentunasjön Blandprov</v>
      </c>
      <c r="M1329" s="1" t="s">
        <v>177</v>
      </c>
      <c r="N1329" s="1">
        <v>4</v>
      </c>
      <c r="O1329" s="1">
        <v>0</v>
      </c>
      <c r="W1329" s="1">
        <v>601</v>
      </c>
      <c r="Z1329" s="1">
        <v>16.739999999999998</v>
      </c>
      <c r="AB1329" s="1">
        <v>0.79632000000000003</v>
      </c>
      <c r="AD1329" s="1">
        <v>232.8</v>
      </c>
      <c r="AG1329" s="1">
        <v>4</v>
      </c>
      <c r="AK1329" s="1">
        <v>36.94</v>
      </c>
      <c r="AL1329" s="1">
        <v>1565.202</v>
      </c>
    </row>
    <row r="1330" spans="1:43" x14ac:dyDescent="0.3">
      <c r="A1330" s="6">
        <v>20972</v>
      </c>
      <c r="B1330" s="5" t="s">
        <v>215</v>
      </c>
      <c r="C1330" s="5" t="s">
        <v>216</v>
      </c>
      <c r="D1330" s="2">
        <f t="shared" si="83"/>
        <v>2013</v>
      </c>
      <c r="E1330" s="2">
        <f t="shared" si="84"/>
        <v>2</v>
      </c>
      <c r="F1330" s="3" t="s">
        <v>175</v>
      </c>
      <c r="G1330" s="7">
        <v>41331</v>
      </c>
      <c r="H1330" s="6">
        <v>6606035</v>
      </c>
      <c r="I1330" s="6">
        <v>1615620</v>
      </c>
      <c r="J1330" s="5" t="s">
        <v>187</v>
      </c>
      <c r="K1330" s="1"/>
      <c r="L1330" s="1" t="str">
        <f t="shared" si="85"/>
        <v xml:space="preserve">Oxundasjön </v>
      </c>
      <c r="M1330" s="1" t="s">
        <v>177</v>
      </c>
      <c r="N1330" s="6">
        <v>0.5</v>
      </c>
      <c r="O1330" s="6">
        <v>0.5</v>
      </c>
      <c r="P1330" s="6">
        <v>1.3</v>
      </c>
      <c r="Q1330" s="6">
        <v>0.4</v>
      </c>
      <c r="R1330" s="6">
        <v>9.3000000000000007</v>
      </c>
      <c r="S1330" s="6">
        <v>63</v>
      </c>
      <c r="W1330" s="6">
        <v>34.374000000000002</v>
      </c>
      <c r="Z1330" s="6">
        <v>42.5</v>
      </c>
      <c r="AD1330" s="6">
        <v>974.36900000000003</v>
      </c>
      <c r="AK1330" s="6">
        <v>67.180000000000007</v>
      </c>
      <c r="AL1330" s="6">
        <v>1831.566</v>
      </c>
      <c r="AM1330" s="6"/>
      <c r="AN1330" s="6"/>
      <c r="AO1330" s="6"/>
      <c r="AP1330" s="6"/>
      <c r="AQ1330" s="6"/>
    </row>
    <row r="1331" spans="1:43" x14ac:dyDescent="0.3">
      <c r="A1331" s="6">
        <v>20973</v>
      </c>
      <c r="B1331" s="5" t="s">
        <v>215</v>
      </c>
      <c r="C1331" s="5" t="s">
        <v>216</v>
      </c>
      <c r="D1331" s="2">
        <f t="shared" si="83"/>
        <v>2013</v>
      </c>
      <c r="E1331" s="2">
        <f t="shared" si="84"/>
        <v>2</v>
      </c>
      <c r="F1331" s="3" t="s">
        <v>175</v>
      </c>
      <c r="G1331" s="7">
        <v>41331</v>
      </c>
      <c r="H1331" s="6">
        <v>6606035</v>
      </c>
      <c r="I1331" s="6">
        <v>1615620</v>
      </c>
      <c r="J1331" s="5" t="s">
        <v>187</v>
      </c>
      <c r="K1331" s="1"/>
      <c r="L1331" s="1" t="str">
        <f t="shared" si="85"/>
        <v xml:space="preserve">Oxundasjön </v>
      </c>
      <c r="M1331" s="5" t="s">
        <v>211</v>
      </c>
      <c r="N1331" s="6">
        <v>1</v>
      </c>
      <c r="O1331" s="6">
        <v>1</v>
      </c>
      <c r="Q1331" s="6">
        <v>0.7</v>
      </c>
      <c r="R1331" s="6">
        <v>9.1999999999999993</v>
      </c>
      <c r="S1331" s="6">
        <v>63</v>
      </c>
    </row>
    <row r="1332" spans="1:43" x14ac:dyDescent="0.3">
      <c r="A1332" s="6">
        <v>20974</v>
      </c>
      <c r="B1332" s="5" t="s">
        <v>215</v>
      </c>
      <c r="C1332" s="5" t="s">
        <v>216</v>
      </c>
      <c r="D1332" s="2">
        <f t="shared" si="83"/>
        <v>2013</v>
      </c>
      <c r="E1332" s="2">
        <f t="shared" si="84"/>
        <v>2</v>
      </c>
      <c r="F1332" s="3" t="s">
        <v>175</v>
      </c>
      <c r="G1332" s="7">
        <v>41331</v>
      </c>
      <c r="H1332" s="6">
        <v>6606035</v>
      </c>
      <c r="I1332" s="6">
        <v>1615620</v>
      </c>
      <c r="J1332" s="5" t="s">
        <v>187</v>
      </c>
      <c r="K1332" s="1"/>
      <c r="L1332" s="1" t="str">
        <f t="shared" si="85"/>
        <v xml:space="preserve">Oxundasjön </v>
      </c>
      <c r="M1332" s="5" t="s">
        <v>212</v>
      </c>
      <c r="N1332" s="6">
        <v>2</v>
      </c>
      <c r="O1332" s="6">
        <v>2</v>
      </c>
      <c r="Q1332" s="6">
        <v>1</v>
      </c>
      <c r="R1332" s="6">
        <v>8.5</v>
      </c>
      <c r="S1332" s="6">
        <v>58</v>
      </c>
    </row>
    <row r="1333" spans="1:43" x14ac:dyDescent="0.3">
      <c r="A1333" s="6">
        <v>20975</v>
      </c>
      <c r="B1333" s="5" t="s">
        <v>215</v>
      </c>
      <c r="C1333" s="5" t="s">
        <v>216</v>
      </c>
      <c r="D1333" s="2">
        <f t="shared" si="83"/>
        <v>2013</v>
      </c>
      <c r="E1333" s="2">
        <f t="shared" si="84"/>
        <v>2</v>
      </c>
      <c r="F1333" s="3" t="s">
        <v>175</v>
      </c>
      <c r="G1333" s="7">
        <v>41331</v>
      </c>
      <c r="H1333" s="6">
        <v>6606035</v>
      </c>
      <c r="I1333" s="6">
        <v>1615620</v>
      </c>
      <c r="J1333" s="5" t="s">
        <v>187</v>
      </c>
      <c r="K1333" s="1"/>
      <c r="L1333" s="1" t="str">
        <f t="shared" si="85"/>
        <v xml:space="preserve">Oxundasjön </v>
      </c>
      <c r="M1333" s="5" t="s">
        <v>213</v>
      </c>
      <c r="N1333" s="6">
        <v>3</v>
      </c>
      <c r="O1333" s="6">
        <v>3</v>
      </c>
      <c r="Q1333" s="6">
        <v>1.6</v>
      </c>
      <c r="R1333" s="6">
        <v>7.4</v>
      </c>
      <c r="S1333" s="6">
        <v>52</v>
      </c>
    </row>
    <row r="1334" spans="1:43" x14ac:dyDescent="0.3">
      <c r="A1334" s="6">
        <v>20976</v>
      </c>
      <c r="B1334" s="5" t="s">
        <v>215</v>
      </c>
      <c r="C1334" s="5" t="s">
        <v>216</v>
      </c>
      <c r="D1334" s="2">
        <f t="shared" si="83"/>
        <v>2013</v>
      </c>
      <c r="E1334" s="2">
        <f t="shared" si="84"/>
        <v>2</v>
      </c>
      <c r="F1334" s="3" t="s">
        <v>175</v>
      </c>
      <c r="G1334" s="7">
        <v>41331</v>
      </c>
      <c r="H1334" s="6">
        <v>6606035</v>
      </c>
      <c r="I1334" s="6">
        <v>1615620</v>
      </c>
      <c r="J1334" s="5" t="s">
        <v>187</v>
      </c>
      <c r="K1334" s="1"/>
      <c r="L1334" s="1" t="str">
        <f t="shared" si="85"/>
        <v xml:space="preserve">Oxundasjön </v>
      </c>
      <c r="M1334" s="5" t="s">
        <v>214</v>
      </c>
      <c r="N1334" s="6">
        <v>4</v>
      </c>
      <c r="O1334" s="6">
        <v>4</v>
      </c>
      <c r="Q1334" s="6">
        <v>2.9</v>
      </c>
      <c r="R1334" s="6">
        <v>4.3</v>
      </c>
      <c r="S1334" s="6">
        <v>32</v>
      </c>
    </row>
    <row r="1335" spans="1:43" x14ac:dyDescent="0.3">
      <c r="A1335" s="6">
        <v>20977</v>
      </c>
      <c r="B1335" s="5" t="s">
        <v>215</v>
      </c>
      <c r="C1335" s="5" t="s">
        <v>216</v>
      </c>
      <c r="D1335" s="2">
        <f t="shared" si="83"/>
        <v>2013</v>
      </c>
      <c r="E1335" s="2">
        <f t="shared" si="84"/>
        <v>2</v>
      </c>
      <c r="F1335" s="3" t="s">
        <v>175</v>
      </c>
      <c r="G1335" s="7">
        <v>41331</v>
      </c>
      <c r="H1335" s="6">
        <v>6606035</v>
      </c>
      <c r="I1335" s="6">
        <v>1615620</v>
      </c>
      <c r="J1335" s="5" t="s">
        <v>187</v>
      </c>
      <c r="K1335" s="1"/>
      <c r="L1335" s="1" t="str">
        <f t="shared" si="85"/>
        <v xml:space="preserve">Oxundasjön </v>
      </c>
      <c r="M1335" s="5" t="s">
        <v>217</v>
      </c>
      <c r="N1335" s="6">
        <v>5</v>
      </c>
      <c r="O1335" s="6">
        <v>5</v>
      </c>
      <c r="Q1335" s="6">
        <v>4.4000000000000004</v>
      </c>
      <c r="R1335" s="6">
        <v>0.7</v>
      </c>
      <c r="S1335" s="6">
        <v>5</v>
      </c>
    </row>
    <row r="1336" spans="1:43" x14ac:dyDescent="0.3">
      <c r="A1336" s="6">
        <v>20978</v>
      </c>
      <c r="B1336" s="5" t="s">
        <v>215</v>
      </c>
      <c r="C1336" s="5" t="s">
        <v>216</v>
      </c>
      <c r="D1336" s="2">
        <f t="shared" si="83"/>
        <v>2013</v>
      </c>
      <c r="E1336" s="2">
        <f t="shared" si="84"/>
        <v>2</v>
      </c>
      <c r="F1336" s="3" t="s">
        <v>175</v>
      </c>
      <c r="G1336" s="7">
        <v>41331</v>
      </c>
      <c r="H1336" s="6">
        <v>6606035</v>
      </c>
      <c r="I1336" s="6">
        <v>1615620</v>
      </c>
      <c r="J1336" s="5" t="s">
        <v>187</v>
      </c>
      <c r="K1336" s="1"/>
      <c r="L1336" s="1" t="str">
        <f t="shared" si="85"/>
        <v xml:space="preserve">Oxundasjön </v>
      </c>
      <c r="M1336" s="1" t="s">
        <v>184</v>
      </c>
      <c r="N1336" s="6">
        <v>6</v>
      </c>
      <c r="O1336" s="6">
        <v>6</v>
      </c>
      <c r="Q1336" s="6">
        <v>5</v>
      </c>
      <c r="R1336" s="6">
        <v>0.4</v>
      </c>
      <c r="S1336" s="6">
        <v>3</v>
      </c>
      <c r="W1336" s="6">
        <v>44.808999999999997</v>
      </c>
      <c r="Z1336" s="6">
        <v>41.18</v>
      </c>
      <c r="AD1336" s="6">
        <v>962.27300000000002</v>
      </c>
      <c r="AK1336" s="6">
        <v>62.15</v>
      </c>
      <c r="AL1336" s="6">
        <v>1799.046</v>
      </c>
      <c r="AM1336" s="6"/>
      <c r="AN1336" s="6"/>
      <c r="AO1336" s="6"/>
      <c r="AP1336" s="6"/>
      <c r="AQ1336" s="6"/>
    </row>
    <row r="1337" spans="1:43" x14ac:dyDescent="0.3">
      <c r="A1337" s="6">
        <v>20979</v>
      </c>
      <c r="B1337" s="5" t="s">
        <v>215</v>
      </c>
      <c r="C1337" s="5" t="s">
        <v>216</v>
      </c>
      <c r="D1337" s="2">
        <f t="shared" si="83"/>
        <v>2013</v>
      </c>
      <c r="E1337" s="2">
        <f t="shared" si="84"/>
        <v>2</v>
      </c>
      <c r="F1337" s="3" t="s">
        <v>175</v>
      </c>
      <c r="G1337" s="7">
        <v>41331</v>
      </c>
      <c r="H1337" s="6">
        <v>6599695</v>
      </c>
      <c r="I1337" s="6">
        <v>1617290</v>
      </c>
      <c r="J1337" s="5" t="s">
        <v>182</v>
      </c>
      <c r="K1337" s="1"/>
      <c r="L1337" s="1" t="str">
        <f t="shared" si="85"/>
        <v xml:space="preserve">Edssjön </v>
      </c>
      <c r="M1337" s="1" t="s">
        <v>177</v>
      </c>
      <c r="N1337" s="6">
        <v>0.5</v>
      </c>
      <c r="O1337" s="6">
        <v>0.5</v>
      </c>
      <c r="P1337" s="6">
        <v>1.7</v>
      </c>
      <c r="Q1337" s="6">
        <v>0.3</v>
      </c>
      <c r="R1337" s="6">
        <v>8.9</v>
      </c>
      <c r="S1337" s="6">
        <v>60</v>
      </c>
      <c r="W1337" s="6">
        <v>123.15900000000001</v>
      </c>
      <c r="Z1337" s="6">
        <v>45.08</v>
      </c>
      <c r="AD1337" s="6">
        <v>611.81899999999996</v>
      </c>
      <c r="AK1337" s="6">
        <v>59.11</v>
      </c>
      <c r="AL1337" s="6">
        <v>1507.8209999999999</v>
      </c>
      <c r="AM1337" s="6"/>
      <c r="AN1337" s="6"/>
      <c r="AO1337" s="6"/>
      <c r="AP1337" s="6"/>
      <c r="AQ1337" s="6"/>
    </row>
    <row r="1338" spans="1:43" x14ac:dyDescent="0.3">
      <c r="A1338" s="6">
        <v>20980</v>
      </c>
      <c r="B1338" s="5" t="s">
        <v>215</v>
      </c>
      <c r="C1338" s="5" t="s">
        <v>216</v>
      </c>
      <c r="D1338" s="2">
        <f t="shared" si="83"/>
        <v>2013</v>
      </c>
      <c r="E1338" s="2">
        <f t="shared" si="84"/>
        <v>2</v>
      </c>
      <c r="F1338" s="3" t="s">
        <v>175</v>
      </c>
      <c r="G1338" s="7">
        <v>41331</v>
      </c>
      <c r="H1338" s="6">
        <v>6599695</v>
      </c>
      <c r="I1338" s="6">
        <v>1617290</v>
      </c>
      <c r="J1338" s="5" t="s">
        <v>182</v>
      </c>
      <c r="K1338" s="1"/>
      <c r="L1338" s="1" t="str">
        <f t="shared" si="85"/>
        <v xml:space="preserve">Edssjön </v>
      </c>
      <c r="M1338" s="5" t="s">
        <v>211</v>
      </c>
      <c r="N1338" s="6">
        <v>1</v>
      </c>
      <c r="O1338" s="6">
        <v>1</v>
      </c>
      <c r="Q1338" s="6">
        <v>0.9</v>
      </c>
      <c r="R1338" s="6">
        <v>8.6</v>
      </c>
      <c r="S1338" s="6">
        <v>59</v>
      </c>
    </row>
    <row r="1339" spans="1:43" x14ac:dyDescent="0.3">
      <c r="A1339" s="6">
        <v>20981</v>
      </c>
      <c r="B1339" s="5" t="s">
        <v>215</v>
      </c>
      <c r="C1339" s="5" t="s">
        <v>216</v>
      </c>
      <c r="D1339" s="2">
        <f t="shared" si="83"/>
        <v>2013</v>
      </c>
      <c r="E1339" s="2">
        <f t="shared" si="84"/>
        <v>2</v>
      </c>
      <c r="F1339" s="3" t="s">
        <v>175</v>
      </c>
      <c r="G1339" s="7">
        <v>41331</v>
      </c>
      <c r="H1339" s="6">
        <v>6599695</v>
      </c>
      <c r="I1339" s="6">
        <v>1617290</v>
      </c>
      <c r="J1339" s="5" t="s">
        <v>182</v>
      </c>
      <c r="K1339" s="1"/>
      <c r="L1339" s="1" t="str">
        <f t="shared" si="85"/>
        <v xml:space="preserve">Edssjön </v>
      </c>
      <c r="M1339" s="5" t="s">
        <v>212</v>
      </c>
      <c r="N1339" s="6">
        <v>2</v>
      </c>
      <c r="O1339" s="6">
        <v>2</v>
      </c>
      <c r="Q1339" s="6">
        <v>1.7</v>
      </c>
      <c r="R1339" s="6">
        <v>5.5</v>
      </c>
      <c r="S1339" s="6">
        <v>39</v>
      </c>
    </row>
    <row r="1340" spans="1:43" x14ac:dyDescent="0.3">
      <c r="A1340" s="6">
        <v>20982</v>
      </c>
      <c r="B1340" s="5" t="s">
        <v>215</v>
      </c>
      <c r="C1340" s="5" t="s">
        <v>216</v>
      </c>
      <c r="D1340" s="2">
        <f t="shared" si="83"/>
        <v>2013</v>
      </c>
      <c r="E1340" s="2">
        <f t="shared" si="84"/>
        <v>2</v>
      </c>
      <c r="F1340" s="3" t="s">
        <v>175</v>
      </c>
      <c r="G1340" s="7">
        <v>41331</v>
      </c>
      <c r="H1340" s="6">
        <v>6599695</v>
      </c>
      <c r="I1340" s="6">
        <v>1617290</v>
      </c>
      <c r="J1340" s="5" t="s">
        <v>182</v>
      </c>
      <c r="K1340" s="1"/>
      <c r="L1340" s="1" t="str">
        <f t="shared" si="85"/>
        <v xml:space="preserve">Edssjön </v>
      </c>
      <c r="M1340" s="5" t="s">
        <v>213</v>
      </c>
      <c r="N1340" s="6">
        <v>3</v>
      </c>
      <c r="O1340" s="6">
        <v>3</v>
      </c>
      <c r="Q1340" s="6">
        <v>3</v>
      </c>
      <c r="R1340" s="6">
        <v>1</v>
      </c>
      <c r="S1340" s="6">
        <v>7</v>
      </c>
    </row>
    <row r="1341" spans="1:43" x14ac:dyDescent="0.3">
      <c r="A1341" s="6">
        <v>20983</v>
      </c>
      <c r="B1341" s="5" t="s">
        <v>215</v>
      </c>
      <c r="C1341" s="5" t="s">
        <v>216</v>
      </c>
      <c r="D1341" s="2">
        <f t="shared" si="83"/>
        <v>2013</v>
      </c>
      <c r="E1341" s="2">
        <f t="shared" si="84"/>
        <v>2</v>
      </c>
      <c r="F1341" s="3" t="s">
        <v>175</v>
      </c>
      <c r="G1341" s="7">
        <v>41331</v>
      </c>
      <c r="H1341" s="6">
        <v>6599695</v>
      </c>
      <c r="I1341" s="6">
        <v>1617290</v>
      </c>
      <c r="J1341" s="5" t="s">
        <v>182</v>
      </c>
      <c r="K1341" s="1"/>
      <c r="L1341" s="1" t="str">
        <f t="shared" si="85"/>
        <v xml:space="preserve">Edssjön </v>
      </c>
      <c r="M1341" s="5" t="s">
        <v>214</v>
      </c>
      <c r="N1341" s="6">
        <v>4</v>
      </c>
      <c r="O1341" s="6">
        <v>4</v>
      </c>
      <c r="Q1341" s="6">
        <v>3.4</v>
      </c>
      <c r="R1341" s="6">
        <v>2.6</v>
      </c>
      <c r="S1341" s="6">
        <v>19</v>
      </c>
    </row>
    <row r="1342" spans="1:43" x14ac:dyDescent="0.3">
      <c r="A1342" s="6">
        <v>20984</v>
      </c>
      <c r="B1342" s="5" t="s">
        <v>215</v>
      </c>
      <c r="C1342" s="5" t="s">
        <v>216</v>
      </c>
      <c r="D1342" s="2">
        <f t="shared" si="83"/>
        <v>2013</v>
      </c>
      <c r="E1342" s="2">
        <f t="shared" si="84"/>
        <v>2</v>
      </c>
      <c r="F1342" s="3" t="s">
        <v>175</v>
      </c>
      <c r="G1342" s="7">
        <v>41331</v>
      </c>
      <c r="H1342" s="6">
        <v>6599695</v>
      </c>
      <c r="I1342" s="6">
        <v>1617290</v>
      </c>
      <c r="J1342" s="5" t="s">
        <v>182</v>
      </c>
      <c r="K1342" s="1"/>
      <c r="L1342" s="1" t="str">
        <f t="shared" si="85"/>
        <v xml:space="preserve">Edssjön </v>
      </c>
      <c r="M1342" s="5" t="s">
        <v>217</v>
      </c>
      <c r="N1342" s="6">
        <v>5</v>
      </c>
      <c r="O1342" s="6">
        <v>5</v>
      </c>
      <c r="Q1342" s="6">
        <v>4.3</v>
      </c>
      <c r="R1342" s="6">
        <v>0.4</v>
      </c>
      <c r="S1342" s="6">
        <v>3</v>
      </c>
    </row>
    <row r="1343" spans="1:43" x14ac:dyDescent="0.3">
      <c r="A1343" s="6">
        <v>20985</v>
      </c>
      <c r="B1343" s="5" t="s">
        <v>215</v>
      </c>
      <c r="C1343" s="5" t="s">
        <v>216</v>
      </c>
      <c r="D1343" s="2">
        <f t="shared" si="83"/>
        <v>2013</v>
      </c>
      <c r="E1343" s="2">
        <f t="shared" si="84"/>
        <v>2</v>
      </c>
      <c r="F1343" s="3" t="s">
        <v>175</v>
      </c>
      <c r="G1343" s="7">
        <v>41331</v>
      </c>
      <c r="H1343" s="6">
        <v>6599695</v>
      </c>
      <c r="I1343" s="6">
        <v>1617290</v>
      </c>
      <c r="J1343" s="5" t="s">
        <v>182</v>
      </c>
      <c r="K1343" s="1"/>
      <c r="L1343" s="1" t="str">
        <f t="shared" si="85"/>
        <v xml:space="preserve">Edssjön </v>
      </c>
      <c r="M1343" s="1" t="s">
        <v>184</v>
      </c>
      <c r="N1343" s="6">
        <v>5.5</v>
      </c>
      <c r="O1343" s="6">
        <v>5.5</v>
      </c>
      <c r="Q1343" s="6">
        <v>4.9000000000000004</v>
      </c>
      <c r="R1343" s="6">
        <v>0.3</v>
      </c>
      <c r="S1343" s="6">
        <v>2</v>
      </c>
      <c r="W1343" s="6">
        <v>214</v>
      </c>
      <c r="Z1343" s="6">
        <v>73.349999999999994</v>
      </c>
      <c r="AD1343" s="6">
        <v>621.74900000000002</v>
      </c>
      <c r="AK1343" s="6">
        <v>96.47</v>
      </c>
      <c r="AL1343" s="6">
        <v>1634.296</v>
      </c>
      <c r="AM1343" s="6"/>
      <c r="AN1343" s="6"/>
      <c r="AO1343" s="6"/>
      <c r="AP1343" s="6"/>
      <c r="AQ1343" s="6"/>
    </row>
    <row r="1344" spans="1:43" x14ac:dyDescent="0.3">
      <c r="A1344" s="6">
        <v>20986</v>
      </c>
      <c r="B1344" s="5" t="s">
        <v>215</v>
      </c>
      <c r="C1344" s="5" t="s">
        <v>216</v>
      </c>
      <c r="D1344" s="2">
        <f t="shared" si="83"/>
        <v>2013</v>
      </c>
      <c r="E1344" s="2">
        <f t="shared" si="84"/>
        <v>2</v>
      </c>
      <c r="F1344" s="3" t="s">
        <v>175</v>
      </c>
      <c r="G1344" s="7">
        <v>41331</v>
      </c>
      <c r="H1344" s="6">
        <v>6594420</v>
      </c>
      <c r="I1344" s="6">
        <v>1615795</v>
      </c>
      <c r="J1344" s="5" t="s">
        <v>193</v>
      </c>
      <c r="K1344" s="1"/>
      <c r="L1344" s="1" t="str">
        <f t="shared" si="85"/>
        <v xml:space="preserve">Översjön </v>
      </c>
      <c r="M1344" s="1" t="s">
        <v>177</v>
      </c>
      <c r="N1344" s="6">
        <v>0.5</v>
      </c>
      <c r="O1344" s="6">
        <v>0.5</v>
      </c>
      <c r="P1344" s="6">
        <v>2.7</v>
      </c>
      <c r="Q1344" s="6">
        <v>0.6</v>
      </c>
      <c r="R1344" s="6">
        <v>12.3</v>
      </c>
      <c r="S1344" s="6">
        <v>84</v>
      </c>
      <c r="W1344" s="6">
        <v>29.952999999999999</v>
      </c>
      <c r="Z1344" s="6">
        <v>1.5</v>
      </c>
      <c r="AD1344" s="6">
        <v>33.03</v>
      </c>
      <c r="AK1344" s="6">
        <v>18.05</v>
      </c>
      <c r="AL1344" s="6">
        <v>893.447</v>
      </c>
      <c r="AM1344" s="6"/>
      <c r="AN1344" s="6"/>
      <c r="AO1344" s="6"/>
      <c r="AP1344" s="6"/>
      <c r="AQ1344" s="6"/>
    </row>
    <row r="1345" spans="1:50" x14ac:dyDescent="0.3">
      <c r="A1345" s="6">
        <v>20987</v>
      </c>
      <c r="B1345" s="5" t="s">
        <v>215</v>
      </c>
      <c r="C1345" s="5" t="s">
        <v>216</v>
      </c>
      <c r="D1345" s="2">
        <f t="shared" si="83"/>
        <v>2013</v>
      </c>
      <c r="E1345" s="2">
        <f t="shared" si="84"/>
        <v>2</v>
      </c>
      <c r="F1345" s="3" t="s">
        <v>175</v>
      </c>
      <c r="G1345" s="7">
        <v>41331</v>
      </c>
      <c r="H1345" s="6">
        <v>6594420</v>
      </c>
      <c r="I1345" s="6">
        <v>1615795</v>
      </c>
      <c r="J1345" s="5" t="s">
        <v>193</v>
      </c>
      <c r="K1345" s="1"/>
      <c r="L1345" s="1" t="str">
        <f t="shared" si="85"/>
        <v xml:space="preserve">Översjön </v>
      </c>
      <c r="M1345" s="5" t="s">
        <v>211</v>
      </c>
      <c r="N1345" s="6">
        <v>1</v>
      </c>
      <c r="O1345" s="6">
        <v>1</v>
      </c>
      <c r="Q1345" s="6">
        <v>1.6</v>
      </c>
      <c r="R1345" s="6">
        <v>9.3000000000000007</v>
      </c>
      <c r="S1345" s="6">
        <v>66</v>
      </c>
    </row>
    <row r="1346" spans="1:50" x14ac:dyDescent="0.3">
      <c r="A1346" s="6">
        <v>20988</v>
      </c>
      <c r="B1346" s="5" t="s">
        <v>215</v>
      </c>
      <c r="C1346" s="5" t="s">
        <v>216</v>
      </c>
      <c r="D1346" s="2">
        <f t="shared" ref="D1346:D1409" si="88">YEAR(G1346)</f>
        <v>2013</v>
      </c>
      <c r="E1346" s="2">
        <f t="shared" ref="E1346:E1409" si="89">MONTH(G1346)</f>
        <v>2</v>
      </c>
      <c r="F1346" s="3" t="s">
        <v>175</v>
      </c>
      <c r="G1346" s="7">
        <v>41331</v>
      </c>
      <c r="H1346" s="6">
        <v>6594420</v>
      </c>
      <c r="I1346" s="6">
        <v>1615795</v>
      </c>
      <c r="J1346" s="5" t="s">
        <v>193</v>
      </c>
      <c r="K1346" s="1"/>
      <c r="L1346" s="1" t="str">
        <f t="shared" ref="L1346:L1409" si="90">CONCATENATE(J1346," ",K1346)</f>
        <v xml:space="preserve">Översjön </v>
      </c>
      <c r="M1346" s="5" t="s">
        <v>212</v>
      </c>
      <c r="N1346" s="6">
        <v>2</v>
      </c>
      <c r="O1346" s="6">
        <v>2</v>
      </c>
      <c r="Q1346" s="6">
        <v>2.8</v>
      </c>
      <c r="R1346" s="6">
        <v>1.5</v>
      </c>
      <c r="S1346" s="6">
        <v>11</v>
      </c>
    </row>
    <row r="1347" spans="1:50" x14ac:dyDescent="0.3">
      <c r="A1347" s="6">
        <v>20989</v>
      </c>
      <c r="B1347" s="5" t="s">
        <v>215</v>
      </c>
      <c r="C1347" s="5" t="s">
        <v>216</v>
      </c>
      <c r="D1347" s="2">
        <f t="shared" si="88"/>
        <v>2013</v>
      </c>
      <c r="E1347" s="2">
        <f t="shared" si="89"/>
        <v>2</v>
      </c>
      <c r="F1347" s="3" t="s">
        <v>175</v>
      </c>
      <c r="G1347" s="7">
        <v>41331</v>
      </c>
      <c r="H1347" s="6">
        <v>6594420</v>
      </c>
      <c r="I1347" s="6">
        <v>1615795</v>
      </c>
      <c r="J1347" s="5" t="s">
        <v>193</v>
      </c>
      <c r="K1347" s="1"/>
      <c r="L1347" s="1" t="str">
        <f t="shared" si="90"/>
        <v xml:space="preserve">Översjön </v>
      </c>
      <c r="M1347" s="5" t="s">
        <v>213</v>
      </c>
      <c r="N1347" s="6">
        <v>3</v>
      </c>
      <c r="O1347" s="6">
        <v>3</v>
      </c>
      <c r="Q1347" s="6">
        <v>3.8</v>
      </c>
      <c r="R1347" s="6">
        <v>0.5</v>
      </c>
      <c r="S1347" s="6">
        <v>4</v>
      </c>
    </row>
    <row r="1348" spans="1:50" x14ac:dyDescent="0.3">
      <c r="A1348" s="6">
        <v>20990</v>
      </c>
      <c r="B1348" s="5" t="s">
        <v>215</v>
      </c>
      <c r="C1348" s="5" t="s">
        <v>216</v>
      </c>
      <c r="D1348" s="2">
        <f t="shared" si="88"/>
        <v>2013</v>
      </c>
      <c r="E1348" s="2">
        <f t="shared" si="89"/>
        <v>2</v>
      </c>
      <c r="F1348" s="3" t="s">
        <v>175</v>
      </c>
      <c r="G1348" s="7">
        <v>41331</v>
      </c>
      <c r="H1348" s="6">
        <v>6594420</v>
      </c>
      <c r="I1348" s="6">
        <v>1615795</v>
      </c>
      <c r="J1348" s="5" t="s">
        <v>193</v>
      </c>
      <c r="K1348" s="1"/>
      <c r="L1348" s="1" t="str">
        <f t="shared" si="90"/>
        <v xml:space="preserve">Översjön </v>
      </c>
      <c r="M1348" s="1" t="s">
        <v>184</v>
      </c>
      <c r="N1348" s="6">
        <v>4</v>
      </c>
      <c r="O1348" s="6">
        <v>4</v>
      </c>
      <c r="Q1348" s="6">
        <v>4.5</v>
      </c>
      <c r="R1348" s="6">
        <v>0.3</v>
      </c>
      <c r="S1348" s="6">
        <v>3</v>
      </c>
      <c r="W1348" s="6">
        <v>391</v>
      </c>
      <c r="Z1348" s="6">
        <v>2.2400000000000002</v>
      </c>
      <c r="AD1348" s="6">
        <v>69.156000000000006</v>
      </c>
      <c r="AK1348" s="6">
        <v>24.03</v>
      </c>
      <c r="AL1348" s="6">
        <v>1218.9960000000001</v>
      </c>
      <c r="AM1348" s="6"/>
      <c r="AN1348" s="6"/>
      <c r="AO1348" s="6"/>
      <c r="AP1348" s="6"/>
      <c r="AQ1348" s="6"/>
    </row>
    <row r="1349" spans="1:50" x14ac:dyDescent="0.3">
      <c r="A1349" s="6">
        <v>20991</v>
      </c>
      <c r="B1349" s="5" t="s">
        <v>215</v>
      </c>
      <c r="C1349" s="5" t="s">
        <v>216</v>
      </c>
      <c r="D1349" s="2">
        <f t="shared" si="88"/>
        <v>2013</v>
      </c>
      <c r="E1349" s="2">
        <f t="shared" si="89"/>
        <v>2</v>
      </c>
      <c r="F1349" s="3" t="s">
        <v>175</v>
      </c>
      <c r="G1349" s="7">
        <v>41331</v>
      </c>
      <c r="H1349" s="6">
        <v>6593820</v>
      </c>
      <c r="I1349" s="6">
        <v>1619360</v>
      </c>
      <c r="J1349" s="5" t="s">
        <v>188</v>
      </c>
      <c r="K1349" s="1"/>
      <c r="L1349" s="1" t="str">
        <f t="shared" si="90"/>
        <v xml:space="preserve">Ravalen </v>
      </c>
      <c r="M1349" s="1" t="s">
        <v>177</v>
      </c>
      <c r="N1349" s="6">
        <v>0.5</v>
      </c>
      <c r="O1349" s="6">
        <v>0.5</v>
      </c>
      <c r="P1349" s="6">
        <v>1.5</v>
      </c>
      <c r="Q1349" s="6">
        <v>0.1</v>
      </c>
      <c r="R1349" s="6">
        <v>0.6</v>
      </c>
      <c r="S1349" s="6">
        <v>4</v>
      </c>
      <c r="W1349" s="6">
        <v>252</v>
      </c>
      <c r="Z1349" s="6">
        <v>37.869999999999997</v>
      </c>
      <c r="AD1349" s="6">
        <v>0</v>
      </c>
      <c r="AK1349" s="6">
        <v>88.85</v>
      </c>
      <c r="AL1349" s="6">
        <v>1160.8209999999999</v>
      </c>
      <c r="AM1349" s="6"/>
      <c r="AN1349" s="6"/>
      <c r="AO1349" s="6"/>
      <c r="AP1349" s="6"/>
      <c r="AQ1349" s="6"/>
    </row>
    <row r="1350" spans="1:50" x14ac:dyDescent="0.3">
      <c r="A1350" s="6">
        <v>20992</v>
      </c>
      <c r="B1350" s="5" t="s">
        <v>215</v>
      </c>
      <c r="C1350" s="5" t="s">
        <v>216</v>
      </c>
      <c r="D1350" s="2">
        <f t="shared" si="88"/>
        <v>2013</v>
      </c>
      <c r="E1350" s="2">
        <f t="shared" si="89"/>
        <v>2</v>
      </c>
      <c r="F1350" s="3" t="s">
        <v>175</v>
      </c>
      <c r="G1350" s="7">
        <v>41331</v>
      </c>
      <c r="H1350" s="6">
        <v>6593820</v>
      </c>
      <c r="I1350" s="6">
        <v>1619360</v>
      </c>
      <c r="J1350" s="5" t="s">
        <v>188</v>
      </c>
      <c r="K1350" s="1"/>
      <c r="L1350" s="1" t="str">
        <f t="shared" si="90"/>
        <v xml:space="preserve">Ravalen </v>
      </c>
      <c r="M1350" s="5" t="s">
        <v>211</v>
      </c>
      <c r="N1350" s="6">
        <v>1</v>
      </c>
      <c r="O1350" s="6">
        <v>1</v>
      </c>
      <c r="Q1350" s="6">
        <v>1.7</v>
      </c>
      <c r="R1350" s="6">
        <v>0.4</v>
      </c>
      <c r="S1350" s="6">
        <v>3</v>
      </c>
    </row>
    <row r="1351" spans="1:50" x14ac:dyDescent="0.3">
      <c r="A1351" s="6">
        <v>20993</v>
      </c>
      <c r="B1351" s="5" t="s">
        <v>215</v>
      </c>
      <c r="C1351" s="5" t="s">
        <v>216</v>
      </c>
      <c r="D1351" s="2">
        <f t="shared" si="88"/>
        <v>2013</v>
      </c>
      <c r="E1351" s="2">
        <f t="shared" si="89"/>
        <v>2</v>
      </c>
      <c r="F1351" s="3" t="s">
        <v>175</v>
      </c>
      <c r="G1351" s="7">
        <v>41331</v>
      </c>
      <c r="H1351" s="6">
        <v>6593820</v>
      </c>
      <c r="I1351" s="6">
        <v>1619360</v>
      </c>
      <c r="J1351" s="5" t="s">
        <v>188</v>
      </c>
      <c r="K1351" s="1"/>
      <c r="L1351" s="1" t="str">
        <f t="shared" si="90"/>
        <v xml:space="preserve">Ravalen </v>
      </c>
      <c r="M1351" s="1" t="s">
        <v>184</v>
      </c>
      <c r="N1351" s="6">
        <v>2</v>
      </c>
      <c r="O1351" s="6">
        <v>2</v>
      </c>
      <c r="Q1351" s="6">
        <v>2.2999999999999998</v>
      </c>
      <c r="R1351" s="6">
        <v>0.3</v>
      </c>
      <c r="S1351" s="6">
        <v>2</v>
      </c>
      <c r="W1351" s="6">
        <v>276</v>
      </c>
      <c r="Z1351" s="6">
        <v>37.78</v>
      </c>
      <c r="AD1351" s="6">
        <v>0</v>
      </c>
      <c r="AK1351" s="6">
        <v>87.67</v>
      </c>
      <c r="AL1351" s="6">
        <v>1135.568</v>
      </c>
      <c r="AM1351" s="6"/>
      <c r="AN1351" s="6"/>
      <c r="AO1351" s="6"/>
      <c r="AP1351" s="6"/>
      <c r="AQ1351" s="6"/>
    </row>
    <row r="1352" spans="1:50" x14ac:dyDescent="0.3">
      <c r="A1352" s="6">
        <v>20994</v>
      </c>
      <c r="B1352" s="5" t="s">
        <v>215</v>
      </c>
      <c r="C1352" s="5" t="s">
        <v>216</v>
      </c>
      <c r="D1352" s="2">
        <f t="shared" si="88"/>
        <v>2013</v>
      </c>
      <c r="E1352" s="2">
        <f t="shared" si="89"/>
        <v>2</v>
      </c>
      <c r="F1352" s="3" t="s">
        <v>175</v>
      </c>
      <c r="G1352" s="7">
        <v>41331</v>
      </c>
      <c r="H1352" s="6">
        <v>6595470</v>
      </c>
      <c r="I1352" s="6">
        <v>1622370</v>
      </c>
      <c r="J1352" s="5" t="s">
        <v>190</v>
      </c>
      <c r="K1352" s="1"/>
      <c r="L1352" s="1" t="str">
        <f t="shared" si="90"/>
        <v xml:space="preserve">Snuggan </v>
      </c>
      <c r="M1352" s="1" t="s">
        <v>177</v>
      </c>
      <c r="N1352" s="6">
        <v>0.5</v>
      </c>
      <c r="O1352" s="6">
        <v>0.5</v>
      </c>
      <c r="P1352" s="6">
        <v>0.6</v>
      </c>
      <c r="Q1352" s="6">
        <v>0.3</v>
      </c>
      <c r="R1352" s="6">
        <v>9</v>
      </c>
      <c r="S1352" s="6">
        <v>61</v>
      </c>
      <c r="W1352" s="6">
        <v>375</v>
      </c>
      <c r="Z1352" s="6">
        <v>2.34</v>
      </c>
      <c r="AD1352" s="6">
        <v>34.384999999999998</v>
      </c>
      <c r="AI1352" s="6">
        <v>40.299999999999997</v>
      </c>
      <c r="AK1352" s="6">
        <v>22.97</v>
      </c>
      <c r="AL1352" s="6">
        <v>1428.4169999999999</v>
      </c>
      <c r="AM1352" s="6"/>
      <c r="AN1352" s="6"/>
      <c r="AO1352" s="6"/>
      <c r="AP1352" s="6"/>
      <c r="AQ1352" s="6"/>
      <c r="AR1352" s="6">
        <v>3.95</v>
      </c>
      <c r="AT1352" s="6">
        <v>0.497</v>
      </c>
      <c r="AU1352" s="6">
        <v>0.82199999999999895</v>
      </c>
      <c r="AV1352" s="6">
        <v>5.91</v>
      </c>
      <c r="AW1352" s="6">
        <v>4.17</v>
      </c>
      <c r="AX1352" s="6">
        <v>2.5</v>
      </c>
    </row>
    <row r="1353" spans="1:50" x14ac:dyDescent="0.3">
      <c r="A1353" s="6">
        <v>20995</v>
      </c>
      <c r="B1353" s="5" t="s">
        <v>215</v>
      </c>
      <c r="C1353" s="5" t="s">
        <v>216</v>
      </c>
      <c r="D1353" s="2">
        <f t="shared" si="88"/>
        <v>2013</v>
      </c>
      <c r="E1353" s="2">
        <f t="shared" si="89"/>
        <v>2</v>
      </c>
      <c r="F1353" s="3" t="s">
        <v>175</v>
      </c>
      <c r="G1353" s="7">
        <v>41331</v>
      </c>
      <c r="H1353" s="6">
        <v>6595470</v>
      </c>
      <c r="I1353" s="6">
        <v>1622370</v>
      </c>
      <c r="J1353" s="5" t="s">
        <v>190</v>
      </c>
      <c r="K1353" s="1"/>
      <c r="L1353" s="1" t="str">
        <f t="shared" si="90"/>
        <v xml:space="preserve">Snuggan </v>
      </c>
      <c r="M1353" s="5" t="s">
        <v>211</v>
      </c>
      <c r="N1353" s="6">
        <v>1</v>
      </c>
      <c r="O1353" s="6">
        <v>1</v>
      </c>
      <c r="Q1353" s="6">
        <v>1.5</v>
      </c>
      <c r="R1353" s="6">
        <v>8.4</v>
      </c>
      <c r="S1353" s="6">
        <v>59</v>
      </c>
    </row>
    <row r="1354" spans="1:50" x14ac:dyDescent="0.3">
      <c r="A1354" s="6">
        <v>20996</v>
      </c>
      <c r="B1354" s="5" t="s">
        <v>215</v>
      </c>
      <c r="C1354" s="5" t="s">
        <v>216</v>
      </c>
      <c r="D1354" s="2">
        <f t="shared" si="88"/>
        <v>2013</v>
      </c>
      <c r="E1354" s="2">
        <f t="shared" si="89"/>
        <v>2</v>
      </c>
      <c r="F1354" s="3" t="s">
        <v>175</v>
      </c>
      <c r="G1354" s="7">
        <v>41331</v>
      </c>
      <c r="H1354" s="6">
        <v>6595470</v>
      </c>
      <c r="I1354" s="6">
        <v>1622370</v>
      </c>
      <c r="J1354" s="5" t="s">
        <v>190</v>
      </c>
      <c r="K1354" s="1"/>
      <c r="L1354" s="1" t="str">
        <f t="shared" si="90"/>
        <v xml:space="preserve">Snuggan </v>
      </c>
      <c r="M1354" s="5" t="s">
        <v>212</v>
      </c>
      <c r="N1354" s="6">
        <v>2</v>
      </c>
      <c r="O1354" s="6">
        <v>2</v>
      </c>
      <c r="Q1354" s="6">
        <v>3.3</v>
      </c>
      <c r="R1354" s="6">
        <v>4.3</v>
      </c>
      <c r="S1354" s="6">
        <v>32</v>
      </c>
    </row>
    <row r="1355" spans="1:50" x14ac:dyDescent="0.3">
      <c r="A1355" s="6">
        <v>20997</v>
      </c>
      <c r="B1355" s="5" t="s">
        <v>215</v>
      </c>
      <c r="C1355" s="5" t="s">
        <v>216</v>
      </c>
      <c r="D1355" s="2">
        <f t="shared" si="88"/>
        <v>2013</v>
      </c>
      <c r="E1355" s="2">
        <f t="shared" si="89"/>
        <v>2</v>
      </c>
      <c r="F1355" s="3" t="s">
        <v>175</v>
      </c>
      <c r="G1355" s="7">
        <v>41331</v>
      </c>
      <c r="H1355" s="6">
        <v>6595470</v>
      </c>
      <c r="I1355" s="6">
        <v>1622370</v>
      </c>
      <c r="J1355" s="5" t="s">
        <v>190</v>
      </c>
      <c r="K1355" s="1"/>
      <c r="L1355" s="1" t="str">
        <f t="shared" si="90"/>
        <v xml:space="preserve">Snuggan </v>
      </c>
      <c r="M1355" s="1" t="s">
        <v>184</v>
      </c>
      <c r="N1355" s="6">
        <v>3</v>
      </c>
      <c r="O1355" s="6">
        <v>3</v>
      </c>
      <c r="Q1355" s="6">
        <v>4</v>
      </c>
      <c r="R1355" s="6">
        <v>1.5</v>
      </c>
      <c r="S1355" s="6">
        <v>11</v>
      </c>
      <c r="W1355" s="6">
        <v>421</v>
      </c>
      <c r="Z1355" s="6">
        <v>2.4</v>
      </c>
      <c r="AD1355" s="6">
        <v>21.494</v>
      </c>
      <c r="AK1355" s="6">
        <v>33.119999999999997</v>
      </c>
      <c r="AL1355" s="6">
        <v>1477.079</v>
      </c>
      <c r="AM1355" s="6"/>
      <c r="AN1355" s="6"/>
      <c r="AO1355" s="6"/>
      <c r="AP1355" s="6"/>
      <c r="AQ1355" s="6"/>
    </row>
    <row r="1356" spans="1:50" x14ac:dyDescent="0.3">
      <c r="A1356" s="6">
        <v>20998</v>
      </c>
      <c r="B1356" s="5" t="s">
        <v>215</v>
      </c>
      <c r="C1356" s="5" t="s">
        <v>216</v>
      </c>
      <c r="D1356" s="2">
        <f t="shared" si="88"/>
        <v>2013</v>
      </c>
      <c r="E1356" s="2">
        <f t="shared" si="89"/>
        <v>2</v>
      </c>
      <c r="F1356" s="3" t="s">
        <v>175</v>
      </c>
      <c r="G1356" s="7">
        <v>41331</v>
      </c>
      <c r="H1356" s="6">
        <v>6594980</v>
      </c>
      <c r="I1356" s="6">
        <v>1622960</v>
      </c>
      <c r="J1356" s="5" t="s">
        <v>192</v>
      </c>
      <c r="K1356" s="1"/>
      <c r="L1356" s="1" t="str">
        <f t="shared" si="90"/>
        <v xml:space="preserve">Väsjön </v>
      </c>
      <c r="M1356" s="1" t="s">
        <v>177</v>
      </c>
      <c r="N1356" s="6">
        <v>0.5</v>
      </c>
      <c r="O1356" s="6">
        <v>0.5</v>
      </c>
      <c r="P1356" s="6">
        <v>1.5</v>
      </c>
      <c r="Q1356" s="6">
        <v>0.4</v>
      </c>
      <c r="R1356" s="6">
        <v>2.1</v>
      </c>
      <c r="S1356" s="6">
        <v>14</v>
      </c>
      <c r="W1356" s="6">
        <v>186.92400000000001</v>
      </c>
      <c r="Z1356" s="6">
        <v>8.94</v>
      </c>
      <c r="AD1356" s="6">
        <v>89.424999999999997</v>
      </c>
      <c r="AK1356" s="6">
        <v>23.52</v>
      </c>
      <c r="AL1356" s="6">
        <v>908.49900000000002</v>
      </c>
      <c r="AM1356" s="6"/>
      <c r="AN1356" s="6"/>
      <c r="AO1356" s="6"/>
      <c r="AP1356" s="6"/>
      <c r="AQ1356" s="6"/>
    </row>
    <row r="1357" spans="1:50" x14ac:dyDescent="0.3">
      <c r="A1357" s="6">
        <v>20999</v>
      </c>
      <c r="B1357" s="5" t="s">
        <v>215</v>
      </c>
      <c r="C1357" s="5" t="s">
        <v>216</v>
      </c>
      <c r="D1357" s="2">
        <f t="shared" si="88"/>
        <v>2013</v>
      </c>
      <c r="E1357" s="2">
        <f t="shared" si="89"/>
        <v>2</v>
      </c>
      <c r="F1357" s="3" t="s">
        <v>175</v>
      </c>
      <c r="G1357" s="7">
        <v>41331</v>
      </c>
      <c r="H1357" s="6">
        <v>6594980</v>
      </c>
      <c r="I1357" s="6">
        <v>1622960</v>
      </c>
      <c r="J1357" s="5" t="s">
        <v>192</v>
      </c>
      <c r="K1357" s="1"/>
      <c r="L1357" s="1" t="str">
        <f t="shared" si="90"/>
        <v xml:space="preserve">Väsjön </v>
      </c>
      <c r="M1357" s="5" t="s">
        <v>211</v>
      </c>
      <c r="N1357" s="6">
        <v>1</v>
      </c>
      <c r="O1357" s="6">
        <v>1</v>
      </c>
      <c r="Q1357" s="6">
        <v>1.4</v>
      </c>
      <c r="R1357" s="6">
        <v>1.8</v>
      </c>
      <c r="S1357" s="6">
        <v>12</v>
      </c>
    </row>
    <row r="1358" spans="1:50" x14ac:dyDescent="0.3">
      <c r="A1358" s="6">
        <v>21000</v>
      </c>
      <c r="B1358" s="5" t="s">
        <v>215</v>
      </c>
      <c r="C1358" s="5" t="s">
        <v>216</v>
      </c>
      <c r="D1358" s="2">
        <f t="shared" si="88"/>
        <v>2013</v>
      </c>
      <c r="E1358" s="2">
        <f t="shared" si="89"/>
        <v>2</v>
      </c>
      <c r="F1358" s="3" t="s">
        <v>175</v>
      </c>
      <c r="G1358" s="7">
        <v>41331</v>
      </c>
      <c r="H1358" s="6">
        <v>6594980</v>
      </c>
      <c r="I1358" s="6">
        <v>1622960</v>
      </c>
      <c r="J1358" s="5" t="s">
        <v>192</v>
      </c>
      <c r="K1358" s="1"/>
      <c r="L1358" s="1" t="str">
        <f t="shared" si="90"/>
        <v xml:space="preserve">Väsjön </v>
      </c>
      <c r="M1358" s="5" t="s">
        <v>212</v>
      </c>
      <c r="N1358" s="6">
        <v>2</v>
      </c>
      <c r="O1358" s="6">
        <v>2</v>
      </c>
      <c r="Q1358" s="6">
        <v>3.5</v>
      </c>
      <c r="R1358" s="6">
        <v>0.5</v>
      </c>
      <c r="S1358" s="6">
        <v>3</v>
      </c>
    </row>
    <row r="1359" spans="1:50" x14ac:dyDescent="0.3">
      <c r="A1359" s="6">
        <v>21001</v>
      </c>
      <c r="B1359" s="5" t="s">
        <v>215</v>
      </c>
      <c r="C1359" s="5" t="s">
        <v>216</v>
      </c>
      <c r="D1359" s="2">
        <f t="shared" si="88"/>
        <v>2013</v>
      </c>
      <c r="E1359" s="2">
        <f t="shared" si="89"/>
        <v>2</v>
      </c>
      <c r="F1359" s="3" t="s">
        <v>175</v>
      </c>
      <c r="G1359" s="7">
        <v>41331</v>
      </c>
      <c r="H1359" s="6">
        <v>6594980</v>
      </c>
      <c r="I1359" s="6">
        <v>1622960</v>
      </c>
      <c r="J1359" s="5" t="s">
        <v>192</v>
      </c>
      <c r="K1359" s="1"/>
      <c r="L1359" s="1" t="str">
        <f t="shared" si="90"/>
        <v xml:space="preserve">Väsjön </v>
      </c>
      <c r="M1359" s="1" t="s">
        <v>184</v>
      </c>
      <c r="N1359" s="6">
        <v>2.5</v>
      </c>
      <c r="O1359" s="6">
        <v>2.5</v>
      </c>
      <c r="Q1359" s="6">
        <v>5</v>
      </c>
      <c r="R1359" s="6">
        <v>0.3</v>
      </c>
      <c r="S1359" s="6">
        <v>2</v>
      </c>
      <c r="W1359" s="6">
        <v>296</v>
      </c>
      <c r="Z1359" s="6">
        <v>20.54</v>
      </c>
      <c r="AD1359" s="6">
        <v>18.805</v>
      </c>
      <c r="AK1359" s="6">
        <v>43.17</v>
      </c>
      <c r="AL1359" s="6">
        <v>999.12199999999996</v>
      </c>
      <c r="AM1359" s="6"/>
      <c r="AN1359" s="6"/>
      <c r="AO1359" s="6"/>
      <c r="AP1359" s="6"/>
      <c r="AQ1359" s="6"/>
    </row>
    <row r="1360" spans="1:50" x14ac:dyDescent="0.3">
      <c r="A1360" s="6">
        <v>21002</v>
      </c>
      <c r="B1360" s="5" t="s">
        <v>215</v>
      </c>
      <c r="C1360" s="5" t="s">
        <v>216</v>
      </c>
      <c r="D1360" s="2">
        <f t="shared" si="88"/>
        <v>2013</v>
      </c>
      <c r="E1360" s="2">
        <f t="shared" si="89"/>
        <v>2</v>
      </c>
      <c r="F1360" s="3" t="s">
        <v>175</v>
      </c>
      <c r="G1360" s="7">
        <v>41331</v>
      </c>
      <c r="H1360" s="6">
        <v>6593820</v>
      </c>
      <c r="I1360" s="6">
        <v>1624215</v>
      </c>
      <c r="J1360" s="5" t="s">
        <v>189</v>
      </c>
      <c r="K1360" s="1"/>
      <c r="L1360" s="1" t="str">
        <f t="shared" si="90"/>
        <v xml:space="preserve">Rösjön </v>
      </c>
      <c r="M1360" s="1" t="s">
        <v>177</v>
      </c>
      <c r="N1360" s="6">
        <v>0.5</v>
      </c>
      <c r="O1360" s="6">
        <v>0.5</v>
      </c>
      <c r="P1360" s="6">
        <v>3.5</v>
      </c>
      <c r="Q1360" s="6">
        <v>0.1</v>
      </c>
      <c r="R1360" s="6">
        <v>10.4</v>
      </c>
      <c r="S1360" s="6">
        <v>70</v>
      </c>
      <c r="W1360" s="6">
        <v>2.2879999999999998</v>
      </c>
      <c r="Z1360" s="6">
        <v>9.89</v>
      </c>
      <c r="AD1360" s="6">
        <v>282.089</v>
      </c>
      <c r="AK1360" s="6">
        <v>24.2</v>
      </c>
      <c r="AL1360" s="6">
        <v>803.68600000000004</v>
      </c>
      <c r="AM1360" s="6"/>
      <c r="AN1360" s="6"/>
      <c r="AO1360" s="6"/>
      <c r="AP1360" s="6"/>
      <c r="AQ1360" s="6"/>
    </row>
    <row r="1361" spans="1:43" x14ac:dyDescent="0.3">
      <c r="A1361" s="6">
        <v>21003</v>
      </c>
      <c r="B1361" s="5" t="s">
        <v>215</v>
      </c>
      <c r="C1361" s="5" t="s">
        <v>216</v>
      </c>
      <c r="D1361" s="2">
        <f t="shared" si="88"/>
        <v>2013</v>
      </c>
      <c r="E1361" s="2">
        <f t="shared" si="89"/>
        <v>2</v>
      </c>
      <c r="F1361" s="3" t="s">
        <v>175</v>
      </c>
      <c r="G1361" s="7">
        <v>41331</v>
      </c>
      <c r="H1361" s="6">
        <v>6593820</v>
      </c>
      <c r="I1361" s="6">
        <v>1624215</v>
      </c>
      <c r="J1361" s="5" t="s">
        <v>189</v>
      </c>
      <c r="K1361" s="1"/>
      <c r="L1361" s="1" t="str">
        <f t="shared" si="90"/>
        <v xml:space="preserve">Rösjön </v>
      </c>
      <c r="M1361" s="5" t="s">
        <v>211</v>
      </c>
      <c r="N1361" s="6">
        <v>1</v>
      </c>
      <c r="O1361" s="6">
        <v>1</v>
      </c>
      <c r="Q1361" s="6">
        <v>0.9</v>
      </c>
      <c r="R1361" s="6">
        <v>10.199999999999999</v>
      </c>
      <c r="S1361" s="6">
        <v>70</v>
      </c>
    </row>
    <row r="1362" spans="1:43" x14ac:dyDescent="0.3">
      <c r="A1362" s="6">
        <v>21004</v>
      </c>
      <c r="B1362" s="5" t="s">
        <v>215</v>
      </c>
      <c r="C1362" s="5" t="s">
        <v>216</v>
      </c>
      <c r="D1362" s="2">
        <f t="shared" si="88"/>
        <v>2013</v>
      </c>
      <c r="E1362" s="2">
        <f t="shared" si="89"/>
        <v>2</v>
      </c>
      <c r="F1362" s="3" t="s">
        <v>175</v>
      </c>
      <c r="G1362" s="7">
        <v>41331</v>
      </c>
      <c r="H1362" s="6">
        <v>6593820</v>
      </c>
      <c r="I1362" s="6">
        <v>1624215</v>
      </c>
      <c r="J1362" s="5" t="s">
        <v>189</v>
      </c>
      <c r="K1362" s="1"/>
      <c r="L1362" s="1" t="str">
        <f t="shared" si="90"/>
        <v xml:space="preserve">Rösjön </v>
      </c>
      <c r="M1362" s="5" t="s">
        <v>212</v>
      </c>
      <c r="N1362" s="6">
        <v>2</v>
      </c>
      <c r="O1362" s="6">
        <v>2</v>
      </c>
      <c r="Q1362" s="6">
        <v>1.9</v>
      </c>
      <c r="R1362" s="6">
        <v>10</v>
      </c>
      <c r="S1362" s="6">
        <v>71</v>
      </c>
    </row>
    <row r="1363" spans="1:43" x14ac:dyDescent="0.3">
      <c r="A1363" s="6">
        <v>21005</v>
      </c>
      <c r="B1363" s="5" t="s">
        <v>215</v>
      </c>
      <c r="C1363" s="5" t="s">
        <v>216</v>
      </c>
      <c r="D1363" s="2">
        <f t="shared" si="88"/>
        <v>2013</v>
      </c>
      <c r="E1363" s="2">
        <f t="shared" si="89"/>
        <v>2</v>
      </c>
      <c r="F1363" s="3" t="s">
        <v>175</v>
      </c>
      <c r="G1363" s="7">
        <v>41331</v>
      </c>
      <c r="H1363" s="6">
        <v>6593820</v>
      </c>
      <c r="I1363" s="6">
        <v>1624215</v>
      </c>
      <c r="J1363" s="5" t="s">
        <v>189</v>
      </c>
      <c r="K1363" s="1"/>
      <c r="L1363" s="1" t="str">
        <f t="shared" si="90"/>
        <v xml:space="preserve">Rösjön </v>
      </c>
      <c r="M1363" s="5" t="s">
        <v>213</v>
      </c>
      <c r="N1363" s="6">
        <v>3</v>
      </c>
      <c r="O1363" s="6">
        <v>3</v>
      </c>
      <c r="Q1363" s="6">
        <v>3</v>
      </c>
      <c r="R1363" s="6">
        <v>8.1999999999999993</v>
      </c>
      <c r="S1363" s="6">
        <v>60</v>
      </c>
    </row>
    <row r="1364" spans="1:43" x14ac:dyDescent="0.3">
      <c r="A1364" s="6">
        <v>21006</v>
      </c>
      <c r="B1364" s="5" t="s">
        <v>215</v>
      </c>
      <c r="C1364" s="5" t="s">
        <v>216</v>
      </c>
      <c r="D1364" s="2">
        <f t="shared" si="88"/>
        <v>2013</v>
      </c>
      <c r="E1364" s="2">
        <f t="shared" si="89"/>
        <v>2</v>
      </c>
      <c r="F1364" s="3" t="s">
        <v>175</v>
      </c>
      <c r="G1364" s="7">
        <v>41331</v>
      </c>
      <c r="H1364" s="6">
        <v>6593820</v>
      </c>
      <c r="I1364" s="6">
        <v>1624215</v>
      </c>
      <c r="J1364" s="5" t="s">
        <v>189</v>
      </c>
      <c r="K1364" s="1"/>
      <c r="L1364" s="1" t="str">
        <f t="shared" si="90"/>
        <v xml:space="preserve">Rösjön </v>
      </c>
      <c r="M1364" s="5" t="s">
        <v>214</v>
      </c>
      <c r="N1364" s="6">
        <v>4</v>
      </c>
      <c r="O1364" s="6">
        <v>4</v>
      </c>
      <c r="Q1364" s="6">
        <v>4.0999999999999996</v>
      </c>
      <c r="R1364" s="6">
        <v>3.2</v>
      </c>
      <c r="S1364" s="6">
        <v>24</v>
      </c>
    </row>
    <row r="1365" spans="1:43" x14ac:dyDescent="0.3">
      <c r="A1365" s="6">
        <v>21007</v>
      </c>
      <c r="B1365" s="5" t="s">
        <v>215</v>
      </c>
      <c r="C1365" s="5" t="s">
        <v>216</v>
      </c>
      <c r="D1365" s="2">
        <f t="shared" si="88"/>
        <v>2013</v>
      </c>
      <c r="E1365" s="2">
        <f t="shared" si="89"/>
        <v>2</v>
      </c>
      <c r="F1365" s="3" t="s">
        <v>175</v>
      </c>
      <c r="G1365" s="7">
        <v>41331</v>
      </c>
      <c r="H1365" s="6">
        <v>6593820</v>
      </c>
      <c r="I1365" s="6">
        <v>1624215</v>
      </c>
      <c r="J1365" s="5" t="s">
        <v>189</v>
      </c>
      <c r="K1365" s="1"/>
      <c r="L1365" s="1" t="str">
        <f t="shared" si="90"/>
        <v xml:space="preserve">Rösjön </v>
      </c>
      <c r="M1365" s="5" t="s">
        <v>217</v>
      </c>
      <c r="N1365" s="6">
        <v>5</v>
      </c>
      <c r="O1365" s="6">
        <v>5</v>
      </c>
      <c r="Q1365" s="6">
        <v>4.5999999999999996</v>
      </c>
      <c r="R1365" s="6">
        <v>1.6</v>
      </c>
      <c r="S1365" s="6">
        <v>12</v>
      </c>
    </row>
    <row r="1366" spans="1:43" x14ac:dyDescent="0.3">
      <c r="A1366" s="6">
        <v>21008</v>
      </c>
      <c r="B1366" s="5" t="s">
        <v>215</v>
      </c>
      <c r="C1366" s="5" t="s">
        <v>216</v>
      </c>
      <c r="D1366" s="2">
        <f t="shared" si="88"/>
        <v>2013</v>
      </c>
      <c r="E1366" s="2">
        <f t="shared" si="89"/>
        <v>2</v>
      </c>
      <c r="F1366" s="3" t="s">
        <v>175</v>
      </c>
      <c r="G1366" s="7">
        <v>41331</v>
      </c>
      <c r="H1366" s="6">
        <v>6593820</v>
      </c>
      <c r="I1366" s="6">
        <v>1624215</v>
      </c>
      <c r="J1366" s="5" t="s">
        <v>189</v>
      </c>
      <c r="K1366" s="1"/>
      <c r="L1366" s="1" t="str">
        <f t="shared" si="90"/>
        <v xml:space="preserve">Rösjön </v>
      </c>
      <c r="M1366" s="5" t="s">
        <v>218</v>
      </c>
      <c r="N1366" s="6">
        <v>6</v>
      </c>
      <c r="O1366" s="6">
        <v>6</v>
      </c>
      <c r="Q1366" s="6">
        <v>5</v>
      </c>
      <c r="R1366" s="6">
        <v>0.4</v>
      </c>
      <c r="S1366" s="6">
        <v>3</v>
      </c>
    </row>
    <row r="1367" spans="1:43" x14ac:dyDescent="0.3">
      <c r="A1367" s="6">
        <v>21009</v>
      </c>
      <c r="B1367" s="5" t="s">
        <v>215</v>
      </c>
      <c r="C1367" s="5" t="s">
        <v>216</v>
      </c>
      <c r="D1367" s="2">
        <f t="shared" si="88"/>
        <v>2013</v>
      </c>
      <c r="E1367" s="2">
        <f t="shared" si="89"/>
        <v>2</v>
      </c>
      <c r="F1367" s="3" t="s">
        <v>175</v>
      </c>
      <c r="G1367" s="7">
        <v>41331</v>
      </c>
      <c r="H1367" s="6">
        <v>6593820</v>
      </c>
      <c r="I1367" s="6">
        <v>1624215</v>
      </c>
      <c r="J1367" s="5" t="s">
        <v>189</v>
      </c>
      <c r="K1367" s="1"/>
      <c r="L1367" s="1" t="str">
        <f t="shared" si="90"/>
        <v xml:space="preserve">Rösjön </v>
      </c>
      <c r="M1367" s="1" t="s">
        <v>184</v>
      </c>
      <c r="N1367" s="6">
        <v>7</v>
      </c>
      <c r="O1367" s="6">
        <v>7</v>
      </c>
      <c r="Q1367" s="6">
        <v>5.4</v>
      </c>
      <c r="R1367" s="6">
        <v>0.3</v>
      </c>
      <c r="S1367" s="6">
        <v>2</v>
      </c>
      <c r="W1367" s="6">
        <v>256</v>
      </c>
      <c r="Z1367" s="6">
        <v>73.099999999999994</v>
      </c>
      <c r="AD1367" s="6">
        <v>187.53800000000001</v>
      </c>
      <c r="AK1367" s="6">
        <v>97.12</v>
      </c>
      <c r="AL1367" s="6">
        <v>1001.253</v>
      </c>
      <c r="AM1367" s="6"/>
      <c r="AN1367" s="6"/>
      <c r="AO1367" s="6"/>
      <c r="AP1367" s="6"/>
      <c r="AQ1367" s="6"/>
    </row>
    <row r="1368" spans="1:43" x14ac:dyDescent="0.3">
      <c r="A1368" s="6">
        <v>21010</v>
      </c>
      <c r="B1368" s="5" t="s">
        <v>215</v>
      </c>
      <c r="C1368" s="5" t="s">
        <v>216</v>
      </c>
      <c r="D1368" s="2">
        <f t="shared" si="88"/>
        <v>2013</v>
      </c>
      <c r="E1368" s="2">
        <f t="shared" si="89"/>
        <v>2</v>
      </c>
      <c r="F1368" s="3" t="s">
        <v>175</v>
      </c>
      <c r="G1368" s="7">
        <v>41331</v>
      </c>
      <c r="H1368" s="6">
        <v>6595400</v>
      </c>
      <c r="I1368" s="6">
        <v>1624045</v>
      </c>
      <c r="J1368" s="5" t="s">
        <v>183</v>
      </c>
      <c r="K1368" s="1"/>
      <c r="L1368" s="1" t="str">
        <f t="shared" si="90"/>
        <v xml:space="preserve">Fjäturen </v>
      </c>
      <c r="M1368" s="1" t="s">
        <v>177</v>
      </c>
      <c r="N1368" s="6">
        <v>0.5</v>
      </c>
      <c r="O1368" s="6">
        <v>0.5</v>
      </c>
      <c r="P1368" s="6">
        <v>1.6</v>
      </c>
      <c r="Q1368" s="6">
        <v>0.3</v>
      </c>
      <c r="R1368" s="6">
        <v>10.4</v>
      </c>
      <c r="S1368" s="6">
        <v>71</v>
      </c>
      <c r="W1368" s="6">
        <v>6.9640000000000004</v>
      </c>
      <c r="Z1368" s="6">
        <v>6.36</v>
      </c>
      <c r="AD1368" s="6">
        <v>327.23099999999999</v>
      </c>
      <c r="AK1368" s="6">
        <v>21.44</v>
      </c>
      <c r="AL1368" s="6">
        <v>1062.095</v>
      </c>
      <c r="AM1368" s="6"/>
      <c r="AN1368" s="6"/>
      <c r="AO1368" s="6"/>
      <c r="AP1368" s="6"/>
      <c r="AQ1368" s="6"/>
    </row>
    <row r="1369" spans="1:43" x14ac:dyDescent="0.3">
      <c r="A1369" s="6">
        <v>21011</v>
      </c>
      <c r="B1369" s="5" t="s">
        <v>215</v>
      </c>
      <c r="C1369" s="5" t="s">
        <v>216</v>
      </c>
      <c r="D1369" s="2">
        <f t="shared" si="88"/>
        <v>2013</v>
      </c>
      <c r="E1369" s="2">
        <f t="shared" si="89"/>
        <v>2</v>
      </c>
      <c r="F1369" s="3" t="s">
        <v>175</v>
      </c>
      <c r="G1369" s="7">
        <v>41331</v>
      </c>
      <c r="H1369" s="6">
        <v>6595400</v>
      </c>
      <c r="I1369" s="6">
        <v>1624045</v>
      </c>
      <c r="J1369" s="5" t="s">
        <v>183</v>
      </c>
      <c r="K1369" s="1"/>
      <c r="L1369" s="1" t="str">
        <f t="shared" si="90"/>
        <v xml:space="preserve">Fjäturen </v>
      </c>
      <c r="M1369" s="5" t="s">
        <v>211</v>
      </c>
      <c r="N1369" s="6">
        <v>1</v>
      </c>
      <c r="O1369" s="6">
        <v>1</v>
      </c>
      <c r="Q1369" s="6">
        <v>0.8</v>
      </c>
      <c r="R1369" s="6">
        <v>10.1</v>
      </c>
      <c r="S1369" s="6">
        <v>70</v>
      </c>
    </row>
    <row r="1370" spans="1:43" x14ac:dyDescent="0.3">
      <c r="A1370" s="6">
        <v>21012</v>
      </c>
      <c r="B1370" s="5" t="s">
        <v>215</v>
      </c>
      <c r="C1370" s="5" t="s">
        <v>216</v>
      </c>
      <c r="D1370" s="2">
        <f t="shared" si="88"/>
        <v>2013</v>
      </c>
      <c r="E1370" s="2">
        <f t="shared" si="89"/>
        <v>2</v>
      </c>
      <c r="F1370" s="3" t="s">
        <v>175</v>
      </c>
      <c r="G1370" s="7">
        <v>41331</v>
      </c>
      <c r="H1370" s="6">
        <v>6595400</v>
      </c>
      <c r="I1370" s="6">
        <v>1624045</v>
      </c>
      <c r="J1370" s="5" t="s">
        <v>183</v>
      </c>
      <c r="K1370" s="1"/>
      <c r="L1370" s="1" t="str">
        <f t="shared" si="90"/>
        <v xml:space="preserve">Fjäturen </v>
      </c>
      <c r="M1370" s="5" t="s">
        <v>212</v>
      </c>
      <c r="N1370" s="6">
        <v>2</v>
      </c>
      <c r="O1370" s="6">
        <v>2</v>
      </c>
      <c r="Q1370" s="6">
        <v>2</v>
      </c>
      <c r="R1370" s="6">
        <v>8.6999999999999993</v>
      </c>
      <c r="S1370" s="6">
        <v>62</v>
      </c>
    </row>
    <row r="1371" spans="1:43" x14ac:dyDescent="0.3">
      <c r="A1371" s="6">
        <v>21013</v>
      </c>
      <c r="B1371" s="5" t="s">
        <v>215</v>
      </c>
      <c r="C1371" s="5" t="s">
        <v>216</v>
      </c>
      <c r="D1371" s="2">
        <f t="shared" si="88"/>
        <v>2013</v>
      </c>
      <c r="E1371" s="2">
        <f t="shared" si="89"/>
        <v>2</v>
      </c>
      <c r="F1371" s="3" t="s">
        <v>175</v>
      </c>
      <c r="G1371" s="7">
        <v>41331</v>
      </c>
      <c r="H1371" s="6">
        <v>6595400</v>
      </c>
      <c r="I1371" s="6">
        <v>1624045</v>
      </c>
      <c r="J1371" s="5" t="s">
        <v>183</v>
      </c>
      <c r="K1371" s="1"/>
      <c r="L1371" s="1" t="str">
        <f t="shared" si="90"/>
        <v xml:space="preserve">Fjäturen </v>
      </c>
      <c r="M1371" s="5" t="s">
        <v>213</v>
      </c>
      <c r="N1371" s="6">
        <v>3</v>
      </c>
      <c r="O1371" s="6">
        <v>3</v>
      </c>
      <c r="Q1371" s="6">
        <v>2.8</v>
      </c>
      <c r="R1371" s="6">
        <v>6.4</v>
      </c>
      <c r="S1371" s="6">
        <v>46</v>
      </c>
    </row>
    <row r="1372" spans="1:43" x14ac:dyDescent="0.3">
      <c r="A1372" s="6">
        <v>21014</v>
      </c>
      <c r="B1372" s="5" t="s">
        <v>215</v>
      </c>
      <c r="C1372" s="5" t="s">
        <v>216</v>
      </c>
      <c r="D1372" s="2">
        <f t="shared" si="88"/>
        <v>2013</v>
      </c>
      <c r="E1372" s="2">
        <f t="shared" si="89"/>
        <v>2</v>
      </c>
      <c r="F1372" s="3" t="s">
        <v>175</v>
      </c>
      <c r="G1372" s="7">
        <v>41331</v>
      </c>
      <c r="H1372" s="6">
        <v>6595400</v>
      </c>
      <c r="I1372" s="6">
        <v>1624045</v>
      </c>
      <c r="J1372" s="5" t="s">
        <v>183</v>
      </c>
      <c r="K1372" s="1"/>
      <c r="L1372" s="1" t="str">
        <f t="shared" si="90"/>
        <v xml:space="preserve">Fjäturen </v>
      </c>
      <c r="M1372" s="5" t="s">
        <v>214</v>
      </c>
      <c r="N1372" s="6">
        <v>4</v>
      </c>
      <c r="O1372" s="6">
        <v>4</v>
      </c>
      <c r="Q1372" s="6">
        <v>3.3</v>
      </c>
      <c r="R1372" s="6">
        <v>4.5999999999999996</v>
      </c>
      <c r="S1372" s="6">
        <v>34</v>
      </c>
    </row>
    <row r="1373" spans="1:43" x14ac:dyDescent="0.3">
      <c r="A1373" s="6">
        <v>21015</v>
      </c>
      <c r="B1373" s="5" t="s">
        <v>215</v>
      </c>
      <c r="C1373" s="5" t="s">
        <v>216</v>
      </c>
      <c r="D1373" s="2">
        <f t="shared" si="88"/>
        <v>2013</v>
      </c>
      <c r="E1373" s="2">
        <f t="shared" si="89"/>
        <v>2</v>
      </c>
      <c r="F1373" s="3" t="s">
        <v>175</v>
      </c>
      <c r="G1373" s="7">
        <v>41331</v>
      </c>
      <c r="H1373" s="6">
        <v>6595400</v>
      </c>
      <c r="I1373" s="6">
        <v>1624045</v>
      </c>
      <c r="J1373" s="5" t="s">
        <v>183</v>
      </c>
      <c r="K1373" s="1"/>
      <c r="L1373" s="1" t="str">
        <f t="shared" si="90"/>
        <v xml:space="preserve">Fjäturen </v>
      </c>
      <c r="M1373" s="5" t="s">
        <v>217</v>
      </c>
      <c r="N1373" s="6">
        <v>5</v>
      </c>
      <c r="O1373" s="6">
        <v>5</v>
      </c>
      <c r="Q1373" s="6">
        <v>3.5</v>
      </c>
      <c r="R1373" s="6">
        <v>3.4</v>
      </c>
      <c r="S1373" s="6">
        <v>25</v>
      </c>
    </row>
    <row r="1374" spans="1:43" x14ac:dyDescent="0.3">
      <c r="A1374" s="6">
        <v>21016</v>
      </c>
      <c r="B1374" s="5" t="s">
        <v>215</v>
      </c>
      <c r="C1374" s="5" t="s">
        <v>216</v>
      </c>
      <c r="D1374" s="2">
        <f t="shared" si="88"/>
        <v>2013</v>
      </c>
      <c r="E1374" s="2">
        <f t="shared" si="89"/>
        <v>2</v>
      </c>
      <c r="F1374" s="3" t="s">
        <v>175</v>
      </c>
      <c r="G1374" s="7">
        <v>41331</v>
      </c>
      <c r="H1374" s="6">
        <v>6595400</v>
      </c>
      <c r="I1374" s="6">
        <v>1624045</v>
      </c>
      <c r="J1374" s="5" t="s">
        <v>183</v>
      </c>
      <c r="K1374" s="1"/>
      <c r="L1374" s="1" t="str">
        <f t="shared" si="90"/>
        <v xml:space="preserve">Fjäturen </v>
      </c>
      <c r="M1374" s="5" t="s">
        <v>218</v>
      </c>
      <c r="N1374" s="6">
        <v>6</v>
      </c>
      <c r="O1374" s="6">
        <v>6</v>
      </c>
      <c r="Q1374" s="6">
        <v>4</v>
      </c>
      <c r="R1374" s="6">
        <v>0.9</v>
      </c>
      <c r="S1374" s="6">
        <v>7</v>
      </c>
    </row>
    <row r="1375" spans="1:43" x14ac:dyDescent="0.3">
      <c r="A1375" s="6">
        <v>21017</v>
      </c>
      <c r="B1375" s="5" t="s">
        <v>215</v>
      </c>
      <c r="C1375" s="5" t="s">
        <v>216</v>
      </c>
      <c r="D1375" s="2">
        <f t="shared" si="88"/>
        <v>2013</v>
      </c>
      <c r="E1375" s="2">
        <f t="shared" si="89"/>
        <v>2</v>
      </c>
      <c r="F1375" s="3" t="s">
        <v>175</v>
      </c>
      <c r="G1375" s="7">
        <v>41331</v>
      </c>
      <c r="H1375" s="6">
        <v>6595400</v>
      </c>
      <c r="I1375" s="6">
        <v>1624045</v>
      </c>
      <c r="J1375" s="5" t="s">
        <v>183</v>
      </c>
      <c r="K1375" s="1"/>
      <c r="L1375" s="1" t="str">
        <f t="shared" si="90"/>
        <v xml:space="preserve">Fjäturen </v>
      </c>
      <c r="M1375" s="1" t="s">
        <v>184</v>
      </c>
      <c r="N1375" s="6">
        <v>7</v>
      </c>
      <c r="O1375" s="6">
        <v>7</v>
      </c>
      <c r="Q1375" s="6">
        <v>4.2</v>
      </c>
      <c r="R1375" s="6">
        <v>0.3</v>
      </c>
      <c r="S1375" s="6">
        <v>3</v>
      </c>
      <c r="W1375" s="6">
        <v>35.218000000000004</v>
      </c>
      <c r="Z1375" s="6">
        <v>16.02</v>
      </c>
      <c r="AD1375" s="6">
        <v>331.97</v>
      </c>
      <c r="AK1375" s="6">
        <v>28.43</v>
      </c>
      <c r="AL1375" s="6">
        <v>975.95500000000004</v>
      </c>
      <c r="AM1375" s="6"/>
      <c r="AN1375" s="6"/>
      <c r="AO1375" s="6"/>
      <c r="AP1375" s="6"/>
      <c r="AQ1375" s="6"/>
    </row>
    <row r="1376" spans="1:43" x14ac:dyDescent="0.3">
      <c r="A1376" s="6">
        <v>21018</v>
      </c>
      <c r="B1376" s="5" t="s">
        <v>215</v>
      </c>
      <c r="C1376" s="5" t="s">
        <v>216</v>
      </c>
      <c r="D1376" s="2">
        <f t="shared" si="88"/>
        <v>2013</v>
      </c>
      <c r="E1376" s="2">
        <f t="shared" si="89"/>
        <v>2</v>
      </c>
      <c r="F1376" s="3" t="s">
        <v>175</v>
      </c>
      <c r="G1376" s="7">
        <v>41331</v>
      </c>
      <c r="H1376" s="6">
        <v>6594430</v>
      </c>
      <c r="I1376" s="6">
        <v>1625370</v>
      </c>
      <c r="J1376" s="5" t="s">
        <v>201</v>
      </c>
      <c r="K1376" s="1"/>
      <c r="L1376" s="1" t="str">
        <f t="shared" si="90"/>
        <v xml:space="preserve">Mörtsjön </v>
      </c>
      <c r="M1376" s="1" t="s">
        <v>177</v>
      </c>
      <c r="N1376" s="6">
        <v>0.5</v>
      </c>
      <c r="O1376" s="6">
        <v>0.5</v>
      </c>
      <c r="P1376" s="6">
        <v>0.9</v>
      </c>
      <c r="Q1376" s="6">
        <v>0.4</v>
      </c>
      <c r="R1376" s="6">
        <v>3.8</v>
      </c>
      <c r="S1376" s="6">
        <v>26</v>
      </c>
      <c r="W1376" s="6">
        <v>59.165999999999997</v>
      </c>
      <c r="Z1376" s="6">
        <v>11.6</v>
      </c>
      <c r="AD1376" s="6">
        <v>642.125</v>
      </c>
      <c r="AK1376" s="6">
        <v>28.87</v>
      </c>
      <c r="AL1376" s="6">
        <v>1627.4839999999999</v>
      </c>
      <c r="AM1376" s="6"/>
      <c r="AN1376" s="6"/>
      <c r="AO1376" s="6"/>
      <c r="AP1376" s="6"/>
      <c r="AQ1376" s="6"/>
    </row>
    <row r="1377" spans="1:43" x14ac:dyDescent="0.3">
      <c r="A1377" s="6">
        <v>21019</v>
      </c>
      <c r="B1377" s="5" t="s">
        <v>215</v>
      </c>
      <c r="C1377" s="5" t="s">
        <v>216</v>
      </c>
      <c r="D1377" s="2">
        <f t="shared" si="88"/>
        <v>2013</v>
      </c>
      <c r="E1377" s="2">
        <f t="shared" si="89"/>
        <v>2</v>
      </c>
      <c r="F1377" s="3" t="s">
        <v>175</v>
      </c>
      <c r="G1377" s="7">
        <v>41331</v>
      </c>
      <c r="H1377" s="6">
        <v>6594430</v>
      </c>
      <c r="I1377" s="6">
        <v>1625370</v>
      </c>
      <c r="J1377" s="5" t="s">
        <v>201</v>
      </c>
      <c r="K1377" s="1"/>
      <c r="L1377" s="1" t="str">
        <f t="shared" si="90"/>
        <v xml:space="preserve">Mörtsjön </v>
      </c>
      <c r="M1377" s="5" t="s">
        <v>211</v>
      </c>
      <c r="N1377" s="6">
        <v>1</v>
      </c>
      <c r="O1377" s="6">
        <v>1</v>
      </c>
      <c r="Q1377" s="6">
        <v>2.1</v>
      </c>
      <c r="R1377" s="6">
        <v>3.6</v>
      </c>
      <c r="S1377" s="6">
        <v>26</v>
      </c>
    </row>
    <row r="1378" spans="1:43" x14ac:dyDescent="0.3">
      <c r="A1378" s="6">
        <v>21020</v>
      </c>
      <c r="B1378" s="5" t="s">
        <v>215</v>
      </c>
      <c r="C1378" s="5" t="s">
        <v>216</v>
      </c>
      <c r="D1378" s="2">
        <f t="shared" si="88"/>
        <v>2013</v>
      </c>
      <c r="E1378" s="2">
        <f t="shared" si="89"/>
        <v>2</v>
      </c>
      <c r="F1378" s="3" t="s">
        <v>175</v>
      </c>
      <c r="G1378" s="7">
        <v>41331</v>
      </c>
      <c r="H1378" s="6">
        <v>6594430</v>
      </c>
      <c r="I1378" s="6">
        <v>1625370</v>
      </c>
      <c r="J1378" s="5" t="s">
        <v>201</v>
      </c>
      <c r="K1378" s="1"/>
      <c r="L1378" s="1" t="str">
        <f t="shared" si="90"/>
        <v xml:space="preserve">Mörtsjön </v>
      </c>
      <c r="M1378" s="5" t="s">
        <v>212</v>
      </c>
      <c r="N1378" s="6">
        <v>2</v>
      </c>
      <c r="O1378" s="6">
        <v>2</v>
      </c>
      <c r="Q1378" s="6">
        <v>4</v>
      </c>
      <c r="R1378" s="6">
        <v>1.2</v>
      </c>
      <c r="S1378" s="6">
        <v>9</v>
      </c>
    </row>
    <row r="1379" spans="1:43" x14ac:dyDescent="0.3">
      <c r="A1379" s="6">
        <v>21021</v>
      </c>
      <c r="B1379" s="5" t="s">
        <v>215</v>
      </c>
      <c r="C1379" s="5" t="s">
        <v>216</v>
      </c>
      <c r="D1379" s="2">
        <f t="shared" si="88"/>
        <v>2013</v>
      </c>
      <c r="E1379" s="2">
        <f t="shared" si="89"/>
        <v>2</v>
      </c>
      <c r="F1379" s="3" t="s">
        <v>175</v>
      </c>
      <c r="G1379" s="7">
        <v>41331</v>
      </c>
      <c r="H1379" s="6">
        <v>6594430</v>
      </c>
      <c r="I1379" s="6">
        <v>1625370</v>
      </c>
      <c r="J1379" s="5" t="s">
        <v>201</v>
      </c>
      <c r="K1379" s="1"/>
      <c r="L1379" s="1" t="str">
        <f t="shared" si="90"/>
        <v xml:space="preserve">Mörtsjön </v>
      </c>
      <c r="M1379" s="5" t="s">
        <v>213</v>
      </c>
      <c r="N1379" s="6">
        <v>3</v>
      </c>
      <c r="O1379" s="6">
        <v>3</v>
      </c>
      <c r="Q1379" s="6">
        <v>4.3</v>
      </c>
      <c r="R1379" s="6">
        <v>0.8</v>
      </c>
      <c r="S1379" s="6">
        <v>6</v>
      </c>
    </row>
    <row r="1380" spans="1:43" x14ac:dyDescent="0.3">
      <c r="A1380" s="6">
        <v>21022</v>
      </c>
      <c r="B1380" s="5" t="s">
        <v>215</v>
      </c>
      <c r="C1380" s="5" t="s">
        <v>216</v>
      </c>
      <c r="D1380" s="2">
        <f t="shared" si="88"/>
        <v>2013</v>
      </c>
      <c r="E1380" s="2">
        <f t="shared" si="89"/>
        <v>2</v>
      </c>
      <c r="F1380" s="3" t="s">
        <v>175</v>
      </c>
      <c r="G1380" s="7">
        <v>41331</v>
      </c>
      <c r="H1380" s="6">
        <v>6594430</v>
      </c>
      <c r="I1380" s="6">
        <v>1625370</v>
      </c>
      <c r="J1380" s="5" t="s">
        <v>201</v>
      </c>
      <c r="K1380" s="1"/>
      <c r="L1380" s="1" t="str">
        <f t="shared" si="90"/>
        <v xml:space="preserve">Mörtsjön </v>
      </c>
      <c r="M1380" s="1" t="s">
        <v>184</v>
      </c>
      <c r="N1380" s="6">
        <v>4</v>
      </c>
      <c r="O1380" s="6">
        <v>4</v>
      </c>
      <c r="Q1380" s="6">
        <v>4.5999999999999996</v>
      </c>
      <c r="R1380" s="6">
        <v>0.8</v>
      </c>
      <c r="S1380" s="6">
        <v>6</v>
      </c>
      <c r="W1380" s="6">
        <v>68.177000000000007</v>
      </c>
      <c r="Z1380" s="6">
        <v>19.11</v>
      </c>
      <c r="AD1380" s="6">
        <v>923.81700000000001</v>
      </c>
      <c r="AK1380" s="6">
        <v>33.159999999999997</v>
      </c>
      <c r="AL1380" s="6">
        <v>1666.8489999999999</v>
      </c>
      <c r="AM1380" s="6"/>
      <c r="AN1380" s="6"/>
      <c r="AO1380" s="6"/>
      <c r="AP1380" s="6"/>
      <c r="AQ1380" s="6"/>
    </row>
    <row r="1381" spans="1:43" x14ac:dyDescent="0.3">
      <c r="A1381" s="6">
        <v>21028</v>
      </c>
      <c r="B1381" s="5" t="s">
        <v>215</v>
      </c>
      <c r="C1381" s="5" t="s">
        <v>216</v>
      </c>
      <c r="D1381" s="2">
        <f t="shared" si="88"/>
        <v>2013</v>
      </c>
      <c r="E1381" s="2">
        <f t="shared" si="89"/>
        <v>2</v>
      </c>
      <c r="F1381" s="3" t="s">
        <v>175</v>
      </c>
      <c r="G1381" s="7">
        <v>41332</v>
      </c>
      <c r="H1381" s="6">
        <v>6599245</v>
      </c>
      <c r="I1381" s="6">
        <v>1622345</v>
      </c>
      <c r="J1381" s="5" t="s">
        <v>186</v>
      </c>
      <c r="K1381" s="1">
        <v>1</v>
      </c>
      <c r="L1381" s="1" t="str">
        <f t="shared" si="90"/>
        <v>Norrviken 1</v>
      </c>
      <c r="M1381" s="1" t="s">
        <v>177</v>
      </c>
      <c r="N1381" s="6">
        <v>0.5</v>
      </c>
      <c r="O1381" s="6">
        <v>0.5</v>
      </c>
      <c r="P1381" s="6">
        <v>1.3</v>
      </c>
      <c r="Q1381" s="6">
        <v>0</v>
      </c>
      <c r="R1381" s="6">
        <v>9.1999999999999993</v>
      </c>
      <c r="S1381" s="6">
        <v>62</v>
      </c>
      <c r="W1381" s="6">
        <v>579</v>
      </c>
      <c r="Z1381" s="6">
        <v>15.63</v>
      </c>
      <c r="AD1381" s="6">
        <v>501.38</v>
      </c>
      <c r="AK1381" s="6">
        <v>30.23</v>
      </c>
      <c r="AL1381" s="6">
        <v>1794.075</v>
      </c>
      <c r="AM1381" s="6"/>
      <c r="AN1381" s="6"/>
      <c r="AO1381" s="6"/>
      <c r="AP1381" s="6"/>
      <c r="AQ1381" s="6"/>
    </row>
    <row r="1382" spans="1:43" x14ac:dyDescent="0.3">
      <c r="A1382" s="6">
        <v>21029</v>
      </c>
      <c r="B1382" s="5" t="s">
        <v>215</v>
      </c>
      <c r="C1382" s="5" t="s">
        <v>216</v>
      </c>
      <c r="D1382" s="2">
        <f t="shared" si="88"/>
        <v>2013</v>
      </c>
      <c r="E1382" s="2">
        <f t="shared" si="89"/>
        <v>2</v>
      </c>
      <c r="F1382" s="3" t="s">
        <v>175</v>
      </c>
      <c r="G1382" s="7">
        <v>41332</v>
      </c>
      <c r="H1382" s="6">
        <v>6599245</v>
      </c>
      <c r="I1382" s="6">
        <v>1622345</v>
      </c>
      <c r="J1382" s="5" t="s">
        <v>186</v>
      </c>
      <c r="K1382" s="1">
        <v>1</v>
      </c>
      <c r="L1382" s="1" t="str">
        <f t="shared" si="90"/>
        <v>Norrviken 1</v>
      </c>
      <c r="M1382" s="5" t="s">
        <v>211</v>
      </c>
      <c r="N1382" s="6">
        <v>1</v>
      </c>
      <c r="O1382" s="6">
        <v>1</v>
      </c>
      <c r="Q1382" s="6">
        <v>0.1</v>
      </c>
      <c r="R1382" s="6">
        <v>9.3000000000000007</v>
      </c>
      <c r="S1382" s="6">
        <v>63</v>
      </c>
    </row>
    <row r="1383" spans="1:43" x14ac:dyDescent="0.3">
      <c r="A1383" s="6">
        <v>21030</v>
      </c>
      <c r="B1383" s="5" t="s">
        <v>215</v>
      </c>
      <c r="C1383" s="5" t="s">
        <v>216</v>
      </c>
      <c r="D1383" s="2">
        <f t="shared" si="88"/>
        <v>2013</v>
      </c>
      <c r="E1383" s="2">
        <f t="shared" si="89"/>
        <v>2</v>
      </c>
      <c r="F1383" s="3" t="s">
        <v>175</v>
      </c>
      <c r="G1383" s="7">
        <v>41332</v>
      </c>
      <c r="H1383" s="6">
        <v>6599245</v>
      </c>
      <c r="I1383" s="6">
        <v>1622345</v>
      </c>
      <c r="J1383" s="5" t="s">
        <v>186</v>
      </c>
      <c r="K1383" s="1">
        <v>1</v>
      </c>
      <c r="L1383" s="1" t="str">
        <f t="shared" si="90"/>
        <v>Norrviken 1</v>
      </c>
      <c r="M1383" s="5" t="s">
        <v>212</v>
      </c>
      <c r="N1383" s="6">
        <v>2</v>
      </c>
      <c r="O1383" s="6">
        <v>2</v>
      </c>
      <c r="Q1383" s="6">
        <v>1.4</v>
      </c>
      <c r="R1383" s="6">
        <v>6.3</v>
      </c>
      <c r="S1383" s="6">
        <v>44</v>
      </c>
    </row>
    <row r="1384" spans="1:43" x14ac:dyDescent="0.3">
      <c r="A1384" s="6">
        <v>21031</v>
      </c>
      <c r="B1384" s="5" t="s">
        <v>215</v>
      </c>
      <c r="C1384" s="5" t="s">
        <v>216</v>
      </c>
      <c r="D1384" s="2">
        <f t="shared" si="88"/>
        <v>2013</v>
      </c>
      <c r="E1384" s="2">
        <f t="shared" si="89"/>
        <v>2</v>
      </c>
      <c r="F1384" s="3" t="s">
        <v>175</v>
      </c>
      <c r="G1384" s="7">
        <v>41332</v>
      </c>
      <c r="H1384" s="6">
        <v>6599245</v>
      </c>
      <c r="I1384" s="6">
        <v>1622345</v>
      </c>
      <c r="J1384" s="5" t="s">
        <v>186</v>
      </c>
      <c r="K1384" s="1">
        <v>1</v>
      </c>
      <c r="L1384" s="1" t="str">
        <f t="shared" si="90"/>
        <v>Norrviken 1</v>
      </c>
      <c r="M1384" s="1" t="s">
        <v>184</v>
      </c>
      <c r="N1384" s="6">
        <v>3</v>
      </c>
      <c r="O1384" s="6">
        <v>3</v>
      </c>
      <c r="Q1384" s="6">
        <v>2.2000000000000002</v>
      </c>
      <c r="R1384" s="6">
        <v>0.5</v>
      </c>
      <c r="S1384" s="6">
        <v>4</v>
      </c>
      <c r="W1384" s="6">
        <v>493</v>
      </c>
      <c r="Z1384" s="6">
        <v>33.119999999999997</v>
      </c>
      <c r="AD1384" s="6">
        <v>548.30100000000004</v>
      </c>
      <c r="AK1384" s="6">
        <v>49.84</v>
      </c>
      <c r="AL1384" s="6">
        <v>1696.8579999999999</v>
      </c>
      <c r="AM1384" s="6"/>
      <c r="AN1384" s="6"/>
      <c r="AO1384" s="6"/>
      <c r="AP1384" s="6"/>
      <c r="AQ1384" s="6"/>
    </row>
    <row r="1385" spans="1:43" x14ac:dyDescent="0.3">
      <c r="A1385" s="6">
        <v>21032</v>
      </c>
      <c r="B1385" s="5" t="s">
        <v>215</v>
      </c>
      <c r="C1385" s="5" t="s">
        <v>216</v>
      </c>
      <c r="D1385" s="2">
        <f t="shared" si="88"/>
        <v>2013</v>
      </c>
      <c r="E1385" s="2">
        <f t="shared" si="89"/>
        <v>2</v>
      </c>
      <c r="F1385" s="3" t="s">
        <v>175</v>
      </c>
      <c r="G1385" s="7">
        <v>41332</v>
      </c>
      <c r="H1385" s="6">
        <v>6596620</v>
      </c>
      <c r="I1385" s="6">
        <v>1620350</v>
      </c>
      <c r="J1385" s="5" t="s">
        <v>186</v>
      </c>
      <c r="K1385" s="1">
        <v>2</v>
      </c>
      <c r="L1385" s="1" t="str">
        <f t="shared" si="90"/>
        <v>Norrviken 2</v>
      </c>
      <c r="M1385" s="1" t="s">
        <v>177</v>
      </c>
      <c r="N1385" s="6">
        <v>0.5</v>
      </c>
      <c r="O1385" s="6">
        <v>0.5</v>
      </c>
      <c r="P1385" s="6">
        <v>3.5</v>
      </c>
      <c r="Q1385" s="6">
        <v>0.1</v>
      </c>
      <c r="R1385" s="6">
        <v>9.5</v>
      </c>
      <c r="S1385" s="6">
        <v>64</v>
      </c>
      <c r="W1385" s="6">
        <v>124.217</v>
      </c>
      <c r="Z1385" s="6">
        <v>46.41</v>
      </c>
      <c r="AD1385" s="6">
        <v>603.94200000000001</v>
      </c>
      <c r="AK1385" s="6">
        <v>58.97</v>
      </c>
      <c r="AL1385" s="6">
        <v>1384.7429999999999</v>
      </c>
      <c r="AM1385" s="6"/>
      <c r="AN1385" s="6"/>
      <c r="AO1385" s="6"/>
      <c r="AP1385" s="6"/>
      <c r="AQ1385" s="6"/>
    </row>
    <row r="1386" spans="1:43" x14ac:dyDescent="0.3">
      <c r="A1386" s="6">
        <v>21033</v>
      </c>
      <c r="B1386" s="5" t="s">
        <v>215</v>
      </c>
      <c r="C1386" s="5" t="s">
        <v>216</v>
      </c>
      <c r="D1386" s="2">
        <f t="shared" si="88"/>
        <v>2013</v>
      </c>
      <c r="E1386" s="2">
        <f t="shared" si="89"/>
        <v>2</v>
      </c>
      <c r="F1386" s="3" t="s">
        <v>175</v>
      </c>
      <c r="G1386" s="7">
        <v>41332</v>
      </c>
      <c r="H1386" s="6">
        <v>6596620</v>
      </c>
      <c r="I1386" s="6">
        <v>1620350</v>
      </c>
      <c r="J1386" s="5" t="s">
        <v>186</v>
      </c>
      <c r="K1386" s="1">
        <v>2</v>
      </c>
      <c r="L1386" s="1" t="str">
        <f t="shared" si="90"/>
        <v>Norrviken 2</v>
      </c>
      <c r="M1386" s="5" t="s">
        <v>211</v>
      </c>
      <c r="N1386" s="6">
        <v>1</v>
      </c>
      <c r="O1386" s="6">
        <v>1</v>
      </c>
      <c r="Q1386" s="6">
        <v>1.5</v>
      </c>
      <c r="R1386" s="6">
        <v>9.1999999999999993</v>
      </c>
      <c r="S1386" s="6">
        <v>65</v>
      </c>
    </row>
    <row r="1387" spans="1:43" x14ac:dyDescent="0.3">
      <c r="A1387" s="6">
        <v>21034</v>
      </c>
      <c r="B1387" s="5" t="s">
        <v>215</v>
      </c>
      <c r="C1387" s="5" t="s">
        <v>216</v>
      </c>
      <c r="D1387" s="2">
        <f t="shared" si="88"/>
        <v>2013</v>
      </c>
      <c r="E1387" s="2">
        <f t="shared" si="89"/>
        <v>2</v>
      </c>
      <c r="F1387" s="3" t="s">
        <v>175</v>
      </c>
      <c r="G1387" s="7">
        <v>41332</v>
      </c>
      <c r="H1387" s="6">
        <v>6596620</v>
      </c>
      <c r="I1387" s="6">
        <v>1620350</v>
      </c>
      <c r="J1387" s="5" t="s">
        <v>186</v>
      </c>
      <c r="K1387" s="1">
        <v>2</v>
      </c>
      <c r="L1387" s="1" t="str">
        <f t="shared" si="90"/>
        <v>Norrviken 2</v>
      </c>
      <c r="M1387" s="5" t="s">
        <v>212</v>
      </c>
      <c r="N1387" s="6">
        <v>2</v>
      </c>
      <c r="O1387" s="6">
        <v>2</v>
      </c>
      <c r="Q1387" s="6">
        <v>2.2000000000000002</v>
      </c>
      <c r="R1387" s="6">
        <v>8.8000000000000007</v>
      </c>
      <c r="S1387" s="6">
        <v>63</v>
      </c>
    </row>
    <row r="1388" spans="1:43" x14ac:dyDescent="0.3">
      <c r="A1388" s="6">
        <v>21035</v>
      </c>
      <c r="B1388" s="5" t="s">
        <v>215</v>
      </c>
      <c r="C1388" s="5" t="s">
        <v>216</v>
      </c>
      <c r="D1388" s="2">
        <f t="shared" si="88"/>
        <v>2013</v>
      </c>
      <c r="E1388" s="2">
        <f t="shared" si="89"/>
        <v>2</v>
      </c>
      <c r="F1388" s="3" t="s">
        <v>175</v>
      </c>
      <c r="G1388" s="7">
        <v>41332</v>
      </c>
      <c r="H1388" s="6">
        <v>6596620</v>
      </c>
      <c r="I1388" s="6">
        <v>1620350</v>
      </c>
      <c r="J1388" s="5" t="s">
        <v>186</v>
      </c>
      <c r="K1388" s="1">
        <v>2</v>
      </c>
      <c r="L1388" s="1" t="str">
        <f t="shared" si="90"/>
        <v>Norrviken 2</v>
      </c>
      <c r="M1388" s="5" t="s">
        <v>213</v>
      </c>
      <c r="N1388" s="6">
        <v>3</v>
      </c>
      <c r="O1388" s="6">
        <v>3</v>
      </c>
      <c r="Q1388" s="6">
        <v>2.6</v>
      </c>
      <c r="R1388" s="6">
        <v>8.6</v>
      </c>
      <c r="S1388" s="6">
        <v>62</v>
      </c>
    </row>
    <row r="1389" spans="1:43" x14ac:dyDescent="0.3">
      <c r="A1389" s="6">
        <v>21036</v>
      </c>
      <c r="B1389" s="5" t="s">
        <v>215</v>
      </c>
      <c r="C1389" s="5" t="s">
        <v>216</v>
      </c>
      <c r="D1389" s="2">
        <f t="shared" si="88"/>
        <v>2013</v>
      </c>
      <c r="E1389" s="2">
        <f t="shared" si="89"/>
        <v>2</v>
      </c>
      <c r="F1389" s="3" t="s">
        <v>175</v>
      </c>
      <c r="G1389" s="7">
        <v>41332</v>
      </c>
      <c r="H1389" s="6">
        <v>6596620</v>
      </c>
      <c r="I1389" s="6">
        <v>1620350</v>
      </c>
      <c r="J1389" s="5" t="s">
        <v>186</v>
      </c>
      <c r="K1389" s="1">
        <v>2</v>
      </c>
      <c r="L1389" s="1" t="str">
        <f t="shared" si="90"/>
        <v>Norrviken 2</v>
      </c>
      <c r="M1389" s="5" t="s">
        <v>214</v>
      </c>
      <c r="N1389" s="6">
        <v>4</v>
      </c>
      <c r="O1389" s="6">
        <v>4</v>
      </c>
      <c r="Q1389" s="6">
        <v>3</v>
      </c>
      <c r="R1389" s="6">
        <v>7.4</v>
      </c>
      <c r="S1389" s="6">
        <v>54</v>
      </c>
    </row>
    <row r="1390" spans="1:43" x14ac:dyDescent="0.3">
      <c r="A1390" s="6">
        <v>21037</v>
      </c>
      <c r="B1390" s="5" t="s">
        <v>215</v>
      </c>
      <c r="C1390" s="5" t="s">
        <v>216</v>
      </c>
      <c r="D1390" s="2">
        <f t="shared" si="88"/>
        <v>2013</v>
      </c>
      <c r="E1390" s="2">
        <f t="shared" si="89"/>
        <v>2</v>
      </c>
      <c r="F1390" s="3" t="s">
        <v>175</v>
      </c>
      <c r="G1390" s="7">
        <v>41332</v>
      </c>
      <c r="H1390" s="6">
        <v>6596620</v>
      </c>
      <c r="I1390" s="6">
        <v>1620350</v>
      </c>
      <c r="J1390" s="5" t="s">
        <v>186</v>
      </c>
      <c r="K1390" s="1">
        <v>2</v>
      </c>
      <c r="L1390" s="1" t="str">
        <f t="shared" si="90"/>
        <v>Norrviken 2</v>
      </c>
      <c r="M1390" s="5" t="s">
        <v>217</v>
      </c>
      <c r="N1390" s="6">
        <v>5</v>
      </c>
      <c r="O1390" s="6">
        <v>5</v>
      </c>
      <c r="Q1390" s="6">
        <v>3.2</v>
      </c>
      <c r="R1390" s="6">
        <v>6.8</v>
      </c>
      <c r="S1390" s="6">
        <v>50</v>
      </c>
    </row>
    <row r="1391" spans="1:43" x14ac:dyDescent="0.3">
      <c r="A1391" s="6">
        <v>21038</v>
      </c>
      <c r="B1391" s="5" t="s">
        <v>215</v>
      </c>
      <c r="C1391" s="5" t="s">
        <v>216</v>
      </c>
      <c r="D1391" s="2">
        <f t="shared" si="88"/>
        <v>2013</v>
      </c>
      <c r="E1391" s="2">
        <f t="shared" si="89"/>
        <v>2</v>
      </c>
      <c r="F1391" s="3" t="s">
        <v>175</v>
      </c>
      <c r="G1391" s="7">
        <v>41332</v>
      </c>
      <c r="H1391" s="6">
        <v>6596620</v>
      </c>
      <c r="I1391" s="6">
        <v>1620350</v>
      </c>
      <c r="J1391" s="5" t="s">
        <v>186</v>
      </c>
      <c r="K1391" s="1">
        <v>2</v>
      </c>
      <c r="L1391" s="1" t="str">
        <f t="shared" si="90"/>
        <v>Norrviken 2</v>
      </c>
      <c r="M1391" s="5" t="s">
        <v>218</v>
      </c>
      <c r="N1391" s="6">
        <v>6</v>
      </c>
      <c r="O1391" s="6">
        <v>6</v>
      </c>
      <c r="Q1391" s="6">
        <v>3.5</v>
      </c>
      <c r="R1391" s="6">
        <v>5.6</v>
      </c>
      <c r="S1391" s="6">
        <v>42</v>
      </c>
    </row>
    <row r="1392" spans="1:43" x14ac:dyDescent="0.3">
      <c r="A1392" s="6">
        <v>21039</v>
      </c>
      <c r="B1392" s="5" t="s">
        <v>215</v>
      </c>
      <c r="C1392" s="5" t="s">
        <v>216</v>
      </c>
      <c r="D1392" s="2">
        <f t="shared" si="88"/>
        <v>2013</v>
      </c>
      <c r="E1392" s="2">
        <f t="shared" si="89"/>
        <v>2</v>
      </c>
      <c r="F1392" s="3" t="s">
        <v>175</v>
      </c>
      <c r="G1392" s="7">
        <v>41332</v>
      </c>
      <c r="H1392" s="6">
        <v>6596620</v>
      </c>
      <c r="I1392" s="6">
        <v>1620350</v>
      </c>
      <c r="J1392" s="5" t="s">
        <v>186</v>
      </c>
      <c r="K1392" s="1">
        <v>2</v>
      </c>
      <c r="L1392" s="1" t="str">
        <f t="shared" si="90"/>
        <v>Norrviken 2</v>
      </c>
      <c r="M1392" s="5" t="s">
        <v>219</v>
      </c>
      <c r="N1392" s="6">
        <v>7</v>
      </c>
      <c r="O1392" s="6">
        <v>7</v>
      </c>
      <c r="Q1392" s="6">
        <v>3.6</v>
      </c>
      <c r="R1392" s="6">
        <v>4.5999999999999996</v>
      </c>
      <c r="S1392" s="6">
        <v>34</v>
      </c>
    </row>
    <row r="1393" spans="1:43" x14ac:dyDescent="0.3">
      <c r="A1393" s="6">
        <v>21040</v>
      </c>
      <c r="B1393" s="5" t="s">
        <v>215</v>
      </c>
      <c r="C1393" s="5" t="s">
        <v>216</v>
      </c>
      <c r="D1393" s="2">
        <f t="shared" si="88"/>
        <v>2013</v>
      </c>
      <c r="E1393" s="2">
        <f t="shared" si="89"/>
        <v>2</v>
      </c>
      <c r="F1393" s="3" t="s">
        <v>175</v>
      </c>
      <c r="G1393" s="7">
        <v>41332</v>
      </c>
      <c r="H1393" s="6">
        <v>6596620</v>
      </c>
      <c r="I1393" s="6">
        <v>1620350</v>
      </c>
      <c r="J1393" s="5" t="s">
        <v>186</v>
      </c>
      <c r="K1393" s="1">
        <v>2</v>
      </c>
      <c r="L1393" s="1" t="str">
        <f t="shared" si="90"/>
        <v>Norrviken 2</v>
      </c>
      <c r="M1393" s="5" t="s">
        <v>220</v>
      </c>
      <c r="N1393" s="6">
        <v>8</v>
      </c>
      <c r="O1393" s="6">
        <v>8</v>
      </c>
      <c r="Q1393" s="6">
        <v>3.7</v>
      </c>
      <c r="R1393" s="6">
        <v>3.2</v>
      </c>
      <c r="S1393" s="6">
        <v>24</v>
      </c>
    </row>
    <row r="1394" spans="1:43" x14ac:dyDescent="0.3">
      <c r="A1394" s="6">
        <v>21041</v>
      </c>
      <c r="B1394" s="5" t="s">
        <v>215</v>
      </c>
      <c r="C1394" s="5" t="s">
        <v>216</v>
      </c>
      <c r="D1394" s="2">
        <f t="shared" si="88"/>
        <v>2013</v>
      </c>
      <c r="E1394" s="2">
        <f t="shared" si="89"/>
        <v>2</v>
      </c>
      <c r="F1394" s="3" t="s">
        <v>175</v>
      </c>
      <c r="G1394" s="7">
        <v>41332</v>
      </c>
      <c r="H1394" s="6">
        <v>6596620</v>
      </c>
      <c r="I1394" s="6">
        <v>1620350</v>
      </c>
      <c r="J1394" s="5" t="s">
        <v>186</v>
      </c>
      <c r="K1394" s="1">
        <v>2</v>
      </c>
      <c r="L1394" s="1" t="str">
        <f t="shared" si="90"/>
        <v>Norrviken 2</v>
      </c>
      <c r="M1394" s="1" t="s">
        <v>184</v>
      </c>
      <c r="N1394" s="6">
        <v>9</v>
      </c>
      <c r="O1394" s="6">
        <v>9</v>
      </c>
      <c r="Q1394" s="6">
        <v>3.9</v>
      </c>
      <c r="R1394" s="6">
        <v>1.7</v>
      </c>
      <c r="S1394" s="6">
        <v>13</v>
      </c>
      <c r="W1394" s="6">
        <v>50.173000000000002</v>
      </c>
      <c r="Z1394" s="6">
        <v>51.86</v>
      </c>
      <c r="AD1394" s="6">
        <v>611.99</v>
      </c>
      <c r="AK1394" s="6">
        <v>63.46</v>
      </c>
      <c r="AL1394" s="6">
        <v>1256.8150000000001</v>
      </c>
      <c r="AM1394" s="6"/>
      <c r="AN1394" s="6"/>
      <c r="AO1394" s="6"/>
      <c r="AP1394" s="6"/>
      <c r="AQ1394" s="6"/>
    </row>
    <row r="1395" spans="1:43" x14ac:dyDescent="0.3">
      <c r="A1395" s="6">
        <v>21042</v>
      </c>
      <c r="B1395" s="5" t="s">
        <v>215</v>
      </c>
      <c r="C1395" s="5" t="s">
        <v>216</v>
      </c>
      <c r="D1395" s="2">
        <f t="shared" si="88"/>
        <v>2013</v>
      </c>
      <c r="E1395" s="2">
        <f t="shared" si="89"/>
        <v>2</v>
      </c>
      <c r="F1395" s="3" t="s">
        <v>175</v>
      </c>
      <c r="G1395" s="7">
        <v>41332</v>
      </c>
      <c r="H1395" s="6">
        <v>6594885</v>
      </c>
      <c r="I1395" s="6">
        <v>1620750</v>
      </c>
      <c r="J1395" s="5" t="s">
        <v>186</v>
      </c>
      <c r="K1395" s="1">
        <v>3</v>
      </c>
      <c r="L1395" s="1" t="str">
        <f t="shared" si="90"/>
        <v>Norrviken 3</v>
      </c>
      <c r="M1395" s="1" t="s">
        <v>177</v>
      </c>
      <c r="N1395" s="6">
        <v>0.5</v>
      </c>
      <c r="O1395" s="6">
        <v>0.5</v>
      </c>
      <c r="P1395" s="6">
        <v>3.7</v>
      </c>
      <c r="Q1395" s="6">
        <v>0.2</v>
      </c>
      <c r="R1395" s="6">
        <v>8.4</v>
      </c>
      <c r="S1395" s="6">
        <v>57</v>
      </c>
      <c r="W1395" s="6">
        <v>15.9</v>
      </c>
      <c r="Z1395" s="6">
        <v>58.77</v>
      </c>
      <c r="AD1395" s="6">
        <v>616.154</v>
      </c>
      <c r="AK1395" s="6">
        <v>76.260000000000005</v>
      </c>
      <c r="AL1395" s="6">
        <v>1236.5129999999999</v>
      </c>
      <c r="AM1395" s="6"/>
      <c r="AN1395" s="6"/>
      <c r="AO1395" s="6"/>
      <c r="AP1395" s="6"/>
      <c r="AQ1395" s="6"/>
    </row>
    <row r="1396" spans="1:43" x14ac:dyDescent="0.3">
      <c r="A1396" s="6">
        <v>21043</v>
      </c>
      <c r="B1396" s="5" t="s">
        <v>215</v>
      </c>
      <c r="C1396" s="5" t="s">
        <v>216</v>
      </c>
      <c r="D1396" s="2">
        <f t="shared" si="88"/>
        <v>2013</v>
      </c>
      <c r="E1396" s="2">
        <f t="shared" si="89"/>
        <v>2</v>
      </c>
      <c r="F1396" s="3" t="s">
        <v>175</v>
      </c>
      <c r="G1396" s="7">
        <v>41332</v>
      </c>
      <c r="H1396" s="6">
        <v>6594885</v>
      </c>
      <c r="I1396" s="6">
        <v>1620750</v>
      </c>
      <c r="J1396" s="5" t="s">
        <v>186</v>
      </c>
      <c r="K1396" s="1">
        <v>3</v>
      </c>
      <c r="L1396" s="1" t="str">
        <f t="shared" si="90"/>
        <v>Norrviken 3</v>
      </c>
      <c r="M1396" s="5" t="s">
        <v>211</v>
      </c>
      <c r="N1396" s="6">
        <v>1</v>
      </c>
      <c r="O1396" s="6">
        <v>1</v>
      </c>
      <c r="Q1396" s="6">
        <v>1.4</v>
      </c>
      <c r="R1396" s="6">
        <v>9.5</v>
      </c>
      <c r="S1396" s="6">
        <v>67</v>
      </c>
    </row>
    <row r="1397" spans="1:43" x14ac:dyDescent="0.3">
      <c r="A1397" s="6">
        <v>21044</v>
      </c>
      <c r="B1397" s="5" t="s">
        <v>215</v>
      </c>
      <c r="C1397" s="5" t="s">
        <v>216</v>
      </c>
      <c r="D1397" s="2">
        <f t="shared" si="88"/>
        <v>2013</v>
      </c>
      <c r="E1397" s="2">
        <f t="shared" si="89"/>
        <v>2</v>
      </c>
      <c r="F1397" s="3" t="s">
        <v>175</v>
      </c>
      <c r="G1397" s="7">
        <v>41332</v>
      </c>
      <c r="H1397" s="6">
        <v>6594885</v>
      </c>
      <c r="I1397" s="6">
        <v>1620750</v>
      </c>
      <c r="J1397" s="5" t="s">
        <v>186</v>
      </c>
      <c r="K1397" s="1">
        <v>3</v>
      </c>
      <c r="L1397" s="1" t="str">
        <f t="shared" si="90"/>
        <v>Norrviken 3</v>
      </c>
      <c r="M1397" s="5" t="s">
        <v>212</v>
      </c>
      <c r="N1397" s="6">
        <v>2</v>
      </c>
      <c r="O1397" s="6">
        <v>2</v>
      </c>
      <c r="Q1397" s="6">
        <v>2.9</v>
      </c>
      <c r="R1397" s="6">
        <v>8.5</v>
      </c>
      <c r="S1397" s="6">
        <v>62</v>
      </c>
    </row>
    <row r="1398" spans="1:43" x14ac:dyDescent="0.3">
      <c r="A1398" s="6">
        <v>21045</v>
      </c>
      <c r="B1398" s="5" t="s">
        <v>215</v>
      </c>
      <c r="C1398" s="5" t="s">
        <v>216</v>
      </c>
      <c r="D1398" s="2">
        <f t="shared" si="88"/>
        <v>2013</v>
      </c>
      <c r="E1398" s="2">
        <f t="shared" si="89"/>
        <v>2</v>
      </c>
      <c r="F1398" s="3" t="s">
        <v>175</v>
      </c>
      <c r="G1398" s="7">
        <v>41332</v>
      </c>
      <c r="H1398" s="6">
        <v>6594885</v>
      </c>
      <c r="I1398" s="6">
        <v>1620750</v>
      </c>
      <c r="J1398" s="5" t="s">
        <v>186</v>
      </c>
      <c r="K1398" s="1">
        <v>3</v>
      </c>
      <c r="L1398" s="1" t="str">
        <f t="shared" si="90"/>
        <v>Norrviken 3</v>
      </c>
      <c r="M1398" s="5" t="s">
        <v>213</v>
      </c>
      <c r="N1398" s="6">
        <v>3</v>
      </c>
      <c r="O1398" s="6">
        <v>3</v>
      </c>
      <c r="Q1398" s="6">
        <v>3.2</v>
      </c>
      <c r="R1398" s="6">
        <v>7.2</v>
      </c>
      <c r="S1398" s="6">
        <v>53</v>
      </c>
    </row>
    <row r="1399" spans="1:43" x14ac:dyDescent="0.3">
      <c r="A1399" s="6">
        <v>21046</v>
      </c>
      <c r="B1399" s="5" t="s">
        <v>215</v>
      </c>
      <c r="C1399" s="5" t="s">
        <v>216</v>
      </c>
      <c r="D1399" s="2">
        <f t="shared" si="88"/>
        <v>2013</v>
      </c>
      <c r="E1399" s="2">
        <f t="shared" si="89"/>
        <v>2</v>
      </c>
      <c r="F1399" s="3" t="s">
        <v>175</v>
      </c>
      <c r="G1399" s="7">
        <v>41332</v>
      </c>
      <c r="H1399" s="6">
        <v>6594885</v>
      </c>
      <c r="I1399" s="6">
        <v>1620750</v>
      </c>
      <c r="J1399" s="5" t="s">
        <v>186</v>
      </c>
      <c r="K1399" s="1">
        <v>3</v>
      </c>
      <c r="L1399" s="1" t="str">
        <f t="shared" si="90"/>
        <v>Norrviken 3</v>
      </c>
      <c r="M1399" s="5" t="s">
        <v>214</v>
      </c>
      <c r="N1399" s="6">
        <v>4</v>
      </c>
      <c r="O1399" s="6">
        <v>4</v>
      </c>
      <c r="Q1399" s="6">
        <v>3.4</v>
      </c>
      <c r="R1399" s="6">
        <v>6.3</v>
      </c>
      <c r="S1399" s="6">
        <v>47</v>
      </c>
    </row>
    <row r="1400" spans="1:43" x14ac:dyDescent="0.3">
      <c r="A1400" s="6">
        <v>21047</v>
      </c>
      <c r="B1400" s="5" t="s">
        <v>215</v>
      </c>
      <c r="C1400" s="5" t="s">
        <v>216</v>
      </c>
      <c r="D1400" s="2">
        <f t="shared" si="88"/>
        <v>2013</v>
      </c>
      <c r="E1400" s="2">
        <f t="shared" si="89"/>
        <v>2</v>
      </c>
      <c r="F1400" s="3" t="s">
        <v>175</v>
      </c>
      <c r="G1400" s="7">
        <v>41332</v>
      </c>
      <c r="H1400" s="6">
        <v>6594885</v>
      </c>
      <c r="I1400" s="6">
        <v>1620750</v>
      </c>
      <c r="J1400" s="5" t="s">
        <v>186</v>
      </c>
      <c r="K1400" s="1">
        <v>3</v>
      </c>
      <c r="L1400" s="1" t="str">
        <f t="shared" si="90"/>
        <v>Norrviken 3</v>
      </c>
      <c r="M1400" s="5" t="s">
        <v>217</v>
      </c>
      <c r="N1400" s="6">
        <v>5</v>
      </c>
      <c r="O1400" s="6">
        <v>5</v>
      </c>
      <c r="Q1400" s="6">
        <v>3.4</v>
      </c>
      <c r="R1400" s="6">
        <v>5.6</v>
      </c>
      <c r="S1400" s="6">
        <v>42</v>
      </c>
    </row>
    <row r="1401" spans="1:43" x14ac:dyDescent="0.3">
      <c r="A1401" s="6">
        <v>21048</v>
      </c>
      <c r="B1401" s="5" t="s">
        <v>215</v>
      </c>
      <c r="C1401" s="5" t="s">
        <v>216</v>
      </c>
      <c r="D1401" s="2">
        <f t="shared" si="88"/>
        <v>2013</v>
      </c>
      <c r="E1401" s="2">
        <f t="shared" si="89"/>
        <v>2</v>
      </c>
      <c r="F1401" s="3" t="s">
        <v>175</v>
      </c>
      <c r="G1401" s="7">
        <v>41332</v>
      </c>
      <c r="H1401" s="6">
        <v>6594885</v>
      </c>
      <c r="I1401" s="6">
        <v>1620750</v>
      </c>
      <c r="J1401" s="5" t="s">
        <v>186</v>
      </c>
      <c r="K1401" s="1">
        <v>3</v>
      </c>
      <c r="L1401" s="1" t="str">
        <f t="shared" si="90"/>
        <v>Norrviken 3</v>
      </c>
      <c r="M1401" s="5" t="s">
        <v>218</v>
      </c>
      <c r="N1401" s="6">
        <v>6</v>
      </c>
      <c r="O1401" s="6">
        <v>6</v>
      </c>
      <c r="Q1401" s="6">
        <v>3.6</v>
      </c>
      <c r="R1401" s="6">
        <v>4.2</v>
      </c>
      <c r="S1401" s="6">
        <v>31</v>
      </c>
    </row>
    <row r="1402" spans="1:43" x14ac:dyDescent="0.3">
      <c r="A1402" s="6">
        <v>21049</v>
      </c>
      <c r="B1402" s="5" t="s">
        <v>215</v>
      </c>
      <c r="C1402" s="5" t="s">
        <v>216</v>
      </c>
      <c r="D1402" s="2">
        <f t="shared" si="88"/>
        <v>2013</v>
      </c>
      <c r="E1402" s="2">
        <f t="shared" si="89"/>
        <v>2</v>
      </c>
      <c r="F1402" s="3" t="s">
        <v>175</v>
      </c>
      <c r="G1402" s="7">
        <v>41332</v>
      </c>
      <c r="H1402" s="6">
        <v>6594885</v>
      </c>
      <c r="I1402" s="6">
        <v>1620750</v>
      </c>
      <c r="J1402" s="5" t="s">
        <v>186</v>
      </c>
      <c r="K1402" s="1">
        <v>3</v>
      </c>
      <c r="L1402" s="1" t="str">
        <f t="shared" si="90"/>
        <v>Norrviken 3</v>
      </c>
      <c r="M1402" s="5" t="s">
        <v>219</v>
      </c>
      <c r="N1402" s="6">
        <v>7</v>
      </c>
      <c r="O1402" s="6">
        <v>7</v>
      </c>
      <c r="Q1402" s="6">
        <v>3.7</v>
      </c>
      <c r="R1402" s="6">
        <v>2.7</v>
      </c>
      <c r="S1402" s="6">
        <v>20</v>
      </c>
    </row>
    <row r="1403" spans="1:43" x14ac:dyDescent="0.3">
      <c r="A1403" s="6">
        <v>21050</v>
      </c>
      <c r="B1403" s="5" t="s">
        <v>215</v>
      </c>
      <c r="C1403" s="5" t="s">
        <v>216</v>
      </c>
      <c r="D1403" s="2">
        <f t="shared" si="88"/>
        <v>2013</v>
      </c>
      <c r="E1403" s="2">
        <f t="shared" si="89"/>
        <v>2</v>
      </c>
      <c r="F1403" s="3" t="s">
        <v>175</v>
      </c>
      <c r="G1403" s="7">
        <v>41332</v>
      </c>
      <c r="H1403" s="6">
        <v>6594885</v>
      </c>
      <c r="I1403" s="6">
        <v>1620750</v>
      </c>
      <c r="J1403" s="5" t="s">
        <v>186</v>
      </c>
      <c r="K1403" s="1">
        <v>3</v>
      </c>
      <c r="L1403" s="1" t="str">
        <f t="shared" si="90"/>
        <v>Norrviken 3</v>
      </c>
      <c r="M1403" s="5" t="s">
        <v>220</v>
      </c>
      <c r="N1403" s="6">
        <v>8</v>
      </c>
      <c r="O1403" s="6">
        <v>8</v>
      </c>
      <c r="Q1403" s="6">
        <v>3.6</v>
      </c>
      <c r="R1403" s="6">
        <v>2.8</v>
      </c>
      <c r="S1403" s="6">
        <v>21</v>
      </c>
    </row>
    <row r="1404" spans="1:43" x14ac:dyDescent="0.3">
      <c r="A1404" s="6">
        <v>21051</v>
      </c>
      <c r="B1404" s="5" t="s">
        <v>215</v>
      </c>
      <c r="C1404" s="5" t="s">
        <v>216</v>
      </c>
      <c r="D1404" s="2">
        <f t="shared" si="88"/>
        <v>2013</v>
      </c>
      <c r="E1404" s="2">
        <f t="shared" si="89"/>
        <v>2</v>
      </c>
      <c r="F1404" s="3" t="s">
        <v>175</v>
      </c>
      <c r="G1404" s="7">
        <v>41332</v>
      </c>
      <c r="H1404" s="6">
        <v>6594885</v>
      </c>
      <c r="I1404" s="6">
        <v>1620750</v>
      </c>
      <c r="J1404" s="5" t="s">
        <v>186</v>
      </c>
      <c r="K1404" s="1">
        <v>3</v>
      </c>
      <c r="L1404" s="1" t="str">
        <f t="shared" si="90"/>
        <v>Norrviken 3</v>
      </c>
      <c r="M1404" s="5" t="s">
        <v>221</v>
      </c>
      <c r="N1404" s="6">
        <v>9</v>
      </c>
      <c r="O1404" s="6">
        <v>9</v>
      </c>
      <c r="Q1404" s="6">
        <v>3.7</v>
      </c>
      <c r="R1404" s="6">
        <v>2.2999999999999998</v>
      </c>
      <c r="S1404" s="6">
        <v>17</v>
      </c>
    </row>
    <row r="1405" spans="1:43" x14ac:dyDescent="0.3">
      <c r="A1405" s="6">
        <v>21052</v>
      </c>
      <c r="B1405" s="5" t="s">
        <v>215</v>
      </c>
      <c r="C1405" s="5" t="s">
        <v>216</v>
      </c>
      <c r="D1405" s="2">
        <f t="shared" si="88"/>
        <v>2013</v>
      </c>
      <c r="E1405" s="2">
        <f t="shared" si="89"/>
        <v>2</v>
      </c>
      <c r="F1405" s="3" t="s">
        <v>175</v>
      </c>
      <c r="G1405" s="7">
        <v>41332</v>
      </c>
      <c r="H1405" s="6">
        <v>6594885</v>
      </c>
      <c r="I1405" s="6">
        <v>1620750</v>
      </c>
      <c r="J1405" s="5" t="s">
        <v>186</v>
      </c>
      <c r="K1405" s="1">
        <v>3</v>
      </c>
      <c r="L1405" s="1" t="str">
        <f t="shared" si="90"/>
        <v>Norrviken 3</v>
      </c>
      <c r="M1405" s="5" t="s">
        <v>222</v>
      </c>
      <c r="N1405" s="6">
        <v>10</v>
      </c>
      <c r="O1405" s="6">
        <v>10</v>
      </c>
      <c r="Q1405" s="6">
        <v>3.8</v>
      </c>
      <c r="R1405" s="6">
        <v>1.6</v>
      </c>
      <c r="S1405" s="6">
        <v>12</v>
      </c>
    </row>
    <row r="1406" spans="1:43" x14ac:dyDescent="0.3">
      <c r="A1406" s="6">
        <v>21053</v>
      </c>
      <c r="B1406" s="5" t="s">
        <v>215</v>
      </c>
      <c r="C1406" s="5" t="s">
        <v>216</v>
      </c>
      <c r="D1406" s="2">
        <f t="shared" si="88"/>
        <v>2013</v>
      </c>
      <c r="E1406" s="2">
        <f t="shared" si="89"/>
        <v>2</v>
      </c>
      <c r="F1406" s="3" t="s">
        <v>175</v>
      </c>
      <c r="G1406" s="7">
        <v>41332</v>
      </c>
      <c r="H1406" s="6">
        <v>6594885</v>
      </c>
      <c r="I1406" s="6">
        <v>1620750</v>
      </c>
      <c r="J1406" s="5" t="s">
        <v>186</v>
      </c>
      <c r="K1406" s="1">
        <v>3</v>
      </c>
      <c r="L1406" s="1" t="str">
        <f t="shared" si="90"/>
        <v>Norrviken 3</v>
      </c>
      <c r="M1406" s="5" t="s">
        <v>223</v>
      </c>
      <c r="N1406" s="6">
        <v>11</v>
      </c>
      <c r="O1406" s="6">
        <v>11</v>
      </c>
      <c r="Q1406" s="6">
        <v>4.5</v>
      </c>
      <c r="R1406" s="6">
        <v>0.5</v>
      </c>
      <c r="S1406" s="6">
        <v>4</v>
      </c>
    </row>
    <row r="1407" spans="1:43" x14ac:dyDescent="0.3">
      <c r="A1407" s="6">
        <v>21054</v>
      </c>
      <c r="B1407" s="5" t="s">
        <v>215</v>
      </c>
      <c r="C1407" s="5" t="s">
        <v>216</v>
      </c>
      <c r="D1407" s="2">
        <f t="shared" si="88"/>
        <v>2013</v>
      </c>
      <c r="E1407" s="2">
        <f t="shared" si="89"/>
        <v>2</v>
      </c>
      <c r="F1407" s="3" t="s">
        <v>175</v>
      </c>
      <c r="G1407" s="7">
        <v>41332</v>
      </c>
      <c r="H1407" s="6">
        <v>6594885</v>
      </c>
      <c r="I1407" s="6">
        <v>1620750</v>
      </c>
      <c r="J1407" s="5" t="s">
        <v>186</v>
      </c>
      <c r="K1407" s="1">
        <v>3</v>
      </c>
      <c r="L1407" s="1" t="str">
        <f t="shared" si="90"/>
        <v>Norrviken 3</v>
      </c>
      <c r="M1407" s="1" t="s">
        <v>184</v>
      </c>
      <c r="N1407" s="6">
        <v>12</v>
      </c>
      <c r="O1407" s="6">
        <v>12</v>
      </c>
      <c r="Q1407" s="6">
        <v>4.8</v>
      </c>
      <c r="R1407" s="6">
        <v>0.3</v>
      </c>
      <c r="S1407" s="6">
        <v>2</v>
      </c>
      <c r="W1407" s="6">
        <v>272</v>
      </c>
      <c r="Z1407" s="6">
        <v>110.68</v>
      </c>
      <c r="AD1407" s="6">
        <v>650.50900000000001</v>
      </c>
      <c r="AK1407" s="6">
        <v>131.63999999999999</v>
      </c>
      <c r="AL1407" s="6">
        <v>1544.242</v>
      </c>
      <c r="AM1407" s="6"/>
      <c r="AN1407" s="6"/>
      <c r="AO1407" s="6"/>
      <c r="AP1407" s="6"/>
      <c r="AQ1407" s="6"/>
    </row>
    <row r="1408" spans="1:43" x14ac:dyDescent="0.3">
      <c r="A1408" s="6">
        <v>21055</v>
      </c>
      <c r="B1408" s="5" t="s">
        <v>215</v>
      </c>
      <c r="C1408" s="5" t="s">
        <v>216</v>
      </c>
      <c r="D1408" s="2">
        <f t="shared" si="88"/>
        <v>2013</v>
      </c>
      <c r="E1408" s="2">
        <f t="shared" si="89"/>
        <v>2</v>
      </c>
      <c r="F1408" s="3" t="s">
        <v>175</v>
      </c>
      <c r="G1408" s="7">
        <v>41332</v>
      </c>
      <c r="H1408" s="6">
        <v>6597300</v>
      </c>
      <c r="I1408" s="6">
        <v>1619975</v>
      </c>
      <c r="J1408" s="5" t="s">
        <v>186</v>
      </c>
      <c r="K1408" s="1">
        <v>4</v>
      </c>
      <c r="L1408" s="1" t="str">
        <f t="shared" si="90"/>
        <v>Norrviken 4</v>
      </c>
      <c r="M1408" s="1" t="s">
        <v>177</v>
      </c>
      <c r="N1408" s="6">
        <v>0.5</v>
      </c>
      <c r="O1408" s="6">
        <v>0.5</v>
      </c>
      <c r="P1408" s="6">
        <v>2</v>
      </c>
      <c r="Q1408" s="6">
        <v>0.7</v>
      </c>
      <c r="R1408" s="6">
        <v>8.8000000000000007</v>
      </c>
      <c r="S1408" s="6">
        <v>60</v>
      </c>
      <c r="W1408" s="6">
        <v>280</v>
      </c>
      <c r="Z1408" s="6">
        <v>30.53</v>
      </c>
      <c r="AD1408" s="6">
        <v>606.79999999999995</v>
      </c>
      <c r="AK1408" s="6">
        <v>44.41</v>
      </c>
      <c r="AL1408" s="6">
        <v>1530.229</v>
      </c>
      <c r="AM1408" s="6"/>
      <c r="AN1408" s="6"/>
      <c r="AO1408" s="6"/>
      <c r="AP1408" s="6"/>
      <c r="AQ1408" s="6"/>
    </row>
    <row r="1409" spans="1:81" x14ac:dyDescent="0.3">
      <c r="A1409" s="6">
        <v>21056</v>
      </c>
      <c r="B1409" s="5" t="s">
        <v>215</v>
      </c>
      <c r="C1409" s="5" t="s">
        <v>216</v>
      </c>
      <c r="D1409" s="2">
        <f t="shared" si="88"/>
        <v>2013</v>
      </c>
      <c r="E1409" s="2">
        <f t="shared" si="89"/>
        <v>2</v>
      </c>
      <c r="F1409" s="3" t="s">
        <v>175</v>
      </c>
      <c r="G1409" s="7">
        <v>41332</v>
      </c>
      <c r="H1409" s="6">
        <v>6597300</v>
      </c>
      <c r="I1409" s="6">
        <v>1619975</v>
      </c>
      <c r="J1409" s="5" t="s">
        <v>186</v>
      </c>
      <c r="K1409" s="1">
        <v>4</v>
      </c>
      <c r="L1409" s="1" t="str">
        <f t="shared" si="90"/>
        <v>Norrviken 4</v>
      </c>
      <c r="M1409" s="5" t="s">
        <v>211</v>
      </c>
      <c r="N1409" s="6">
        <v>1</v>
      </c>
      <c r="O1409" s="6">
        <v>1</v>
      </c>
      <c r="Q1409" s="6">
        <v>1.2</v>
      </c>
      <c r="R1409" s="6">
        <v>8.8000000000000007</v>
      </c>
      <c r="S1409" s="6">
        <v>61</v>
      </c>
    </row>
    <row r="1410" spans="1:81" x14ac:dyDescent="0.3">
      <c r="A1410" s="6">
        <v>21057</v>
      </c>
      <c r="B1410" s="5" t="s">
        <v>215</v>
      </c>
      <c r="C1410" s="5" t="s">
        <v>216</v>
      </c>
      <c r="D1410" s="2">
        <f t="shared" ref="D1410:D1473" si="91">YEAR(G1410)</f>
        <v>2013</v>
      </c>
      <c r="E1410" s="2">
        <f t="shared" ref="E1410:E1473" si="92">MONTH(G1410)</f>
        <v>2</v>
      </c>
      <c r="F1410" s="3" t="s">
        <v>175</v>
      </c>
      <c r="G1410" s="7">
        <v>41332</v>
      </c>
      <c r="H1410" s="6">
        <v>6597300</v>
      </c>
      <c r="I1410" s="6">
        <v>1619975</v>
      </c>
      <c r="J1410" s="5" t="s">
        <v>186</v>
      </c>
      <c r="K1410" s="1">
        <v>4</v>
      </c>
      <c r="L1410" s="1" t="str">
        <f t="shared" ref="L1410:L1473" si="93">CONCATENATE(J1410," ",K1410)</f>
        <v>Norrviken 4</v>
      </c>
      <c r="M1410" s="1" t="s">
        <v>184</v>
      </c>
      <c r="N1410" s="6">
        <v>2</v>
      </c>
      <c r="O1410" s="6">
        <v>2</v>
      </c>
      <c r="Q1410" s="6">
        <v>2.5</v>
      </c>
      <c r="R1410" s="6">
        <v>7.9</v>
      </c>
      <c r="S1410" s="6">
        <v>57</v>
      </c>
      <c r="W1410" s="6">
        <v>244</v>
      </c>
      <c r="Z1410" s="6">
        <v>33.409999999999997</v>
      </c>
      <c r="AD1410" s="6">
        <v>607.84100000000001</v>
      </c>
      <c r="AK1410" s="6">
        <v>53.05</v>
      </c>
      <c r="AL1410" s="6">
        <v>1506.925</v>
      </c>
      <c r="AM1410" s="6"/>
      <c r="AN1410" s="6"/>
      <c r="AO1410" s="6"/>
      <c r="AP1410" s="6"/>
      <c r="AQ1410" s="6"/>
    </row>
    <row r="1411" spans="1:81" x14ac:dyDescent="0.3">
      <c r="A1411" s="6">
        <v>21058</v>
      </c>
      <c r="B1411" s="5" t="s">
        <v>215</v>
      </c>
      <c r="C1411" s="5" t="s">
        <v>216</v>
      </c>
      <c r="D1411" s="2">
        <f t="shared" si="91"/>
        <v>2013</v>
      </c>
      <c r="E1411" s="2">
        <f t="shared" si="92"/>
        <v>2</v>
      </c>
      <c r="F1411" s="3" t="s">
        <v>175</v>
      </c>
      <c r="G1411" s="7">
        <v>41332</v>
      </c>
      <c r="H1411" s="6">
        <v>6597555</v>
      </c>
      <c r="I1411" s="6">
        <v>1629125</v>
      </c>
      <c r="J1411" s="5" t="s">
        <v>185</v>
      </c>
      <c r="K1411" s="1"/>
      <c r="L1411" s="1" t="str">
        <f t="shared" si="93"/>
        <v xml:space="preserve">Gullsjön </v>
      </c>
      <c r="M1411" s="1" t="s">
        <v>177</v>
      </c>
      <c r="N1411" s="6">
        <v>0.5</v>
      </c>
      <c r="O1411" s="6">
        <v>0.5</v>
      </c>
      <c r="P1411" s="6">
        <v>1.7</v>
      </c>
      <c r="Q1411" s="6">
        <v>0.4</v>
      </c>
      <c r="R1411" s="6">
        <v>0.4</v>
      </c>
      <c r="S1411" s="6">
        <v>3</v>
      </c>
      <c r="W1411" s="6">
        <v>202.34399999999999</v>
      </c>
      <c r="Z1411" s="6">
        <v>3.43</v>
      </c>
      <c r="AD1411" s="6">
        <v>0</v>
      </c>
      <c r="AK1411" s="6">
        <v>47.53</v>
      </c>
      <c r="AL1411" s="6">
        <v>1170.326</v>
      </c>
      <c r="AM1411" s="6"/>
      <c r="AN1411" s="6"/>
      <c r="AO1411" s="6"/>
      <c r="AP1411" s="6"/>
      <c r="AQ1411" s="6"/>
    </row>
    <row r="1412" spans="1:81" x14ac:dyDescent="0.3">
      <c r="A1412" s="6">
        <v>21059</v>
      </c>
      <c r="B1412" s="5" t="s">
        <v>215</v>
      </c>
      <c r="C1412" s="5" t="s">
        <v>216</v>
      </c>
      <c r="D1412" s="2">
        <f t="shared" si="91"/>
        <v>2013</v>
      </c>
      <c r="E1412" s="2">
        <f t="shared" si="92"/>
        <v>2</v>
      </c>
      <c r="F1412" s="3" t="s">
        <v>175</v>
      </c>
      <c r="G1412" s="7">
        <v>41332</v>
      </c>
      <c r="H1412" s="6">
        <v>6597555</v>
      </c>
      <c r="I1412" s="6">
        <v>1629125</v>
      </c>
      <c r="J1412" s="5" t="s">
        <v>185</v>
      </c>
      <c r="K1412" s="1"/>
      <c r="L1412" s="1" t="str">
        <f t="shared" si="93"/>
        <v xml:space="preserve">Gullsjön </v>
      </c>
      <c r="M1412" s="5" t="s">
        <v>211</v>
      </c>
      <c r="N1412" s="6">
        <v>1</v>
      </c>
      <c r="O1412" s="6">
        <v>1</v>
      </c>
      <c r="Q1412" s="6">
        <v>1.6</v>
      </c>
      <c r="R1412" s="6">
        <v>0.3</v>
      </c>
      <c r="S1412" s="6">
        <v>2</v>
      </c>
    </row>
    <row r="1413" spans="1:81" x14ac:dyDescent="0.3">
      <c r="A1413" s="6">
        <v>21060</v>
      </c>
      <c r="B1413" s="5" t="s">
        <v>215</v>
      </c>
      <c r="C1413" s="5" t="s">
        <v>216</v>
      </c>
      <c r="D1413" s="2">
        <f t="shared" si="91"/>
        <v>2013</v>
      </c>
      <c r="E1413" s="2">
        <f t="shared" si="92"/>
        <v>2</v>
      </c>
      <c r="F1413" s="3" t="s">
        <v>175</v>
      </c>
      <c r="G1413" s="7">
        <v>41332</v>
      </c>
      <c r="H1413" s="6">
        <v>6597555</v>
      </c>
      <c r="I1413" s="6">
        <v>1629125</v>
      </c>
      <c r="J1413" s="5" t="s">
        <v>185</v>
      </c>
      <c r="K1413" s="1"/>
      <c r="L1413" s="1" t="str">
        <f t="shared" si="93"/>
        <v xml:space="preserve">Gullsjön </v>
      </c>
      <c r="M1413" s="1" t="s">
        <v>184</v>
      </c>
      <c r="N1413" s="6">
        <v>2</v>
      </c>
      <c r="O1413" s="6">
        <v>2</v>
      </c>
      <c r="Q1413" s="6">
        <v>2.9</v>
      </c>
      <c r="R1413" s="6">
        <v>0.3</v>
      </c>
      <c r="S1413" s="6">
        <v>2</v>
      </c>
      <c r="W1413" s="6">
        <v>250</v>
      </c>
      <c r="Z1413" s="6">
        <v>4.7699999999999996</v>
      </c>
      <c r="AD1413" s="6">
        <v>0</v>
      </c>
      <c r="AK1413" s="6">
        <v>41.49</v>
      </c>
      <c r="AL1413" s="6">
        <v>1166.509</v>
      </c>
      <c r="AM1413" s="6"/>
      <c r="AN1413" s="6"/>
      <c r="AO1413" s="6"/>
      <c r="AP1413" s="6"/>
      <c r="AQ1413" s="6"/>
    </row>
    <row r="1414" spans="1:81" x14ac:dyDescent="0.3">
      <c r="A1414" s="1">
        <v>21341</v>
      </c>
      <c r="B1414" s="1" t="s">
        <v>208</v>
      </c>
      <c r="C1414" s="1" t="s">
        <v>209</v>
      </c>
      <c r="D1414" s="2">
        <f t="shared" si="91"/>
        <v>2013</v>
      </c>
      <c r="E1414" s="2">
        <f t="shared" si="92"/>
        <v>3</v>
      </c>
      <c r="F1414" s="3" t="s">
        <v>175</v>
      </c>
      <c r="G1414" s="4">
        <v>41352</v>
      </c>
      <c r="H1414" s="1">
        <v>6600935</v>
      </c>
      <c r="I1414" s="1">
        <v>1626764</v>
      </c>
      <c r="J1414" s="1" t="s">
        <v>191</v>
      </c>
      <c r="K1414" s="1" t="s">
        <v>210</v>
      </c>
      <c r="L1414" s="1" t="str">
        <f t="shared" si="93"/>
        <v>Vallentunasjön Va2</v>
      </c>
      <c r="M1414" s="1" t="s">
        <v>177</v>
      </c>
      <c r="N1414" s="1">
        <v>0.5</v>
      </c>
      <c r="O1414" s="1">
        <v>0.5</v>
      </c>
      <c r="P1414" s="1">
        <v>2.2999999999999998</v>
      </c>
      <c r="Q1414" s="1">
        <v>1</v>
      </c>
      <c r="R1414" s="1">
        <v>5.3</v>
      </c>
      <c r="S1414" s="1">
        <v>38</v>
      </c>
    </row>
    <row r="1415" spans="1:81" x14ac:dyDescent="0.3">
      <c r="A1415" s="1">
        <v>21342</v>
      </c>
      <c r="B1415" s="1" t="s">
        <v>208</v>
      </c>
      <c r="C1415" s="1" t="s">
        <v>209</v>
      </c>
      <c r="D1415" s="2">
        <f t="shared" si="91"/>
        <v>2013</v>
      </c>
      <c r="E1415" s="2">
        <f t="shared" si="92"/>
        <v>3</v>
      </c>
      <c r="F1415" s="3" t="s">
        <v>175</v>
      </c>
      <c r="G1415" s="4">
        <v>41352</v>
      </c>
      <c r="H1415" s="1">
        <v>6600935</v>
      </c>
      <c r="I1415" s="1">
        <v>1626764</v>
      </c>
      <c r="J1415" s="1" t="s">
        <v>191</v>
      </c>
      <c r="K1415" s="1" t="s">
        <v>210</v>
      </c>
      <c r="L1415" s="1" t="str">
        <f t="shared" si="93"/>
        <v>Vallentunasjön Va2</v>
      </c>
      <c r="M1415" s="1" t="s">
        <v>211</v>
      </c>
      <c r="N1415" s="1">
        <v>1</v>
      </c>
      <c r="O1415" s="1">
        <v>1</v>
      </c>
      <c r="Q1415" s="1">
        <v>1.7</v>
      </c>
      <c r="R1415" s="1">
        <v>5.0999999999999996</v>
      </c>
      <c r="S1415" s="1">
        <v>36</v>
      </c>
    </row>
    <row r="1416" spans="1:81" x14ac:dyDescent="0.3">
      <c r="A1416" s="1">
        <v>21343</v>
      </c>
      <c r="B1416" s="1" t="s">
        <v>208</v>
      </c>
      <c r="C1416" s="1" t="s">
        <v>209</v>
      </c>
      <c r="D1416" s="2">
        <f t="shared" si="91"/>
        <v>2013</v>
      </c>
      <c r="E1416" s="2">
        <f t="shared" si="92"/>
        <v>3</v>
      </c>
      <c r="F1416" s="3" t="s">
        <v>175</v>
      </c>
      <c r="G1416" s="4">
        <v>41352</v>
      </c>
      <c r="H1416" s="1">
        <v>6600935</v>
      </c>
      <c r="I1416" s="1">
        <v>1626764</v>
      </c>
      <c r="J1416" s="1" t="s">
        <v>191</v>
      </c>
      <c r="K1416" s="1" t="s">
        <v>210</v>
      </c>
      <c r="L1416" s="1" t="str">
        <f t="shared" si="93"/>
        <v>Vallentunasjön Va2</v>
      </c>
      <c r="M1416" s="1" t="s">
        <v>212</v>
      </c>
      <c r="N1416" s="1">
        <v>2</v>
      </c>
      <c r="O1416" s="1">
        <v>2</v>
      </c>
      <c r="Q1416" s="1">
        <v>3</v>
      </c>
      <c r="R1416" s="1">
        <v>3.3</v>
      </c>
      <c r="S1416" s="1">
        <v>24</v>
      </c>
    </row>
    <row r="1417" spans="1:81" x14ac:dyDescent="0.3">
      <c r="A1417" s="1">
        <v>21344</v>
      </c>
      <c r="B1417" s="1" t="s">
        <v>208</v>
      </c>
      <c r="C1417" s="1" t="s">
        <v>209</v>
      </c>
      <c r="D1417" s="2">
        <f t="shared" si="91"/>
        <v>2013</v>
      </c>
      <c r="E1417" s="2">
        <f t="shared" si="92"/>
        <v>3</v>
      </c>
      <c r="F1417" s="3" t="s">
        <v>175</v>
      </c>
      <c r="G1417" s="4">
        <v>41352</v>
      </c>
      <c r="H1417" s="1">
        <v>6600935</v>
      </c>
      <c r="I1417" s="1">
        <v>1626764</v>
      </c>
      <c r="J1417" s="1" t="s">
        <v>191</v>
      </c>
      <c r="K1417" s="1" t="s">
        <v>210</v>
      </c>
      <c r="L1417" s="1" t="str">
        <f t="shared" si="93"/>
        <v>Vallentunasjön Va2</v>
      </c>
      <c r="M1417" s="1" t="s">
        <v>213</v>
      </c>
      <c r="N1417" s="1">
        <v>3</v>
      </c>
      <c r="O1417" s="1">
        <v>3</v>
      </c>
      <c r="Q1417" s="1">
        <v>3.8</v>
      </c>
      <c r="R1417" s="1">
        <v>0.7</v>
      </c>
      <c r="S1417" s="1">
        <v>5</v>
      </c>
    </row>
    <row r="1418" spans="1:81" x14ac:dyDescent="0.3">
      <c r="A1418" s="1">
        <v>21345</v>
      </c>
      <c r="B1418" s="1" t="s">
        <v>208</v>
      </c>
      <c r="C1418" s="1" t="s">
        <v>209</v>
      </c>
      <c r="D1418" s="2">
        <f t="shared" si="91"/>
        <v>2013</v>
      </c>
      <c r="E1418" s="2">
        <f t="shared" si="92"/>
        <v>3</v>
      </c>
      <c r="F1418" s="3" t="s">
        <v>175</v>
      </c>
      <c r="G1418" s="4">
        <v>41352</v>
      </c>
      <c r="H1418" s="1">
        <v>6600935</v>
      </c>
      <c r="I1418" s="1">
        <v>1626764</v>
      </c>
      <c r="J1418" s="1" t="s">
        <v>191</v>
      </c>
      <c r="K1418" s="1" t="s">
        <v>210</v>
      </c>
      <c r="L1418" s="1" t="str">
        <f t="shared" si="93"/>
        <v>Vallentunasjön Va2</v>
      </c>
      <c r="M1418" s="1" t="s">
        <v>214</v>
      </c>
      <c r="N1418" s="1">
        <v>4</v>
      </c>
      <c r="O1418" s="1">
        <v>4</v>
      </c>
      <c r="Q1418" s="1">
        <v>4.4000000000000004</v>
      </c>
      <c r="R1418" s="1">
        <v>0.4</v>
      </c>
      <c r="S1418" s="1">
        <v>3</v>
      </c>
    </row>
    <row r="1419" spans="1:81" x14ac:dyDescent="0.3">
      <c r="A1419" s="1">
        <v>21346</v>
      </c>
      <c r="B1419" s="1" t="s">
        <v>208</v>
      </c>
      <c r="C1419" s="1" t="s">
        <v>209</v>
      </c>
      <c r="D1419" s="2">
        <f t="shared" si="91"/>
        <v>2013</v>
      </c>
      <c r="E1419" s="2">
        <f t="shared" si="92"/>
        <v>3</v>
      </c>
      <c r="F1419" s="3" t="s">
        <v>175</v>
      </c>
      <c r="G1419" s="4">
        <v>41352</v>
      </c>
      <c r="H1419" s="1">
        <v>6600935</v>
      </c>
      <c r="I1419" s="1">
        <v>1626764</v>
      </c>
      <c r="J1419" s="1" t="s">
        <v>191</v>
      </c>
      <c r="K1419" s="1" t="s">
        <v>210</v>
      </c>
      <c r="L1419" s="1" t="str">
        <f t="shared" si="93"/>
        <v>Vallentunasjön Va2</v>
      </c>
      <c r="M1419" s="1" t="s">
        <v>184</v>
      </c>
      <c r="N1419" s="1">
        <v>4.5</v>
      </c>
      <c r="O1419" s="1">
        <v>4.5</v>
      </c>
      <c r="Q1419" s="1">
        <v>4.7</v>
      </c>
      <c r="R1419" s="1">
        <v>0.3</v>
      </c>
      <c r="S1419" s="1">
        <v>2</v>
      </c>
    </row>
    <row r="1420" spans="1:81" x14ac:dyDescent="0.3">
      <c r="A1420" s="1">
        <v>21347</v>
      </c>
      <c r="B1420" s="1" t="s">
        <v>208</v>
      </c>
      <c r="C1420" s="1" t="s">
        <v>209</v>
      </c>
      <c r="D1420" s="2">
        <f t="shared" si="91"/>
        <v>2013</v>
      </c>
      <c r="E1420" s="2">
        <f t="shared" si="92"/>
        <v>3</v>
      </c>
      <c r="F1420" s="3" t="s">
        <v>175</v>
      </c>
      <c r="G1420" s="4">
        <v>41352</v>
      </c>
      <c r="J1420" s="1" t="s">
        <v>191</v>
      </c>
      <c r="K1420" s="1" t="s">
        <v>206</v>
      </c>
      <c r="L1420" s="1" t="str">
        <f t="shared" si="93"/>
        <v>Vallentunasjön Blandprov</v>
      </c>
      <c r="M1420" s="1" t="s">
        <v>177</v>
      </c>
      <c r="W1420" s="1">
        <v>652</v>
      </c>
      <c r="Z1420" s="1">
        <v>15.84</v>
      </c>
      <c r="AB1420" s="1">
        <v>4.2355039999999997</v>
      </c>
      <c r="AD1420" s="1">
        <v>345.41199999999998</v>
      </c>
      <c r="AG1420" s="1">
        <v>3.80000000000001</v>
      </c>
      <c r="AK1420" s="1">
        <v>42.84</v>
      </c>
      <c r="AL1420" s="1">
        <v>1763.3409999999999</v>
      </c>
    </row>
    <row r="1421" spans="1:81" x14ac:dyDescent="0.3">
      <c r="D1421" s="2">
        <f t="shared" si="91"/>
        <v>2013</v>
      </c>
      <c r="E1421" s="2">
        <f t="shared" si="92"/>
        <v>3</v>
      </c>
      <c r="F1421" s="3" t="s">
        <v>175</v>
      </c>
      <c r="G1421" s="4">
        <v>41352</v>
      </c>
      <c r="H1421" s="1">
        <v>6606238</v>
      </c>
      <c r="I1421" s="1">
        <v>661152</v>
      </c>
      <c r="J1421" s="5" t="s">
        <v>176</v>
      </c>
      <c r="K1421" s="1"/>
      <c r="L1421" s="1" t="str">
        <f t="shared" si="93"/>
        <v xml:space="preserve">Oxundaån </v>
      </c>
      <c r="M1421" s="1" t="s">
        <v>177</v>
      </c>
      <c r="N1421" s="1">
        <v>0.5</v>
      </c>
      <c r="O1421" s="1">
        <v>0.5</v>
      </c>
      <c r="Q1421" s="1">
        <v>0</v>
      </c>
      <c r="T1421" s="1">
        <v>49.55</v>
      </c>
      <c r="V1421" s="1">
        <v>2.6459999999999999</v>
      </c>
      <c r="W1421" s="1">
        <v>24</v>
      </c>
      <c r="X1421" s="1">
        <f>W1421 * (1/((10^((0.0901821 + (2729.92 /(273.15 + Q1421)))-AE1421)+1)))</f>
        <v>3.2750690511527542E-2</v>
      </c>
      <c r="Y1421" s="1">
        <v>0.10199999999999999</v>
      </c>
      <c r="Z1421" s="1">
        <v>43</v>
      </c>
      <c r="AA1421" s="1">
        <v>7.6</v>
      </c>
      <c r="AD1421" s="1">
        <v>1072</v>
      </c>
      <c r="AE1421" s="1">
        <v>7.22</v>
      </c>
      <c r="AG1421" s="1">
        <v>3.2</v>
      </c>
      <c r="AI1421" s="1">
        <v>13.5</v>
      </c>
      <c r="AK1421" s="1">
        <v>57</v>
      </c>
      <c r="AL1421" s="1">
        <v>1611</v>
      </c>
      <c r="AR1421" s="1">
        <v>52.400000000000006</v>
      </c>
      <c r="AT1421" s="1">
        <v>5.1221000000000005</v>
      </c>
      <c r="AU1421" s="1">
        <v>8.5425999999999984</v>
      </c>
      <c r="AV1421" s="1">
        <v>37.612450000000003</v>
      </c>
      <c r="AW1421" s="1">
        <v>24.087000000000003</v>
      </c>
      <c r="AX1421" s="1">
        <v>47.665599999999998</v>
      </c>
      <c r="AY1421" s="1">
        <v>6.51</v>
      </c>
      <c r="CC1421" s="1">
        <v>6.9000000000000006E-2</v>
      </c>
    </row>
    <row r="1422" spans="1:81" x14ac:dyDescent="0.3">
      <c r="A1422" s="1">
        <v>21533</v>
      </c>
      <c r="B1422" s="1" t="s">
        <v>208</v>
      </c>
      <c r="C1422" s="1" t="s">
        <v>209</v>
      </c>
      <c r="D1422" s="2">
        <f t="shared" si="91"/>
        <v>2013</v>
      </c>
      <c r="E1422" s="2">
        <f t="shared" si="92"/>
        <v>4</v>
      </c>
      <c r="F1422" s="3" t="s">
        <v>178</v>
      </c>
      <c r="G1422" s="4">
        <v>41380</v>
      </c>
      <c r="H1422" s="1">
        <v>6600935</v>
      </c>
      <c r="I1422" s="1">
        <v>1626764</v>
      </c>
      <c r="J1422" s="1" t="s">
        <v>191</v>
      </c>
      <c r="K1422" s="1" t="s">
        <v>210</v>
      </c>
      <c r="L1422" s="1" t="str">
        <f t="shared" si="93"/>
        <v>Vallentunasjön Va2</v>
      </c>
      <c r="M1422" s="1" t="s">
        <v>177</v>
      </c>
      <c r="P1422" s="1">
        <v>2.2999999999999998</v>
      </c>
      <c r="Q1422" s="1">
        <v>4.3</v>
      </c>
      <c r="R1422" s="1">
        <v>8.5</v>
      </c>
      <c r="S1422" s="1">
        <v>62</v>
      </c>
    </row>
    <row r="1423" spans="1:81" x14ac:dyDescent="0.3">
      <c r="A1423" s="1">
        <v>21534</v>
      </c>
      <c r="B1423" s="1" t="s">
        <v>208</v>
      </c>
      <c r="C1423" s="1" t="s">
        <v>209</v>
      </c>
      <c r="D1423" s="2">
        <f t="shared" si="91"/>
        <v>2013</v>
      </c>
      <c r="E1423" s="2">
        <f t="shared" si="92"/>
        <v>4</v>
      </c>
      <c r="F1423" s="3" t="s">
        <v>178</v>
      </c>
      <c r="G1423" s="4">
        <v>41380</v>
      </c>
      <c r="H1423" s="1">
        <v>6600935</v>
      </c>
      <c r="I1423" s="1">
        <v>1626764</v>
      </c>
      <c r="J1423" s="1" t="s">
        <v>191</v>
      </c>
      <c r="K1423" s="1" t="s">
        <v>210</v>
      </c>
      <c r="L1423" s="1" t="str">
        <f t="shared" si="93"/>
        <v>Vallentunasjön Va2</v>
      </c>
      <c r="M1423" s="1" t="s">
        <v>211</v>
      </c>
      <c r="Q1423" s="1">
        <v>4.5</v>
      </c>
      <c r="R1423" s="1">
        <v>7.8</v>
      </c>
      <c r="S1423" s="1">
        <v>58</v>
      </c>
    </row>
    <row r="1424" spans="1:81" x14ac:dyDescent="0.3">
      <c r="A1424" s="1">
        <v>21535</v>
      </c>
      <c r="B1424" s="1" t="s">
        <v>208</v>
      </c>
      <c r="C1424" s="1" t="s">
        <v>209</v>
      </c>
      <c r="D1424" s="2">
        <f t="shared" si="91"/>
        <v>2013</v>
      </c>
      <c r="E1424" s="2">
        <f t="shared" si="92"/>
        <v>4</v>
      </c>
      <c r="F1424" s="3" t="s">
        <v>178</v>
      </c>
      <c r="G1424" s="4">
        <v>41380</v>
      </c>
      <c r="H1424" s="1">
        <v>6600935</v>
      </c>
      <c r="I1424" s="1">
        <v>1626764</v>
      </c>
      <c r="J1424" s="1" t="s">
        <v>191</v>
      </c>
      <c r="K1424" s="1" t="s">
        <v>210</v>
      </c>
      <c r="L1424" s="1" t="str">
        <f t="shared" si="93"/>
        <v>Vallentunasjön Va2</v>
      </c>
      <c r="M1424" s="1" t="s">
        <v>212</v>
      </c>
      <c r="Q1424" s="1">
        <v>4.5</v>
      </c>
      <c r="R1424" s="1">
        <v>5.3</v>
      </c>
      <c r="S1424" s="1">
        <v>40</v>
      </c>
    </row>
    <row r="1425" spans="1:81" x14ac:dyDescent="0.3">
      <c r="A1425" s="1">
        <v>21536</v>
      </c>
      <c r="B1425" s="1" t="s">
        <v>208</v>
      </c>
      <c r="C1425" s="1" t="s">
        <v>209</v>
      </c>
      <c r="D1425" s="2">
        <f t="shared" si="91"/>
        <v>2013</v>
      </c>
      <c r="E1425" s="2">
        <f t="shared" si="92"/>
        <v>4</v>
      </c>
      <c r="F1425" s="3" t="s">
        <v>178</v>
      </c>
      <c r="G1425" s="4">
        <v>41380</v>
      </c>
      <c r="H1425" s="1">
        <v>6600935</v>
      </c>
      <c r="I1425" s="1">
        <v>1626764</v>
      </c>
      <c r="J1425" s="1" t="s">
        <v>191</v>
      </c>
      <c r="K1425" s="1" t="s">
        <v>210</v>
      </c>
      <c r="L1425" s="1" t="str">
        <f t="shared" si="93"/>
        <v>Vallentunasjön Va2</v>
      </c>
      <c r="M1425" s="1" t="s">
        <v>213</v>
      </c>
      <c r="Q1425" s="1">
        <v>4.2</v>
      </c>
      <c r="R1425" s="1">
        <v>2.9</v>
      </c>
      <c r="S1425" s="1">
        <v>22</v>
      </c>
    </row>
    <row r="1426" spans="1:81" x14ac:dyDescent="0.3">
      <c r="A1426" s="1">
        <v>21537</v>
      </c>
      <c r="B1426" s="1" t="s">
        <v>208</v>
      </c>
      <c r="C1426" s="1" t="s">
        <v>209</v>
      </c>
      <c r="D1426" s="2">
        <f t="shared" si="91"/>
        <v>2013</v>
      </c>
      <c r="E1426" s="2">
        <f t="shared" si="92"/>
        <v>4</v>
      </c>
      <c r="F1426" s="3" t="s">
        <v>178</v>
      </c>
      <c r="G1426" s="4">
        <v>41380</v>
      </c>
      <c r="H1426" s="1">
        <v>6600935</v>
      </c>
      <c r="I1426" s="1">
        <v>1626764</v>
      </c>
      <c r="J1426" s="1" t="s">
        <v>191</v>
      </c>
      <c r="K1426" s="1" t="s">
        <v>210</v>
      </c>
      <c r="L1426" s="1" t="str">
        <f t="shared" si="93"/>
        <v>Vallentunasjön Va2</v>
      </c>
      <c r="M1426" s="1" t="s">
        <v>214</v>
      </c>
      <c r="Q1426" s="1">
        <v>4.4000000000000004</v>
      </c>
      <c r="R1426" s="1">
        <v>0.3</v>
      </c>
      <c r="S1426" s="1">
        <v>2</v>
      </c>
    </row>
    <row r="1427" spans="1:81" x14ac:dyDescent="0.3">
      <c r="A1427" s="1">
        <v>21538</v>
      </c>
      <c r="B1427" s="1" t="s">
        <v>208</v>
      </c>
      <c r="C1427" s="1" t="s">
        <v>209</v>
      </c>
      <c r="D1427" s="2">
        <f t="shared" si="91"/>
        <v>2013</v>
      </c>
      <c r="E1427" s="2">
        <f t="shared" si="92"/>
        <v>4</v>
      </c>
      <c r="F1427" s="3" t="s">
        <v>178</v>
      </c>
      <c r="G1427" s="4">
        <v>41380</v>
      </c>
      <c r="H1427" s="1">
        <v>6600935</v>
      </c>
      <c r="I1427" s="1">
        <v>1626764</v>
      </c>
      <c r="J1427" s="1" t="s">
        <v>191</v>
      </c>
      <c r="K1427" s="1" t="s">
        <v>210</v>
      </c>
      <c r="L1427" s="1" t="str">
        <f t="shared" si="93"/>
        <v>Vallentunasjön Va2</v>
      </c>
      <c r="M1427" s="1" t="s">
        <v>184</v>
      </c>
      <c r="Q1427" s="1">
        <v>4.5999999999999996</v>
      </c>
      <c r="R1427" s="1">
        <v>0.2</v>
      </c>
      <c r="S1427" s="1">
        <v>2</v>
      </c>
    </row>
    <row r="1428" spans="1:81" x14ac:dyDescent="0.3">
      <c r="A1428" s="1">
        <v>21539</v>
      </c>
      <c r="B1428" s="1" t="s">
        <v>208</v>
      </c>
      <c r="C1428" s="1" t="s">
        <v>209</v>
      </c>
      <c r="D1428" s="2">
        <f t="shared" si="91"/>
        <v>2013</v>
      </c>
      <c r="E1428" s="2">
        <f t="shared" si="92"/>
        <v>4</v>
      </c>
      <c r="F1428" s="3" t="s">
        <v>178</v>
      </c>
      <c r="G1428" s="4">
        <v>41380</v>
      </c>
      <c r="J1428" s="1" t="s">
        <v>191</v>
      </c>
      <c r="K1428" s="1" t="s">
        <v>206</v>
      </c>
      <c r="L1428" s="1" t="str">
        <f t="shared" si="93"/>
        <v>Vallentunasjön Blandprov</v>
      </c>
      <c r="M1428" s="1" t="s">
        <v>177</v>
      </c>
      <c r="W1428" s="1">
        <v>552</v>
      </c>
      <c r="Z1428" s="1">
        <v>4.54</v>
      </c>
      <c r="AB1428" s="1">
        <v>18.0044775</v>
      </c>
      <c r="AD1428" s="1">
        <v>294.471</v>
      </c>
      <c r="AG1428" s="1">
        <v>6.4999999999999902</v>
      </c>
      <c r="AK1428" s="1">
        <v>48.1</v>
      </c>
      <c r="AL1428" s="1">
        <v>1491.6669999999999</v>
      </c>
    </row>
    <row r="1429" spans="1:81" x14ac:dyDescent="0.3">
      <c r="D1429" s="2">
        <f t="shared" si="91"/>
        <v>2013</v>
      </c>
      <c r="E1429" s="2">
        <f t="shared" si="92"/>
        <v>4</v>
      </c>
      <c r="F1429" s="3" t="s">
        <v>178</v>
      </c>
      <c r="G1429" s="4">
        <v>41381</v>
      </c>
      <c r="H1429" s="1">
        <v>6606238</v>
      </c>
      <c r="I1429" s="1">
        <v>661152</v>
      </c>
      <c r="J1429" s="5" t="s">
        <v>176</v>
      </c>
      <c r="K1429" s="1"/>
      <c r="L1429" s="1" t="str">
        <f t="shared" si="93"/>
        <v xml:space="preserve">Oxundaån </v>
      </c>
      <c r="M1429" s="1" t="s">
        <v>177</v>
      </c>
      <c r="N1429" s="1">
        <v>0.5</v>
      </c>
      <c r="O1429" s="1">
        <v>0.5</v>
      </c>
      <c r="Q1429" s="1">
        <v>3.7</v>
      </c>
      <c r="T1429" s="1">
        <v>43.8</v>
      </c>
      <c r="V1429" s="1">
        <v>2.444</v>
      </c>
      <c r="W1429" s="1">
        <v>44</v>
      </c>
      <c r="X1429" s="1">
        <f>W1429 * (1/((10^((0.0901821 + (2729.92 /(273.15 + Q1429)))-AE1429)+1)))</f>
        <v>0.10753783379520901</v>
      </c>
      <c r="Y1429" s="1">
        <v>7.6999999999999999E-2</v>
      </c>
      <c r="Z1429" s="1">
        <v>23</v>
      </c>
      <c r="AA1429" s="1">
        <v>10</v>
      </c>
      <c r="AD1429" s="1">
        <v>703</v>
      </c>
      <c r="AE1429" s="1">
        <v>7.34</v>
      </c>
      <c r="AG1429" s="1">
        <v>9.4</v>
      </c>
      <c r="AI1429" s="1">
        <v>13.2</v>
      </c>
      <c r="AK1429" s="1">
        <v>90</v>
      </c>
      <c r="AL1429" s="1">
        <v>1530</v>
      </c>
      <c r="AR1429" s="1">
        <v>51</v>
      </c>
      <c r="AT1429" s="1">
        <v>5.2003000000000004</v>
      </c>
      <c r="AU1429" s="1">
        <v>8.2885000000000009</v>
      </c>
      <c r="AV1429" s="1">
        <v>36.194449999999996</v>
      </c>
      <c r="AW1429" s="1">
        <v>24.775200000000002</v>
      </c>
      <c r="AX1429" s="1">
        <v>40.265899999999995</v>
      </c>
      <c r="AY1429" s="1">
        <v>5.78</v>
      </c>
      <c r="CC1429" s="1">
        <v>7.2999999999999995E-2</v>
      </c>
    </row>
    <row r="1430" spans="1:81" x14ac:dyDescent="0.3">
      <c r="D1430" s="2">
        <f t="shared" si="91"/>
        <v>2013</v>
      </c>
      <c r="E1430" s="2">
        <f t="shared" si="92"/>
        <v>4</v>
      </c>
      <c r="F1430" s="3" t="s">
        <v>178</v>
      </c>
      <c r="G1430" s="4">
        <v>41393</v>
      </c>
      <c r="J1430" s="1" t="s">
        <v>181</v>
      </c>
      <c r="K1430" s="1"/>
      <c r="L1430" s="1" t="str">
        <f t="shared" si="93"/>
        <v xml:space="preserve">Fysingen </v>
      </c>
      <c r="M1430" s="1" t="s">
        <v>177</v>
      </c>
      <c r="N1430" s="1">
        <v>0.5</v>
      </c>
      <c r="O1430" s="1">
        <v>0.5</v>
      </c>
      <c r="P1430" s="1">
        <v>0.6</v>
      </c>
      <c r="Q1430" s="1">
        <v>7.6</v>
      </c>
      <c r="V1430" s="1">
        <v>1.823</v>
      </c>
      <c r="W1430" s="1">
        <v>226</v>
      </c>
      <c r="X1430" s="1">
        <f>W1430 * (1/((10^((0.0901821 + (2729.92 /(273.15 + Q1430)))-AE1430)+1)))</f>
        <v>0.97360460421047601</v>
      </c>
      <c r="Y1430" s="1">
        <v>0.128</v>
      </c>
      <c r="Z1430" s="1">
        <v>25</v>
      </c>
      <c r="AA1430" s="1">
        <v>21</v>
      </c>
      <c r="AB1430" s="1">
        <v>9.5</v>
      </c>
      <c r="AC1430" s="1">
        <v>36.4</v>
      </c>
      <c r="AD1430" s="1">
        <v>933</v>
      </c>
      <c r="AE1430" s="1">
        <v>7.45</v>
      </c>
      <c r="AI1430" s="1">
        <v>12</v>
      </c>
      <c r="AK1430" s="1">
        <v>73</v>
      </c>
      <c r="AL1430" s="1">
        <v>1620</v>
      </c>
      <c r="AR1430" s="1">
        <v>40</v>
      </c>
      <c r="AS1430" s="1">
        <v>1.1000000000000001</v>
      </c>
      <c r="AT1430" s="1">
        <v>4.6528999999999998</v>
      </c>
      <c r="AU1430" s="1">
        <v>7.7802999999999995</v>
      </c>
      <c r="AV1430" s="1">
        <v>24.63775</v>
      </c>
      <c r="AW1430" s="1">
        <v>17.319700000000001</v>
      </c>
      <c r="AX1430" s="1">
        <v>43.86965</v>
      </c>
      <c r="AY1430" s="1">
        <v>7.13</v>
      </c>
      <c r="AZ1430" s="1">
        <v>680</v>
      </c>
    </row>
    <row r="1431" spans="1:81" x14ac:dyDescent="0.3">
      <c r="A1431" s="6">
        <v>22011</v>
      </c>
      <c r="B1431" s="5" t="s">
        <v>215</v>
      </c>
      <c r="C1431" s="5" t="s">
        <v>216</v>
      </c>
      <c r="D1431" s="2">
        <f t="shared" si="91"/>
        <v>2013</v>
      </c>
      <c r="E1431" s="2">
        <f t="shared" si="92"/>
        <v>5</v>
      </c>
      <c r="F1431" s="3" t="s">
        <v>178</v>
      </c>
      <c r="G1431" s="7">
        <v>41400</v>
      </c>
      <c r="H1431" s="6">
        <v>6599245</v>
      </c>
      <c r="I1431" s="6">
        <v>1622345</v>
      </c>
      <c r="J1431" s="5" t="s">
        <v>186</v>
      </c>
      <c r="K1431" s="1">
        <v>1</v>
      </c>
      <c r="L1431" s="1" t="str">
        <f t="shared" si="93"/>
        <v>Norrviken 1</v>
      </c>
      <c r="M1431" s="1" t="s">
        <v>177</v>
      </c>
      <c r="N1431" s="6">
        <v>0.5</v>
      </c>
      <c r="O1431" s="6">
        <v>0.5</v>
      </c>
      <c r="P1431" s="6">
        <v>1</v>
      </c>
      <c r="Q1431" s="6">
        <v>12.6</v>
      </c>
      <c r="R1431" s="6">
        <v>12.3</v>
      </c>
      <c r="S1431" s="6">
        <v>113</v>
      </c>
      <c r="V1431" s="6">
        <v>2.3435659919028398</v>
      </c>
      <c r="W1431" s="6">
        <v>6.9180000000000001</v>
      </c>
      <c r="X1431" s="1">
        <f>W1431 * (1/((10^((0.0901821 + (2729.92 /(273.15 + Q1431)))-AE1431)+1)))</f>
        <v>0.13726780310757586</v>
      </c>
      <c r="Y1431" s="6">
        <v>9.8000000000000004E-2</v>
      </c>
      <c r="Z1431" s="6">
        <v>5.17</v>
      </c>
      <c r="AA1431" s="6">
        <v>7.5</v>
      </c>
      <c r="AB1431" s="6">
        <v>21.512806451612899</v>
      </c>
      <c r="AD1431" s="6">
        <v>424.52699999999999</v>
      </c>
      <c r="AE1431" s="6">
        <v>7.95</v>
      </c>
      <c r="AK1431" s="6">
        <v>51.22</v>
      </c>
      <c r="AL1431" s="6">
        <v>1284.6949999999999</v>
      </c>
      <c r="AM1431" s="6"/>
      <c r="AN1431" s="6"/>
      <c r="AO1431" s="6"/>
      <c r="AP1431" s="6"/>
      <c r="AQ1431" s="6"/>
    </row>
    <row r="1432" spans="1:81" x14ac:dyDescent="0.3">
      <c r="A1432" s="6">
        <v>22012</v>
      </c>
      <c r="B1432" s="5" t="s">
        <v>215</v>
      </c>
      <c r="C1432" s="5" t="s">
        <v>216</v>
      </c>
      <c r="D1432" s="2">
        <f t="shared" si="91"/>
        <v>2013</v>
      </c>
      <c r="E1432" s="2">
        <f t="shared" si="92"/>
        <v>5</v>
      </c>
      <c r="F1432" s="3" t="s">
        <v>178</v>
      </c>
      <c r="G1432" s="7">
        <v>41400</v>
      </c>
      <c r="H1432" s="6">
        <v>6599245</v>
      </c>
      <c r="I1432" s="6">
        <v>1622345</v>
      </c>
      <c r="J1432" s="5" t="s">
        <v>186</v>
      </c>
      <c r="K1432" s="1">
        <v>1</v>
      </c>
      <c r="L1432" s="1" t="str">
        <f t="shared" si="93"/>
        <v>Norrviken 1</v>
      </c>
      <c r="M1432" s="5" t="s">
        <v>211</v>
      </c>
      <c r="N1432" s="6">
        <v>1</v>
      </c>
      <c r="O1432" s="6">
        <v>1</v>
      </c>
      <c r="Q1432" s="6">
        <v>12.4</v>
      </c>
      <c r="R1432" s="6">
        <v>12.3</v>
      </c>
      <c r="S1432" s="6">
        <v>114</v>
      </c>
    </row>
    <row r="1433" spans="1:81" x14ac:dyDescent="0.3">
      <c r="A1433" s="6">
        <v>22013</v>
      </c>
      <c r="B1433" s="5" t="s">
        <v>215</v>
      </c>
      <c r="C1433" s="5" t="s">
        <v>216</v>
      </c>
      <c r="D1433" s="2">
        <f t="shared" si="91"/>
        <v>2013</v>
      </c>
      <c r="E1433" s="2">
        <f t="shared" si="92"/>
        <v>5</v>
      </c>
      <c r="F1433" s="3" t="s">
        <v>178</v>
      </c>
      <c r="G1433" s="7">
        <v>41400</v>
      </c>
      <c r="H1433" s="6">
        <v>6599245</v>
      </c>
      <c r="I1433" s="6">
        <v>1622345</v>
      </c>
      <c r="J1433" s="5" t="s">
        <v>186</v>
      </c>
      <c r="K1433" s="1">
        <v>1</v>
      </c>
      <c r="L1433" s="1" t="str">
        <f t="shared" si="93"/>
        <v>Norrviken 1</v>
      </c>
      <c r="M1433" s="5" t="s">
        <v>212</v>
      </c>
      <c r="N1433" s="6">
        <v>2</v>
      </c>
      <c r="O1433" s="6">
        <v>2</v>
      </c>
      <c r="Q1433" s="6">
        <v>12.1</v>
      </c>
      <c r="R1433" s="6">
        <v>12.3</v>
      </c>
      <c r="S1433" s="6">
        <v>114</v>
      </c>
    </row>
    <row r="1434" spans="1:81" x14ac:dyDescent="0.3">
      <c r="A1434" s="6">
        <v>22014</v>
      </c>
      <c r="B1434" s="5" t="s">
        <v>215</v>
      </c>
      <c r="C1434" s="5" t="s">
        <v>216</v>
      </c>
      <c r="D1434" s="2">
        <f t="shared" si="91"/>
        <v>2013</v>
      </c>
      <c r="E1434" s="2">
        <f t="shared" si="92"/>
        <v>5</v>
      </c>
      <c r="F1434" s="3" t="s">
        <v>178</v>
      </c>
      <c r="G1434" s="7">
        <v>41400</v>
      </c>
      <c r="H1434" s="6">
        <v>6599245</v>
      </c>
      <c r="I1434" s="6">
        <v>1622345</v>
      </c>
      <c r="J1434" s="5" t="s">
        <v>186</v>
      </c>
      <c r="K1434" s="1">
        <v>1</v>
      </c>
      <c r="L1434" s="1" t="str">
        <f t="shared" si="93"/>
        <v>Norrviken 1</v>
      </c>
      <c r="M1434" s="1" t="s">
        <v>184</v>
      </c>
      <c r="N1434" s="6">
        <v>2.8</v>
      </c>
      <c r="O1434" s="6">
        <v>2.8</v>
      </c>
      <c r="Q1434" s="6">
        <v>11.8</v>
      </c>
      <c r="R1434" s="6">
        <v>12</v>
      </c>
      <c r="S1434" s="6">
        <v>109</v>
      </c>
    </row>
    <row r="1435" spans="1:81" x14ac:dyDescent="0.3">
      <c r="A1435" s="6">
        <v>22015</v>
      </c>
      <c r="B1435" s="5" t="s">
        <v>215</v>
      </c>
      <c r="C1435" s="5" t="s">
        <v>216</v>
      </c>
      <c r="D1435" s="2">
        <f t="shared" si="91"/>
        <v>2013</v>
      </c>
      <c r="E1435" s="2">
        <f t="shared" si="92"/>
        <v>5</v>
      </c>
      <c r="F1435" s="3" t="s">
        <v>178</v>
      </c>
      <c r="G1435" s="7">
        <v>41400</v>
      </c>
      <c r="H1435" s="6">
        <v>6596620</v>
      </c>
      <c r="I1435" s="6">
        <v>1620350</v>
      </c>
      <c r="J1435" s="5" t="s">
        <v>186</v>
      </c>
      <c r="K1435" s="1">
        <v>2</v>
      </c>
      <c r="L1435" s="1" t="str">
        <f t="shared" si="93"/>
        <v>Norrviken 2</v>
      </c>
      <c r="M1435" s="1" t="s">
        <v>177</v>
      </c>
      <c r="N1435" s="6">
        <v>0.5</v>
      </c>
      <c r="O1435" s="6">
        <v>0.5</v>
      </c>
      <c r="P1435" s="6">
        <v>1.6</v>
      </c>
      <c r="Q1435" s="6">
        <v>10.199999999999999</v>
      </c>
      <c r="R1435" s="6">
        <v>16.8</v>
      </c>
      <c r="S1435" s="6">
        <v>147</v>
      </c>
      <c r="V1435" s="6">
        <v>2.62161619433199</v>
      </c>
      <c r="W1435" s="6">
        <v>6.9489999999999998</v>
      </c>
      <c r="X1435" s="1">
        <f>W1435 * (1/((10^((0.0901821 + (2729.92 /(273.15 + Q1435)))-AE1435)+1)))</f>
        <v>0.40831567849919365</v>
      </c>
      <c r="Y1435" s="6">
        <v>7.2999999999999995E-2</v>
      </c>
      <c r="Z1435" s="6">
        <v>2.58</v>
      </c>
      <c r="AA1435" s="6">
        <v>4.0999999999999996</v>
      </c>
      <c r="AB1435" s="6">
        <v>17.881636</v>
      </c>
      <c r="AD1435" s="6">
        <v>204.03</v>
      </c>
      <c r="AE1435" s="6">
        <v>8.52</v>
      </c>
      <c r="AK1435" s="6">
        <v>36.53</v>
      </c>
      <c r="AL1435" s="6">
        <v>1012.9589999999999</v>
      </c>
      <c r="AM1435" s="6"/>
      <c r="AN1435" s="6"/>
      <c r="AO1435" s="6"/>
      <c r="AP1435" s="6"/>
      <c r="AQ1435" s="6"/>
    </row>
    <row r="1436" spans="1:81" x14ac:dyDescent="0.3">
      <c r="A1436" s="6">
        <v>22016</v>
      </c>
      <c r="B1436" s="5" t="s">
        <v>215</v>
      </c>
      <c r="C1436" s="5" t="s">
        <v>216</v>
      </c>
      <c r="D1436" s="2">
        <f t="shared" si="91"/>
        <v>2013</v>
      </c>
      <c r="E1436" s="2">
        <f t="shared" si="92"/>
        <v>5</v>
      </c>
      <c r="F1436" s="3" t="s">
        <v>178</v>
      </c>
      <c r="G1436" s="7">
        <v>41400</v>
      </c>
      <c r="H1436" s="6">
        <v>6596620</v>
      </c>
      <c r="I1436" s="6">
        <v>1620350</v>
      </c>
      <c r="J1436" s="5" t="s">
        <v>186</v>
      </c>
      <c r="K1436" s="1">
        <v>2</v>
      </c>
      <c r="L1436" s="1" t="str">
        <f t="shared" si="93"/>
        <v>Norrviken 2</v>
      </c>
      <c r="M1436" s="5" t="s">
        <v>211</v>
      </c>
      <c r="N1436" s="6">
        <v>1</v>
      </c>
      <c r="O1436" s="6">
        <v>1</v>
      </c>
      <c r="Q1436" s="6">
        <v>10.1</v>
      </c>
      <c r="R1436" s="6">
        <v>16.899999999999999</v>
      </c>
      <c r="S1436" s="6">
        <v>148</v>
      </c>
    </row>
    <row r="1437" spans="1:81" x14ac:dyDescent="0.3">
      <c r="A1437" s="6">
        <v>22017</v>
      </c>
      <c r="B1437" s="5" t="s">
        <v>215</v>
      </c>
      <c r="C1437" s="5" t="s">
        <v>216</v>
      </c>
      <c r="D1437" s="2">
        <f t="shared" si="91"/>
        <v>2013</v>
      </c>
      <c r="E1437" s="2">
        <f t="shared" si="92"/>
        <v>5</v>
      </c>
      <c r="F1437" s="3" t="s">
        <v>178</v>
      </c>
      <c r="G1437" s="7">
        <v>41400</v>
      </c>
      <c r="H1437" s="6">
        <v>6596620</v>
      </c>
      <c r="I1437" s="6">
        <v>1620350</v>
      </c>
      <c r="J1437" s="5" t="s">
        <v>186</v>
      </c>
      <c r="K1437" s="1">
        <v>2</v>
      </c>
      <c r="L1437" s="1" t="str">
        <f t="shared" si="93"/>
        <v>Norrviken 2</v>
      </c>
      <c r="M1437" s="5" t="s">
        <v>212</v>
      </c>
      <c r="N1437" s="6">
        <v>2</v>
      </c>
      <c r="O1437" s="6">
        <v>2</v>
      </c>
      <c r="Q1437" s="6">
        <v>10</v>
      </c>
      <c r="R1437" s="6">
        <v>17</v>
      </c>
      <c r="S1437" s="6">
        <v>148</v>
      </c>
    </row>
    <row r="1438" spans="1:81" x14ac:dyDescent="0.3">
      <c r="A1438" s="6">
        <v>22018</v>
      </c>
      <c r="B1438" s="5" t="s">
        <v>215</v>
      </c>
      <c r="C1438" s="5" t="s">
        <v>216</v>
      </c>
      <c r="D1438" s="2">
        <f t="shared" si="91"/>
        <v>2013</v>
      </c>
      <c r="E1438" s="2">
        <f t="shared" si="92"/>
        <v>5</v>
      </c>
      <c r="F1438" s="3" t="s">
        <v>178</v>
      </c>
      <c r="G1438" s="7">
        <v>41400</v>
      </c>
      <c r="H1438" s="6">
        <v>6596620</v>
      </c>
      <c r="I1438" s="6">
        <v>1620350</v>
      </c>
      <c r="J1438" s="5" t="s">
        <v>186</v>
      </c>
      <c r="K1438" s="1">
        <v>2</v>
      </c>
      <c r="L1438" s="1" t="str">
        <f t="shared" si="93"/>
        <v>Norrviken 2</v>
      </c>
      <c r="M1438" s="5" t="s">
        <v>213</v>
      </c>
      <c r="N1438" s="6">
        <v>3</v>
      </c>
      <c r="O1438" s="6">
        <v>3</v>
      </c>
      <c r="Q1438" s="6">
        <v>9.9</v>
      </c>
      <c r="R1438" s="6">
        <v>16.899999999999999</v>
      </c>
      <c r="S1438" s="6">
        <v>148</v>
      </c>
    </row>
    <row r="1439" spans="1:81" x14ac:dyDescent="0.3">
      <c r="A1439" s="6">
        <v>22019</v>
      </c>
      <c r="B1439" s="5" t="s">
        <v>215</v>
      </c>
      <c r="C1439" s="5" t="s">
        <v>216</v>
      </c>
      <c r="D1439" s="2">
        <f t="shared" si="91"/>
        <v>2013</v>
      </c>
      <c r="E1439" s="2">
        <f t="shared" si="92"/>
        <v>5</v>
      </c>
      <c r="F1439" s="3" t="s">
        <v>178</v>
      </c>
      <c r="G1439" s="7">
        <v>41400</v>
      </c>
      <c r="H1439" s="6">
        <v>6596620</v>
      </c>
      <c r="I1439" s="6">
        <v>1620350</v>
      </c>
      <c r="J1439" s="5" t="s">
        <v>186</v>
      </c>
      <c r="K1439" s="1">
        <v>2</v>
      </c>
      <c r="L1439" s="1" t="str">
        <f t="shared" si="93"/>
        <v>Norrviken 2</v>
      </c>
      <c r="M1439" s="5" t="s">
        <v>214</v>
      </c>
      <c r="N1439" s="6">
        <v>4</v>
      </c>
      <c r="O1439" s="6">
        <v>4</v>
      </c>
      <c r="Q1439" s="6">
        <v>9.6</v>
      </c>
      <c r="R1439" s="6">
        <v>16.2</v>
      </c>
      <c r="S1439" s="6">
        <v>136</v>
      </c>
    </row>
    <row r="1440" spans="1:81" x14ac:dyDescent="0.3">
      <c r="A1440" s="6">
        <v>22020</v>
      </c>
      <c r="B1440" s="5" t="s">
        <v>215</v>
      </c>
      <c r="C1440" s="5" t="s">
        <v>216</v>
      </c>
      <c r="D1440" s="2">
        <f t="shared" si="91"/>
        <v>2013</v>
      </c>
      <c r="E1440" s="2">
        <f t="shared" si="92"/>
        <v>5</v>
      </c>
      <c r="F1440" s="3" t="s">
        <v>178</v>
      </c>
      <c r="G1440" s="7">
        <v>41400</v>
      </c>
      <c r="H1440" s="6">
        <v>6596620</v>
      </c>
      <c r="I1440" s="6">
        <v>1620350</v>
      </c>
      <c r="J1440" s="5" t="s">
        <v>186</v>
      </c>
      <c r="K1440" s="1">
        <v>2</v>
      </c>
      <c r="L1440" s="1" t="str">
        <f t="shared" si="93"/>
        <v>Norrviken 2</v>
      </c>
      <c r="M1440" s="5" t="s">
        <v>217</v>
      </c>
      <c r="N1440" s="6">
        <v>5</v>
      </c>
      <c r="O1440" s="6">
        <v>5</v>
      </c>
      <c r="Q1440" s="6">
        <v>8.1</v>
      </c>
      <c r="R1440" s="6">
        <v>14.2</v>
      </c>
      <c r="S1440" s="6">
        <v>118</v>
      </c>
    </row>
    <row r="1441" spans="1:43" x14ac:dyDescent="0.3">
      <c r="A1441" s="6">
        <v>22021</v>
      </c>
      <c r="B1441" s="5" t="s">
        <v>215</v>
      </c>
      <c r="C1441" s="5" t="s">
        <v>216</v>
      </c>
      <c r="D1441" s="2">
        <f t="shared" si="91"/>
        <v>2013</v>
      </c>
      <c r="E1441" s="2">
        <f t="shared" si="92"/>
        <v>5</v>
      </c>
      <c r="F1441" s="3" t="s">
        <v>178</v>
      </c>
      <c r="G1441" s="7">
        <v>41400</v>
      </c>
      <c r="H1441" s="6">
        <v>6596620</v>
      </c>
      <c r="I1441" s="6">
        <v>1620350</v>
      </c>
      <c r="J1441" s="5" t="s">
        <v>186</v>
      </c>
      <c r="K1441" s="1">
        <v>2</v>
      </c>
      <c r="L1441" s="1" t="str">
        <f t="shared" si="93"/>
        <v>Norrviken 2</v>
      </c>
      <c r="M1441" s="5" t="s">
        <v>218</v>
      </c>
      <c r="N1441" s="6">
        <v>6</v>
      </c>
      <c r="O1441" s="6">
        <v>6</v>
      </c>
      <c r="Q1441" s="6">
        <v>7.9</v>
      </c>
      <c r="R1441" s="6">
        <v>14</v>
      </c>
      <c r="S1441" s="6">
        <v>115</v>
      </c>
    </row>
    <row r="1442" spans="1:43" x14ac:dyDescent="0.3">
      <c r="A1442" s="6">
        <v>22022</v>
      </c>
      <c r="B1442" s="5" t="s">
        <v>215</v>
      </c>
      <c r="C1442" s="5" t="s">
        <v>216</v>
      </c>
      <c r="D1442" s="2">
        <f t="shared" si="91"/>
        <v>2013</v>
      </c>
      <c r="E1442" s="2">
        <f t="shared" si="92"/>
        <v>5</v>
      </c>
      <c r="F1442" s="3" t="s">
        <v>178</v>
      </c>
      <c r="G1442" s="7">
        <v>41400</v>
      </c>
      <c r="H1442" s="6">
        <v>6596620</v>
      </c>
      <c r="I1442" s="6">
        <v>1620350</v>
      </c>
      <c r="J1442" s="5" t="s">
        <v>186</v>
      </c>
      <c r="K1442" s="1">
        <v>2</v>
      </c>
      <c r="L1442" s="1" t="str">
        <f t="shared" si="93"/>
        <v>Norrviken 2</v>
      </c>
      <c r="M1442" s="5" t="s">
        <v>219</v>
      </c>
      <c r="N1442" s="6">
        <v>7</v>
      </c>
      <c r="O1442" s="6">
        <v>7</v>
      </c>
      <c r="Q1442" s="6">
        <v>7.8</v>
      </c>
      <c r="R1442" s="6">
        <v>13.4</v>
      </c>
      <c r="S1442" s="6">
        <v>109</v>
      </c>
    </row>
    <row r="1443" spans="1:43" x14ac:dyDescent="0.3">
      <c r="A1443" s="6">
        <v>22023</v>
      </c>
      <c r="B1443" s="5" t="s">
        <v>215</v>
      </c>
      <c r="C1443" s="5" t="s">
        <v>216</v>
      </c>
      <c r="D1443" s="2">
        <f t="shared" si="91"/>
        <v>2013</v>
      </c>
      <c r="E1443" s="2">
        <f t="shared" si="92"/>
        <v>5</v>
      </c>
      <c r="F1443" s="3" t="s">
        <v>178</v>
      </c>
      <c r="G1443" s="7">
        <v>41400</v>
      </c>
      <c r="H1443" s="6">
        <v>6596620</v>
      </c>
      <c r="I1443" s="6">
        <v>1620350</v>
      </c>
      <c r="J1443" s="5" t="s">
        <v>186</v>
      </c>
      <c r="K1443" s="1">
        <v>2</v>
      </c>
      <c r="L1443" s="1" t="str">
        <f t="shared" si="93"/>
        <v>Norrviken 2</v>
      </c>
      <c r="M1443" s="5" t="s">
        <v>220</v>
      </c>
      <c r="N1443" s="6">
        <v>8</v>
      </c>
      <c r="O1443" s="6">
        <v>8</v>
      </c>
      <c r="Q1443" s="6">
        <v>7.5</v>
      </c>
      <c r="R1443" s="6">
        <v>11.1</v>
      </c>
      <c r="S1443" s="6">
        <v>90</v>
      </c>
    </row>
    <row r="1444" spans="1:43" x14ac:dyDescent="0.3">
      <c r="A1444" s="6">
        <v>22024</v>
      </c>
      <c r="B1444" s="5" t="s">
        <v>215</v>
      </c>
      <c r="C1444" s="5" t="s">
        <v>216</v>
      </c>
      <c r="D1444" s="2">
        <f t="shared" si="91"/>
        <v>2013</v>
      </c>
      <c r="E1444" s="2">
        <f t="shared" si="92"/>
        <v>5</v>
      </c>
      <c r="F1444" s="3" t="s">
        <v>178</v>
      </c>
      <c r="G1444" s="7">
        <v>41400</v>
      </c>
      <c r="H1444" s="6">
        <v>6596620</v>
      </c>
      <c r="I1444" s="6">
        <v>1620350</v>
      </c>
      <c r="J1444" s="5" t="s">
        <v>186</v>
      </c>
      <c r="K1444" s="1">
        <v>2</v>
      </c>
      <c r="L1444" s="1" t="str">
        <f t="shared" si="93"/>
        <v>Norrviken 2</v>
      </c>
      <c r="M1444" s="1" t="s">
        <v>184</v>
      </c>
      <c r="N1444" s="6">
        <v>9</v>
      </c>
      <c r="O1444" s="6">
        <v>9</v>
      </c>
      <c r="Q1444" s="6">
        <v>7.2</v>
      </c>
      <c r="R1444" s="6">
        <v>10.1</v>
      </c>
      <c r="S1444" s="6">
        <v>82</v>
      </c>
    </row>
    <row r="1445" spans="1:43" x14ac:dyDescent="0.3">
      <c r="A1445" s="6">
        <v>22025</v>
      </c>
      <c r="B1445" s="5" t="s">
        <v>215</v>
      </c>
      <c r="C1445" s="5" t="s">
        <v>216</v>
      </c>
      <c r="D1445" s="2">
        <f t="shared" si="91"/>
        <v>2013</v>
      </c>
      <c r="E1445" s="2">
        <f t="shared" si="92"/>
        <v>5</v>
      </c>
      <c r="F1445" s="3" t="s">
        <v>178</v>
      </c>
      <c r="G1445" s="7">
        <v>41400</v>
      </c>
      <c r="H1445" s="6">
        <v>6594885</v>
      </c>
      <c r="I1445" s="6">
        <v>1620750</v>
      </c>
      <c r="J1445" s="5" t="s">
        <v>186</v>
      </c>
      <c r="K1445" s="1">
        <v>3</v>
      </c>
      <c r="L1445" s="1" t="str">
        <f t="shared" si="93"/>
        <v>Norrviken 3</v>
      </c>
      <c r="M1445" s="1" t="s">
        <v>177</v>
      </c>
      <c r="N1445" s="6">
        <v>0.5</v>
      </c>
      <c r="O1445" s="6">
        <v>0.5</v>
      </c>
      <c r="P1445" s="6">
        <v>1.5</v>
      </c>
      <c r="Q1445" s="6">
        <v>9.6999999999999993</v>
      </c>
      <c r="R1445" s="6">
        <v>16.399999999999999</v>
      </c>
      <c r="S1445" s="6">
        <v>142</v>
      </c>
      <c r="V1445" s="6">
        <v>2.62161619433199</v>
      </c>
      <c r="W1445" s="6">
        <v>9.3759999999999994</v>
      </c>
      <c r="X1445" s="1">
        <f>W1445 * (1/((10^((0.0901821 + (2729.92 /(273.15 + Q1445)))-AE1445)+1)))</f>
        <v>0.342148621102427</v>
      </c>
      <c r="Y1445" s="6">
        <v>7.8E-2</v>
      </c>
      <c r="Z1445" s="6">
        <v>1.6800000000000002</v>
      </c>
      <c r="AA1445" s="6">
        <v>4.4000000000000004</v>
      </c>
      <c r="AB1445" s="6">
        <v>27.739643999999998</v>
      </c>
      <c r="AD1445" s="6">
        <v>203.52199999999999</v>
      </c>
      <c r="AE1445" s="6">
        <v>8.32</v>
      </c>
      <c r="AK1445" s="6">
        <v>40.33</v>
      </c>
      <c r="AL1445" s="6">
        <v>1063.402</v>
      </c>
      <c r="AM1445" s="6"/>
      <c r="AN1445" s="6"/>
      <c r="AO1445" s="6"/>
      <c r="AP1445" s="6"/>
      <c r="AQ1445" s="6"/>
    </row>
    <row r="1446" spans="1:43" x14ac:dyDescent="0.3">
      <c r="A1446" s="6">
        <v>22026</v>
      </c>
      <c r="B1446" s="5" t="s">
        <v>215</v>
      </c>
      <c r="C1446" s="5" t="s">
        <v>216</v>
      </c>
      <c r="D1446" s="2">
        <f t="shared" si="91"/>
        <v>2013</v>
      </c>
      <c r="E1446" s="2">
        <f t="shared" si="92"/>
        <v>5</v>
      </c>
      <c r="F1446" s="3" t="s">
        <v>178</v>
      </c>
      <c r="G1446" s="7">
        <v>41400</v>
      </c>
      <c r="H1446" s="6">
        <v>6594885</v>
      </c>
      <c r="I1446" s="6">
        <v>1620750</v>
      </c>
      <c r="J1446" s="5" t="s">
        <v>186</v>
      </c>
      <c r="K1446" s="1">
        <v>3</v>
      </c>
      <c r="L1446" s="1" t="str">
        <f t="shared" si="93"/>
        <v>Norrviken 3</v>
      </c>
      <c r="M1446" s="5" t="s">
        <v>211</v>
      </c>
      <c r="N1446" s="6">
        <v>1</v>
      </c>
      <c r="O1446" s="6">
        <v>1</v>
      </c>
      <c r="Q1446" s="6">
        <v>9.5</v>
      </c>
      <c r="R1446" s="6">
        <v>16.5</v>
      </c>
      <c r="S1446" s="6">
        <v>142</v>
      </c>
    </row>
    <row r="1447" spans="1:43" x14ac:dyDescent="0.3">
      <c r="A1447" s="6">
        <v>22027</v>
      </c>
      <c r="B1447" s="5" t="s">
        <v>215</v>
      </c>
      <c r="C1447" s="5" t="s">
        <v>216</v>
      </c>
      <c r="D1447" s="2">
        <f t="shared" si="91"/>
        <v>2013</v>
      </c>
      <c r="E1447" s="2">
        <f t="shared" si="92"/>
        <v>5</v>
      </c>
      <c r="F1447" s="3" t="s">
        <v>178</v>
      </c>
      <c r="G1447" s="7">
        <v>41400</v>
      </c>
      <c r="H1447" s="6">
        <v>6594885</v>
      </c>
      <c r="I1447" s="6">
        <v>1620750</v>
      </c>
      <c r="J1447" s="5" t="s">
        <v>186</v>
      </c>
      <c r="K1447" s="1">
        <v>3</v>
      </c>
      <c r="L1447" s="1" t="str">
        <f t="shared" si="93"/>
        <v>Norrviken 3</v>
      </c>
      <c r="M1447" s="5" t="s">
        <v>212</v>
      </c>
      <c r="N1447" s="6">
        <v>2</v>
      </c>
      <c r="O1447" s="6">
        <v>2</v>
      </c>
      <c r="Q1447" s="6">
        <v>9.4</v>
      </c>
      <c r="R1447" s="6">
        <v>16.5</v>
      </c>
      <c r="S1447" s="6">
        <v>142</v>
      </c>
    </row>
    <row r="1448" spans="1:43" x14ac:dyDescent="0.3">
      <c r="A1448" s="6">
        <v>22028</v>
      </c>
      <c r="B1448" s="5" t="s">
        <v>215</v>
      </c>
      <c r="C1448" s="5" t="s">
        <v>216</v>
      </c>
      <c r="D1448" s="2">
        <f t="shared" si="91"/>
        <v>2013</v>
      </c>
      <c r="E1448" s="2">
        <f t="shared" si="92"/>
        <v>5</v>
      </c>
      <c r="F1448" s="3" t="s">
        <v>178</v>
      </c>
      <c r="G1448" s="7">
        <v>41400</v>
      </c>
      <c r="H1448" s="6">
        <v>6594885</v>
      </c>
      <c r="I1448" s="6">
        <v>1620750</v>
      </c>
      <c r="J1448" s="5" t="s">
        <v>186</v>
      </c>
      <c r="K1448" s="1">
        <v>3</v>
      </c>
      <c r="L1448" s="1" t="str">
        <f t="shared" si="93"/>
        <v>Norrviken 3</v>
      </c>
      <c r="M1448" s="5" t="s">
        <v>213</v>
      </c>
      <c r="N1448" s="6">
        <v>3</v>
      </c>
      <c r="O1448" s="6">
        <v>3</v>
      </c>
      <c r="Q1448" s="6">
        <v>9.1999999999999993</v>
      </c>
      <c r="R1448" s="6">
        <v>16.2</v>
      </c>
      <c r="S1448" s="6">
        <v>139</v>
      </c>
    </row>
    <row r="1449" spans="1:43" x14ac:dyDescent="0.3">
      <c r="A1449" s="6">
        <v>22029</v>
      </c>
      <c r="B1449" s="5" t="s">
        <v>215</v>
      </c>
      <c r="C1449" s="5" t="s">
        <v>216</v>
      </c>
      <c r="D1449" s="2">
        <f t="shared" si="91"/>
        <v>2013</v>
      </c>
      <c r="E1449" s="2">
        <f t="shared" si="92"/>
        <v>5</v>
      </c>
      <c r="F1449" s="3" t="s">
        <v>178</v>
      </c>
      <c r="G1449" s="7">
        <v>41400</v>
      </c>
      <c r="H1449" s="6">
        <v>6594885</v>
      </c>
      <c r="I1449" s="6">
        <v>1620750</v>
      </c>
      <c r="J1449" s="5" t="s">
        <v>186</v>
      </c>
      <c r="K1449" s="1">
        <v>3</v>
      </c>
      <c r="L1449" s="1" t="str">
        <f t="shared" si="93"/>
        <v>Norrviken 3</v>
      </c>
      <c r="M1449" s="5" t="s">
        <v>214</v>
      </c>
      <c r="N1449" s="6">
        <v>4</v>
      </c>
      <c r="O1449" s="6">
        <v>4</v>
      </c>
      <c r="Q1449" s="6">
        <v>9.1</v>
      </c>
      <c r="R1449" s="6">
        <v>15.9</v>
      </c>
      <c r="S1449" s="6">
        <v>136</v>
      </c>
    </row>
    <row r="1450" spans="1:43" x14ac:dyDescent="0.3">
      <c r="A1450" s="6">
        <v>22030</v>
      </c>
      <c r="B1450" s="5" t="s">
        <v>215</v>
      </c>
      <c r="C1450" s="5" t="s">
        <v>216</v>
      </c>
      <c r="D1450" s="2">
        <f t="shared" si="91"/>
        <v>2013</v>
      </c>
      <c r="E1450" s="2">
        <f t="shared" si="92"/>
        <v>5</v>
      </c>
      <c r="F1450" s="3" t="s">
        <v>178</v>
      </c>
      <c r="G1450" s="7">
        <v>41400</v>
      </c>
      <c r="H1450" s="6">
        <v>6594885</v>
      </c>
      <c r="I1450" s="6">
        <v>1620750</v>
      </c>
      <c r="J1450" s="5" t="s">
        <v>186</v>
      </c>
      <c r="K1450" s="1">
        <v>3</v>
      </c>
      <c r="L1450" s="1" t="str">
        <f t="shared" si="93"/>
        <v>Norrviken 3</v>
      </c>
      <c r="M1450" s="5" t="s">
        <v>217</v>
      </c>
      <c r="N1450" s="6">
        <v>5</v>
      </c>
      <c r="O1450" s="6">
        <v>5</v>
      </c>
      <c r="Q1450" s="6">
        <v>8.6999999999999993</v>
      </c>
      <c r="R1450" s="6">
        <v>15.1</v>
      </c>
      <c r="S1450" s="6">
        <v>128</v>
      </c>
    </row>
    <row r="1451" spans="1:43" x14ac:dyDescent="0.3">
      <c r="A1451" s="6">
        <v>22031</v>
      </c>
      <c r="B1451" s="5" t="s">
        <v>215</v>
      </c>
      <c r="C1451" s="5" t="s">
        <v>216</v>
      </c>
      <c r="D1451" s="2">
        <f t="shared" si="91"/>
        <v>2013</v>
      </c>
      <c r="E1451" s="2">
        <f t="shared" si="92"/>
        <v>5</v>
      </c>
      <c r="F1451" s="3" t="s">
        <v>178</v>
      </c>
      <c r="G1451" s="7">
        <v>41400</v>
      </c>
      <c r="H1451" s="6">
        <v>6594885</v>
      </c>
      <c r="I1451" s="6">
        <v>1620750</v>
      </c>
      <c r="J1451" s="5" t="s">
        <v>186</v>
      </c>
      <c r="K1451" s="1">
        <v>3</v>
      </c>
      <c r="L1451" s="1" t="str">
        <f t="shared" si="93"/>
        <v>Norrviken 3</v>
      </c>
      <c r="M1451" s="5" t="s">
        <v>218</v>
      </c>
      <c r="N1451" s="6">
        <v>6</v>
      </c>
      <c r="O1451" s="6">
        <v>6</v>
      </c>
      <c r="Q1451" s="6">
        <v>8.4</v>
      </c>
      <c r="R1451" s="6">
        <v>14.7</v>
      </c>
      <c r="S1451" s="6">
        <v>124</v>
      </c>
    </row>
    <row r="1452" spans="1:43" x14ac:dyDescent="0.3">
      <c r="A1452" s="6">
        <v>22032</v>
      </c>
      <c r="B1452" s="5" t="s">
        <v>215</v>
      </c>
      <c r="C1452" s="5" t="s">
        <v>216</v>
      </c>
      <c r="D1452" s="2">
        <f t="shared" si="91"/>
        <v>2013</v>
      </c>
      <c r="E1452" s="2">
        <f t="shared" si="92"/>
        <v>5</v>
      </c>
      <c r="F1452" s="3" t="s">
        <v>178</v>
      </c>
      <c r="G1452" s="7">
        <v>41400</v>
      </c>
      <c r="H1452" s="6">
        <v>6594885</v>
      </c>
      <c r="I1452" s="6">
        <v>1620750</v>
      </c>
      <c r="J1452" s="5" t="s">
        <v>186</v>
      </c>
      <c r="K1452" s="1">
        <v>3</v>
      </c>
      <c r="L1452" s="1" t="str">
        <f t="shared" si="93"/>
        <v>Norrviken 3</v>
      </c>
      <c r="M1452" s="5" t="s">
        <v>219</v>
      </c>
      <c r="N1452" s="6">
        <v>7</v>
      </c>
      <c r="O1452" s="6">
        <v>7</v>
      </c>
      <c r="Q1452" s="6">
        <v>8.3000000000000007</v>
      </c>
      <c r="R1452" s="6">
        <v>14.3</v>
      </c>
      <c r="S1452" s="6">
        <v>120</v>
      </c>
    </row>
    <row r="1453" spans="1:43" x14ac:dyDescent="0.3">
      <c r="A1453" s="6">
        <v>22033</v>
      </c>
      <c r="B1453" s="5" t="s">
        <v>215</v>
      </c>
      <c r="C1453" s="5" t="s">
        <v>216</v>
      </c>
      <c r="D1453" s="2">
        <f t="shared" si="91"/>
        <v>2013</v>
      </c>
      <c r="E1453" s="2">
        <f t="shared" si="92"/>
        <v>5</v>
      </c>
      <c r="F1453" s="3" t="s">
        <v>178</v>
      </c>
      <c r="G1453" s="7">
        <v>41400</v>
      </c>
      <c r="H1453" s="6">
        <v>6594885</v>
      </c>
      <c r="I1453" s="6">
        <v>1620750</v>
      </c>
      <c r="J1453" s="5" t="s">
        <v>186</v>
      </c>
      <c r="K1453" s="1">
        <v>3</v>
      </c>
      <c r="L1453" s="1" t="str">
        <f t="shared" si="93"/>
        <v>Norrviken 3</v>
      </c>
      <c r="M1453" s="5" t="s">
        <v>220</v>
      </c>
      <c r="N1453" s="6">
        <v>8</v>
      </c>
      <c r="O1453" s="6">
        <v>8</v>
      </c>
      <c r="Q1453" s="6">
        <v>7.9</v>
      </c>
      <c r="R1453" s="6">
        <v>13.6</v>
      </c>
      <c r="S1453" s="6">
        <v>114</v>
      </c>
    </row>
    <row r="1454" spans="1:43" x14ac:dyDescent="0.3">
      <c r="A1454" s="6">
        <v>22034</v>
      </c>
      <c r="B1454" s="5" t="s">
        <v>215</v>
      </c>
      <c r="C1454" s="5" t="s">
        <v>216</v>
      </c>
      <c r="D1454" s="2">
        <f t="shared" si="91"/>
        <v>2013</v>
      </c>
      <c r="E1454" s="2">
        <f t="shared" si="92"/>
        <v>5</v>
      </c>
      <c r="F1454" s="3" t="s">
        <v>178</v>
      </c>
      <c r="G1454" s="7">
        <v>41400</v>
      </c>
      <c r="H1454" s="6">
        <v>6594885</v>
      </c>
      <c r="I1454" s="6">
        <v>1620750</v>
      </c>
      <c r="J1454" s="5" t="s">
        <v>186</v>
      </c>
      <c r="K1454" s="1">
        <v>3</v>
      </c>
      <c r="L1454" s="1" t="str">
        <f t="shared" si="93"/>
        <v>Norrviken 3</v>
      </c>
      <c r="M1454" s="5" t="s">
        <v>221</v>
      </c>
      <c r="N1454" s="6">
        <v>9</v>
      </c>
      <c r="O1454" s="6">
        <v>9</v>
      </c>
      <c r="Q1454" s="6">
        <v>7.1</v>
      </c>
      <c r="R1454" s="6">
        <v>9.1</v>
      </c>
      <c r="S1454" s="6">
        <v>74</v>
      </c>
    </row>
    <row r="1455" spans="1:43" x14ac:dyDescent="0.3">
      <c r="A1455" s="6">
        <v>22035</v>
      </c>
      <c r="B1455" s="5" t="s">
        <v>215</v>
      </c>
      <c r="C1455" s="5" t="s">
        <v>216</v>
      </c>
      <c r="D1455" s="2">
        <f t="shared" si="91"/>
        <v>2013</v>
      </c>
      <c r="E1455" s="2">
        <f t="shared" si="92"/>
        <v>5</v>
      </c>
      <c r="F1455" s="3" t="s">
        <v>178</v>
      </c>
      <c r="G1455" s="7">
        <v>41400</v>
      </c>
      <c r="H1455" s="6">
        <v>6594885</v>
      </c>
      <c r="I1455" s="6">
        <v>1620750</v>
      </c>
      <c r="J1455" s="5" t="s">
        <v>186</v>
      </c>
      <c r="K1455" s="1">
        <v>3</v>
      </c>
      <c r="L1455" s="1" t="str">
        <f t="shared" si="93"/>
        <v>Norrviken 3</v>
      </c>
      <c r="M1455" s="5" t="s">
        <v>222</v>
      </c>
      <c r="N1455" s="6">
        <v>10</v>
      </c>
      <c r="O1455" s="6">
        <v>10</v>
      </c>
      <c r="Q1455" s="6">
        <v>6.9</v>
      </c>
      <c r="R1455" s="6">
        <v>8.6</v>
      </c>
      <c r="S1455" s="6">
        <v>70</v>
      </c>
    </row>
    <row r="1456" spans="1:43" x14ac:dyDescent="0.3">
      <c r="A1456" s="6">
        <v>22036</v>
      </c>
      <c r="B1456" s="5" t="s">
        <v>215</v>
      </c>
      <c r="C1456" s="5" t="s">
        <v>216</v>
      </c>
      <c r="D1456" s="2">
        <f t="shared" si="91"/>
        <v>2013</v>
      </c>
      <c r="E1456" s="2">
        <f t="shared" si="92"/>
        <v>5</v>
      </c>
      <c r="F1456" s="3" t="s">
        <v>178</v>
      </c>
      <c r="G1456" s="7">
        <v>41400</v>
      </c>
      <c r="H1456" s="6">
        <v>6594885</v>
      </c>
      <c r="I1456" s="6">
        <v>1620750</v>
      </c>
      <c r="J1456" s="5" t="s">
        <v>186</v>
      </c>
      <c r="K1456" s="1">
        <v>3</v>
      </c>
      <c r="L1456" s="1" t="str">
        <f t="shared" si="93"/>
        <v>Norrviken 3</v>
      </c>
      <c r="M1456" s="5" t="s">
        <v>223</v>
      </c>
      <c r="N1456" s="6">
        <v>11</v>
      </c>
      <c r="O1456" s="6">
        <v>11</v>
      </c>
      <c r="Q1456" s="6">
        <v>6.8</v>
      </c>
      <c r="R1456" s="6">
        <v>8.5</v>
      </c>
      <c r="S1456" s="6">
        <v>69</v>
      </c>
    </row>
    <row r="1457" spans="1:43" x14ac:dyDescent="0.3">
      <c r="A1457" s="6">
        <v>22037</v>
      </c>
      <c r="B1457" s="5" t="s">
        <v>215</v>
      </c>
      <c r="C1457" s="5" t="s">
        <v>216</v>
      </c>
      <c r="D1457" s="2">
        <f t="shared" si="91"/>
        <v>2013</v>
      </c>
      <c r="E1457" s="2">
        <f t="shared" si="92"/>
        <v>5</v>
      </c>
      <c r="F1457" s="3" t="s">
        <v>178</v>
      </c>
      <c r="G1457" s="7">
        <v>41400</v>
      </c>
      <c r="H1457" s="6">
        <v>6594885</v>
      </c>
      <c r="I1457" s="6">
        <v>1620750</v>
      </c>
      <c r="J1457" s="5" t="s">
        <v>186</v>
      </c>
      <c r="K1457" s="1">
        <v>3</v>
      </c>
      <c r="L1457" s="1" t="str">
        <f t="shared" si="93"/>
        <v>Norrviken 3</v>
      </c>
      <c r="M1457" s="1" t="s">
        <v>184</v>
      </c>
      <c r="N1457" s="6">
        <v>11.5</v>
      </c>
      <c r="O1457" s="6">
        <v>11.5</v>
      </c>
      <c r="Q1457" s="6">
        <v>6.8</v>
      </c>
      <c r="R1457" s="6">
        <v>8.3000000000000007</v>
      </c>
      <c r="S1457" s="6">
        <v>67</v>
      </c>
    </row>
    <row r="1458" spans="1:43" x14ac:dyDescent="0.3">
      <c r="A1458" s="6">
        <v>22038</v>
      </c>
      <c r="B1458" s="5" t="s">
        <v>215</v>
      </c>
      <c r="C1458" s="5" t="s">
        <v>216</v>
      </c>
      <c r="D1458" s="2">
        <f t="shared" si="91"/>
        <v>2013</v>
      </c>
      <c r="E1458" s="2">
        <f t="shared" si="92"/>
        <v>5</v>
      </c>
      <c r="F1458" s="3" t="s">
        <v>178</v>
      </c>
      <c r="G1458" s="7">
        <v>41400</v>
      </c>
      <c r="H1458" s="6">
        <v>6597300</v>
      </c>
      <c r="I1458" s="6">
        <v>1619975</v>
      </c>
      <c r="J1458" s="5" t="s">
        <v>186</v>
      </c>
      <c r="K1458" s="1">
        <v>4</v>
      </c>
      <c r="L1458" s="1" t="str">
        <f t="shared" si="93"/>
        <v>Norrviken 4</v>
      </c>
      <c r="M1458" s="1" t="s">
        <v>177</v>
      </c>
      <c r="N1458" s="6">
        <v>0.5</v>
      </c>
      <c r="O1458" s="6">
        <v>0.5</v>
      </c>
      <c r="P1458" s="6">
        <v>1.6</v>
      </c>
      <c r="Q1458" s="6">
        <v>10.7</v>
      </c>
      <c r="R1458" s="6">
        <v>16.2</v>
      </c>
      <c r="S1458" s="6">
        <v>143</v>
      </c>
      <c r="V1458" s="6">
        <v>2.5818947368421101</v>
      </c>
      <c r="W1458" s="6">
        <v>5.98</v>
      </c>
      <c r="X1458" s="1">
        <f>W1458 * (1/((10^((0.0901821 + (2729.92 /(273.15 + Q1458)))-AE1458)+1)))</f>
        <v>0.36452741304654074</v>
      </c>
      <c r="Y1458" s="6">
        <v>8.6999999999999994E-2</v>
      </c>
      <c r="Z1458" s="6">
        <v>2.46</v>
      </c>
      <c r="AA1458" s="6">
        <v>4.0999999999999996</v>
      </c>
      <c r="AB1458" s="6">
        <v>12.165903999999999</v>
      </c>
      <c r="AD1458" s="6">
        <v>216.25700000000001</v>
      </c>
      <c r="AE1458" s="6">
        <v>8.52</v>
      </c>
      <c r="AK1458" s="6">
        <v>30.72</v>
      </c>
      <c r="AL1458" s="6">
        <v>926.53899999999999</v>
      </c>
      <c r="AM1458" s="6"/>
      <c r="AN1458" s="6"/>
      <c r="AO1458" s="6"/>
      <c r="AP1458" s="6"/>
      <c r="AQ1458" s="6"/>
    </row>
    <row r="1459" spans="1:43" x14ac:dyDescent="0.3">
      <c r="A1459" s="6">
        <v>22039</v>
      </c>
      <c r="B1459" s="5" t="s">
        <v>215</v>
      </c>
      <c r="C1459" s="5" t="s">
        <v>216</v>
      </c>
      <c r="D1459" s="2">
        <f t="shared" si="91"/>
        <v>2013</v>
      </c>
      <c r="E1459" s="2">
        <f t="shared" si="92"/>
        <v>5</v>
      </c>
      <c r="F1459" s="3" t="s">
        <v>178</v>
      </c>
      <c r="G1459" s="7">
        <v>41400</v>
      </c>
      <c r="H1459" s="6">
        <v>6597300</v>
      </c>
      <c r="I1459" s="6">
        <v>1619975</v>
      </c>
      <c r="J1459" s="5" t="s">
        <v>186</v>
      </c>
      <c r="K1459" s="1">
        <v>4</v>
      </c>
      <c r="L1459" s="1" t="str">
        <f t="shared" si="93"/>
        <v>Norrviken 4</v>
      </c>
      <c r="M1459" s="5" t="s">
        <v>211</v>
      </c>
      <c r="N1459" s="6">
        <v>1</v>
      </c>
      <c r="O1459" s="6">
        <v>1</v>
      </c>
      <c r="Q1459" s="6">
        <v>10</v>
      </c>
      <c r="R1459" s="6">
        <v>16.600000000000001</v>
      </c>
      <c r="S1459" s="6">
        <v>145</v>
      </c>
    </row>
    <row r="1460" spans="1:43" x14ac:dyDescent="0.3">
      <c r="A1460" s="6">
        <v>22040</v>
      </c>
      <c r="B1460" s="5" t="s">
        <v>215</v>
      </c>
      <c r="C1460" s="5" t="s">
        <v>216</v>
      </c>
      <c r="D1460" s="2">
        <f t="shared" si="91"/>
        <v>2013</v>
      </c>
      <c r="E1460" s="2">
        <f t="shared" si="92"/>
        <v>5</v>
      </c>
      <c r="F1460" s="3" t="s">
        <v>178</v>
      </c>
      <c r="G1460" s="7">
        <v>41400</v>
      </c>
      <c r="H1460" s="6">
        <v>6597300</v>
      </c>
      <c r="I1460" s="6">
        <v>1619975</v>
      </c>
      <c r="J1460" s="5" t="s">
        <v>186</v>
      </c>
      <c r="K1460" s="1">
        <v>4</v>
      </c>
      <c r="L1460" s="1" t="str">
        <f t="shared" si="93"/>
        <v>Norrviken 4</v>
      </c>
      <c r="M1460" s="1" t="s">
        <v>184</v>
      </c>
      <c r="N1460" s="6">
        <v>2</v>
      </c>
      <c r="O1460" s="6">
        <v>2</v>
      </c>
      <c r="Q1460" s="6">
        <v>9.6</v>
      </c>
      <c r="R1460" s="6">
        <v>16.3</v>
      </c>
      <c r="S1460" s="6">
        <v>142</v>
      </c>
    </row>
    <row r="1461" spans="1:43" x14ac:dyDescent="0.3">
      <c r="A1461" s="6">
        <v>22041</v>
      </c>
      <c r="B1461" s="5" t="s">
        <v>215</v>
      </c>
      <c r="C1461" s="5" t="s">
        <v>216</v>
      </c>
      <c r="D1461" s="2">
        <f t="shared" si="91"/>
        <v>2013</v>
      </c>
      <c r="E1461" s="2">
        <f t="shared" si="92"/>
        <v>5</v>
      </c>
      <c r="F1461" s="3" t="s">
        <v>178</v>
      </c>
      <c r="G1461" s="7">
        <v>41400</v>
      </c>
      <c r="J1461" s="5" t="s">
        <v>186</v>
      </c>
      <c r="K1461" s="5" t="s">
        <v>224</v>
      </c>
      <c r="L1461" s="1" t="str">
        <f t="shared" si="93"/>
        <v>Norrviken Norra</v>
      </c>
      <c r="M1461" s="5" t="s">
        <v>225</v>
      </c>
      <c r="N1461" s="6">
        <v>2</v>
      </c>
      <c r="O1461" s="6">
        <v>0</v>
      </c>
      <c r="V1461" s="6">
        <v>2.3435659919028398</v>
      </c>
      <c r="W1461" s="6">
        <v>6.98</v>
      </c>
      <c r="X1461" s="6">
        <v>6.10439794725861E-2</v>
      </c>
      <c r="Y1461" s="6">
        <v>0.115</v>
      </c>
      <c r="Z1461" s="6">
        <v>6.55</v>
      </c>
      <c r="AA1461" s="6">
        <v>8.1999999999999993</v>
      </c>
      <c r="AB1461" s="6">
        <v>19.258976000000001</v>
      </c>
      <c r="AD1461" s="6">
        <v>419.17899999999997</v>
      </c>
      <c r="AE1461" s="6">
        <v>8.0299999999999994</v>
      </c>
      <c r="AK1461" s="6">
        <v>52.9</v>
      </c>
      <c r="AL1461" s="6">
        <v>1315.194</v>
      </c>
      <c r="AM1461" s="6"/>
      <c r="AN1461" s="6"/>
      <c r="AO1461" s="6"/>
      <c r="AP1461" s="6"/>
      <c r="AQ1461" s="6"/>
    </row>
    <row r="1462" spans="1:43" x14ac:dyDescent="0.3">
      <c r="A1462" s="6">
        <v>22042</v>
      </c>
      <c r="B1462" s="5" t="s">
        <v>215</v>
      </c>
      <c r="C1462" s="5" t="s">
        <v>216</v>
      </c>
      <c r="D1462" s="2">
        <f t="shared" si="91"/>
        <v>2013</v>
      </c>
      <c r="E1462" s="2">
        <f t="shared" si="92"/>
        <v>5</v>
      </c>
      <c r="F1462" s="3" t="s">
        <v>178</v>
      </c>
      <c r="G1462" s="7">
        <v>41400</v>
      </c>
      <c r="J1462" s="5" t="s">
        <v>186</v>
      </c>
      <c r="K1462" s="5" t="s">
        <v>226</v>
      </c>
      <c r="L1462" s="1" t="str">
        <f t="shared" si="93"/>
        <v>Norrviken Huvudbassäng</v>
      </c>
      <c r="M1462" s="5" t="s">
        <v>227</v>
      </c>
      <c r="N1462" s="6">
        <v>8</v>
      </c>
      <c r="O1462" s="6">
        <v>0</v>
      </c>
      <c r="V1462" s="6">
        <v>2.5421732793522303</v>
      </c>
      <c r="W1462" s="6">
        <v>13.750999999999999</v>
      </c>
      <c r="X1462" s="6">
        <v>0.26039561953672702</v>
      </c>
      <c r="Y1462" s="6">
        <v>6.9000000000000006E-2</v>
      </c>
      <c r="Z1462" s="6">
        <v>3.44</v>
      </c>
      <c r="AA1462" s="6">
        <v>4</v>
      </c>
      <c r="AB1462" s="6">
        <v>19.700384</v>
      </c>
      <c r="AD1462" s="6">
        <v>224.595</v>
      </c>
      <c r="AE1462" s="6">
        <v>8.3699999999999992</v>
      </c>
      <c r="AK1462" s="6">
        <v>40.380000000000003</v>
      </c>
      <c r="AL1462" s="6">
        <v>1077.731</v>
      </c>
      <c r="AM1462" s="6"/>
      <c r="AN1462" s="6"/>
      <c r="AO1462" s="6"/>
      <c r="AP1462" s="6"/>
      <c r="AQ1462" s="6"/>
    </row>
    <row r="1463" spans="1:43" x14ac:dyDescent="0.3">
      <c r="A1463" s="1">
        <v>22055</v>
      </c>
      <c r="B1463" s="1" t="s">
        <v>208</v>
      </c>
      <c r="C1463" s="1" t="s">
        <v>209</v>
      </c>
      <c r="D1463" s="2">
        <f t="shared" si="91"/>
        <v>2013</v>
      </c>
      <c r="E1463" s="2">
        <f t="shared" si="92"/>
        <v>5</v>
      </c>
      <c r="F1463" s="3" t="s">
        <v>178</v>
      </c>
      <c r="G1463" s="4">
        <v>41400</v>
      </c>
      <c r="H1463" s="1">
        <v>6600935</v>
      </c>
      <c r="I1463" s="1">
        <v>1626764</v>
      </c>
      <c r="J1463" s="1" t="s">
        <v>191</v>
      </c>
      <c r="K1463" s="1" t="s">
        <v>210</v>
      </c>
      <c r="L1463" s="1" t="str">
        <f t="shared" si="93"/>
        <v>Vallentunasjön Va2</v>
      </c>
      <c r="M1463" s="1" t="s">
        <v>177</v>
      </c>
      <c r="N1463" s="1">
        <v>0.5</v>
      </c>
      <c r="O1463" s="1">
        <v>0.5</v>
      </c>
      <c r="P1463" s="1">
        <v>1.2</v>
      </c>
      <c r="Q1463" s="1">
        <v>12.5</v>
      </c>
      <c r="R1463" s="1">
        <v>14.1</v>
      </c>
      <c r="S1463" s="1">
        <v>130</v>
      </c>
    </row>
    <row r="1464" spans="1:43" x14ac:dyDescent="0.3">
      <c r="A1464" s="1">
        <v>22056</v>
      </c>
      <c r="B1464" s="1" t="s">
        <v>208</v>
      </c>
      <c r="C1464" s="1" t="s">
        <v>209</v>
      </c>
      <c r="D1464" s="2">
        <f t="shared" si="91"/>
        <v>2013</v>
      </c>
      <c r="E1464" s="2">
        <f t="shared" si="92"/>
        <v>5</v>
      </c>
      <c r="F1464" s="3" t="s">
        <v>178</v>
      </c>
      <c r="G1464" s="4">
        <v>41400</v>
      </c>
      <c r="H1464" s="1">
        <v>6600935</v>
      </c>
      <c r="I1464" s="1">
        <v>1626764</v>
      </c>
      <c r="J1464" s="1" t="s">
        <v>191</v>
      </c>
      <c r="K1464" s="1" t="s">
        <v>210</v>
      </c>
      <c r="L1464" s="1" t="str">
        <f t="shared" si="93"/>
        <v>Vallentunasjön Va2</v>
      </c>
      <c r="M1464" s="1" t="s">
        <v>211</v>
      </c>
      <c r="N1464" s="1">
        <v>1</v>
      </c>
      <c r="O1464" s="1">
        <v>1</v>
      </c>
      <c r="Q1464" s="1">
        <v>12.3</v>
      </c>
      <c r="R1464" s="1">
        <v>14.1</v>
      </c>
      <c r="S1464" s="1">
        <v>130</v>
      </c>
    </row>
    <row r="1465" spans="1:43" x14ac:dyDescent="0.3">
      <c r="A1465" s="1">
        <v>22057</v>
      </c>
      <c r="B1465" s="1" t="s">
        <v>208</v>
      </c>
      <c r="C1465" s="1" t="s">
        <v>209</v>
      </c>
      <c r="D1465" s="2">
        <f t="shared" si="91"/>
        <v>2013</v>
      </c>
      <c r="E1465" s="2">
        <f t="shared" si="92"/>
        <v>5</v>
      </c>
      <c r="F1465" s="3" t="s">
        <v>178</v>
      </c>
      <c r="G1465" s="4">
        <v>41400</v>
      </c>
      <c r="H1465" s="1">
        <v>6600935</v>
      </c>
      <c r="I1465" s="1">
        <v>1626764</v>
      </c>
      <c r="J1465" s="1" t="s">
        <v>191</v>
      </c>
      <c r="K1465" s="1" t="s">
        <v>210</v>
      </c>
      <c r="L1465" s="1" t="str">
        <f t="shared" si="93"/>
        <v>Vallentunasjön Va2</v>
      </c>
      <c r="M1465" s="1" t="s">
        <v>212</v>
      </c>
      <c r="N1465" s="1">
        <v>2</v>
      </c>
      <c r="O1465" s="1">
        <v>2</v>
      </c>
      <c r="Q1465" s="1">
        <v>12.2</v>
      </c>
      <c r="R1465" s="1">
        <v>14.1</v>
      </c>
      <c r="S1465" s="1">
        <v>129</v>
      </c>
    </row>
    <row r="1466" spans="1:43" x14ac:dyDescent="0.3">
      <c r="A1466" s="1">
        <v>22058</v>
      </c>
      <c r="B1466" s="1" t="s">
        <v>208</v>
      </c>
      <c r="C1466" s="1" t="s">
        <v>209</v>
      </c>
      <c r="D1466" s="2">
        <f t="shared" si="91"/>
        <v>2013</v>
      </c>
      <c r="E1466" s="2">
        <f t="shared" si="92"/>
        <v>5</v>
      </c>
      <c r="F1466" s="3" t="s">
        <v>178</v>
      </c>
      <c r="G1466" s="4">
        <v>41400</v>
      </c>
      <c r="H1466" s="1">
        <v>6600935</v>
      </c>
      <c r="I1466" s="1">
        <v>1626764</v>
      </c>
      <c r="J1466" s="1" t="s">
        <v>191</v>
      </c>
      <c r="K1466" s="1" t="s">
        <v>210</v>
      </c>
      <c r="L1466" s="1" t="str">
        <f t="shared" si="93"/>
        <v>Vallentunasjön Va2</v>
      </c>
      <c r="M1466" s="1" t="s">
        <v>213</v>
      </c>
      <c r="N1466" s="1">
        <v>3</v>
      </c>
      <c r="O1466" s="1">
        <v>3</v>
      </c>
      <c r="Q1466" s="1">
        <v>12.1</v>
      </c>
      <c r="R1466" s="1">
        <v>14</v>
      </c>
      <c r="S1466" s="1">
        <v>128</v>
      </c>
    </row>
    <row r="1467" spans="1:43" x14ac:dyDescent="0.3">
      <c r="A1467" s="1">
        <v>22059</v>
      </c>
      <c r="B1467" s="1" t="s">
        <v>208</v>
      </c>
      <c r="C1467" s="1" t="s">
        <v>209</v>
      </c>
      <c r="D1467" s="2">
        <f t="shared" si="91"/>
        <v>2013</v>
      </c>
      <c r="E1467" s="2">
        <f t="shared" si="92"/>
        <v>5</v>
      </c>
      <c r="F1467" s="3" t="s">
        <v>178</v>
      </c>
      <c r="G1467" s="4">
        <v>41400</v>
      </c>
      <c r="H1467" s="1">
        <v>6600935</v>
      </c>
      <c r="I1467" s="1">
        <v>1626764</v>
      </c>
      <c r="J1467" s="1" t="s">
        <v>191</v>
      </c>
      <c r="K1467" s="1" t="s">
        <v>210</v>
      </c>
      <c r="L1467" s="1" t="str">
        <f t="shared" si="93"/>
        <v>Vallentunasjön Va2</v>
      </c>
      <c r="M1467" s="1" t="s">
        <v>214</v>
      </c>
      <c r="N1467" s="1">
        <v>4</v>
      </c>
      <c r="O1467" s="1">
        <v>4</v>
      </c>
      <c r="Q1467" s="1">
        <v>12</v>
      </c>
      <c r="R1467" s="1">
        <v>13.9</v>
      </c>
      <c r="S1467" s="1">
        <v>128</v>
      </c>
    </row>
    <row r="1468" spans="1:43" x14ac:dyDescent="0.3">
      <c r="A1468" s="1">
        <v>22060</v>
      </c>
      <c r="B1468" s="1" t="s">
        <v>208</v>
      </c>
      <c r="C1468" s="1" t="s">
        <v>209</v>
      </c>
      <c r="D1468" s="2">
        <f t="shared" si="91"/>
        <v>2013</v>
      </c>
      <c r="E1468" s="2">
        <f t="shared" si="92"/>
        <v>5</v>
      </c>
      <c r="F1468" s="3" t="s">
        <v>178</v>
      </c>
      <c r="G1468" s="4">
        <v>41400</v>
      </c>
      <c r="H1468" s="1">
        <v>6600935</v>
      </c>
      <c r="I1468" s="1">
        <v>1626764</v>
      </c>
      <c r="J1468" s="1" t="s">
        <v>191</v>
      </c>
      <c r="K1468" s="1" t="s">
        <v>210</v>
      </c>
      <c r="L1468" s="1" t="str">
        <f t="shared" si="93"/>
        <v>Vallentunasjön Va2</v>
      </c>
      <c r="M1468" s="1" t="s">
        <v>184</v>
      </c>
      <c r="N1468" s="1">
        <v>4.3</v>
      </c>
      <c r="O1468" s="1">
        <v>4.3</v>
      </c>
      <c r="Q1468" s="1">
        <v>12</v>
      </c>
      <c r="R1468" s="1">
        <v>13.9</v>
      </c>
      <c r="S1468" s="1">
        <v>127</v>
      </c>
    </row>
    <row r="1469" spans="1:43" x14ac:dyDescent="0.3">
      <c r="A1469" s="1">
        <v>22061</v>
      </c>
      <c r="B1469" s="1" t="s">
        <v>208</v>
      </c>
      <c r="C1469" s="1" t="s">
        <v>209</v>
      </c>
      <c r="D1469" s="2">
        <f t="shared" si="91"/>
        <v>2013</v>
      </c>
      <c r="E1469" s="2">
        <f t="shared" si="92"/>
        <v>5</v>
      </c>
      <c r="F1469" s="3" t="s">
        <v>178</v>
      </c>
      <c r="G1469" s="4">
        <v>41400</v>
      </c>
      <c r="J1469" s="1" t="s">
        <v>191</v>
      </c>
      <c r="K1469" s="1" t="s">
        <v>206</v>
      </c>
      <c r="L1469" s="1" t="str">
        <f t="shared" si="93"/>
        <v>Vallentunasjön Blandprov</v>
      </c>
      <c r="M1469" s="1" t="s">
        <v>177</v>
      </c>
      <c r="W1469" s="1">
        <v>12.948</v>
      </c>
      <c r="Z1469" s="1">
        <v>2.66</v>
      </c>
      <c r="AB1469" s="1">
        <v>35.297780000000003</v>
      </c>
      <c r="AD1469" s="1">
        <v>241.96100000000001</v>
      </c>
      <c r="AG1469" s="1">
        <v>13.200000000000101</v>
      </c>
      <c r="AK1469" s="1">
        <v>60.29</v>
      </c>
      <c r="AL1469" s="1">
        <v>1309.4010000000001</v>
      </c>
    </row>
    <row r="1470" spans="1:43" x14ac:dyDescent="0.3">
      <c r="A1470" s="6">
        <v>22062</v>
      </c>
      <c r="B1470" s="5" t="s">
        <v>215</v>
      </c>
      <c r="C1470" s="5" t="s">
        <v>216</v>
      </c>
      <c r="D1470" s="2">
        <f t="shared" si="91"/>
        <v>2013</v>
      </c>
      <c r="E1470" s="2">
        <f t="shared" si="92"/>
        <v>5</v>
      </c>
      <c r="F1470" s="3" t="s">
        <v>178</v>
      </c>
      <c r="G1470" s="7">
        <v>41401</v>
      </c>
      <c r="H1470" s="6">
        <v>6606035</v>
      </c>
      <c r="I1470" s="6">
        <v>1615620</v>
      </c>
      <c r="J1470" s="5" t="s">
        <v>187</v>
      </c>
      <c r="K1470" s="1"/>
      <c r="L1470" s="1" t="str">
        <f t="shared" si="93"/>
        <v xml:space="preserve">Oxundasjön </v>
      </c>
      <c r="M1470" s="1" t="s">
        <v>177</v>
      </c>
      <c r="N1470" s="6">
        <v>0.5</v>
      </c>
      <c r="O1470" s="6">
        <v>0.5</v>
      </c>
      <c r="P1470" s="6">
        <v>1.5</v>
      </c>
      <c r="Q1470" s="6">
        <v>10.9</v>
      </c>
      <c r="R1470" s="6">
        <v>15.2</v>
      </c>
      <c r="S1470" s="6">
        <v>137</v>
      </c>
      <c r="V1470" s="6">
        <v>2.27332682926829</v>
      </c>
      <c r="W1470" s="6">
        <v>6.117</v>
      </c>
      <c r="X1470" s="1">
        <f>W1470 * (1/((10^((0.0901821 + (2729.92 /(273.15 + Q1470)))-AE1470)+1)))</f>
        <v>0.21869690874792633</v>
      </c>
      <c r="Y1470" s="6">
        <v>9.8000000000000004E-2</v>
      </c>
      <c r="Z1470" s="6">
        <v>4.0999999999999996</v>
      </c>
      <c r="AA1470" s="6">
        <v>6.3</v>
      </c>
      <c r="AB1470" s="6">
        <v>20.660464000000001</v>
      </c>
      <c r="AD1470" s="6">
        <v>331.97500000000002</v>
      </c>
      <c r="AE1470" s="6">
        <v>8.27</v>
      </c>
      <c r="AK1470" s="6">
        <v>37.78</v>
      </c>
      <c r="AL1470" s="6">
        <v>1163.8420000000001</v>
      </c>
      <c r="AM1470" s="6"/>
      <c r="AN1470" s="6"/>
      <c r="AO1470" s="6"/>
      <c r="AP1470" s="6"/>
      <c r="AQ1470" s="6"/>
    </row>
    <row r="1471" spans="1:43" x14ac:dyDescent="0.3">
      <c r="A1471" s="6">
        <v>22063</v>
      </c>
      <c r="B1471" s="5" t="s">
        <v>215</v>
      </c>
      <c r="C1471" s="5" t="s">
        <v>216</v>
      </c>
      <c r="D1471" s="2">
        <f t="shared" si="91"/>
        <v>2013</v>
      </c>
      <c r="E1471" s="2">
        <f t="shared" si="92"/>
        <v>5</v>
      </c>
      <c r="F1471" s="3" t="s">
        <v>178</v>
      </c>
      <c r="G1471" s="7">
        <v>41401</v>
      </c>
      <c r="H1471" s="6">
        <v>6606035</v>
      </c>
      <c r="I1471" s="6">
        <v>1615620</v>
      </c>
      <c r="J1471" s="5" t="s">
        <v>187</v>
      </c>
      <c r="K1471" s="1"/>
      <c r="L1471" s="1" t="str">
        <f t="shared" si="93"/>
        <v xml:space="preserve">Oxundasjön </v>
      </c>
      <c r="M1471" s="5" t="s">
        <v>211</v>
      </c>
      <c r="N1471" s="6">
        <v>1</v>
      </c>
      <c r="O1471" s="6">
        <v>1</v>
      </c>
      <c r="Q1471" s="6">
        <v>11</v>
      </c>
      <c r="R1471" s="6">
        <v>15.3</v>
      </c>
      <c r="S1471" s="6">
        <v>137</v>
      </c>
    </row>
    <row r="1472" spans="1:43" x14ac:dyDescent="0.3">
      <c r="A1472" s="6">
        <v>22064</v>
      </c>
      <c r="B1472" s="5" t="s">
        <v>215</v>
      </c>
      <c r="C1472" s="5" t="s">
        <v>216</v>
      </c>
      <c r="D1472" s="2">
        <f t="shared" si="91"/>
        <v>2013</v>
      </c>
      <c r="E1472" s="2">
        <f t="shared" si="92"/>
        <v>5</v>
      </c>
      <c r="F1472" s="3" t="s">
        <v>178</v>
      </c>
      <c r="G1472" s="7">
        <v>41401</v>
      </c>
      <c r="H1472" s="6">
        <v>6606035</v>
      </c>
      <c r="I1472" s="6">
        <v>1615620</v>
      </c>
      <c r="J1472" s="5" t="s">
        <v>187</v>
      </c>
      <c r="K1472" s="1"/>
      <c r="L1472" s="1" t="str">
        <f t="shared" si="93"/>
        <v xml:space="preserve">Oxundasjön </v>
      </c>
      <c r="M1472" s="5" t="s">
        <v>212</v>
      </c>
      <c r="N1472" s="6">
        <v>2</v>
      </c>
      <c r="O1472" s="6">
        <v>2</v>
      </c>
      <c r="Q1472" s="6">
        <v>11</v>
      </c>
      <c r="R1472" s="6">
        <v>15.2</v>
      </c>
      <c r="S1472" s="6">
        <v>137</v>
      </c>
    </row>
    <row r="1473" spans="1:43" x14ac:dyDescent="0.3">
      <c r="A1473" s="6">
        <v>22065</v>
      </c>
      <c r="B1473" s="5" t="s">
        <v>215</v>
      </c>
      <c r="C1473" s="5" t="s">
        <v>216</v>
      </c>
      <c r="D1473" s="2">
        <f t="shared" si="91"/>
        <v>2013</v>
      </c>
      <c r="E1473" s="2">
        <f t="shared" si="92"/>
        <v>5</v>
      </c>
      <c r="F1473" s="3" t="s">
        <v>178</v>
      </c>
      <c r="G1473" s="7">
        <v>41401</v>
      </c>
      <c r="H1473" s="6">
        <v>6606035</v>
      </c>
      <c r="I1473" s="6">
        <v>1615620</v>
      </c>
      <c r="J1473" s="5" t="s">
        <v>187</v>
      </c>
      <c r="K1473" s="1"/>
      <c r="L1473" s="1" t="str">
        <f t="shared" si="93"/>
        <v xml:space="preserve">Oxundasjön </v>
      </c>
      <c r="M1473" s="5" t="s">
        <v>213</v>
      </c>
      <c r="N1473" s="6">
        <v>3</v>
      </c>
      <c r="O1473" s="6">
        <v>3</v>
      </c>
      <c r="Q1473" s="6">
        <v>11</v>
      </c>
      <c r="R1473" s="6">
        <v>15.1</v>
      </c>
      <c r="S1473" s="6">
        <v>136</v>
      </c>
    </row>
    <row r="1474" spans="1:43" x14ac:dyDescent="0.3">
      <c r="A1474" s="6">
        <v>22066</v>
      </c>
      <c r="B1474" s="5" t="s">
        <v>215</v>
      </c>
      <c r="C1474" s="5" t="s">
        <v>216</v>
      </c>
      <c r="D1474" s="2">
        <f t="shared" ref="D1474:D1537" si="94">YEAR(G1474)</f>
        <v>2013</v>
      </c>
      <c r="E1474" s="2">
        <f t="shared" ref="E1474:E1537" si="95">MONTH(G1474)</f>
        <v>5</v>
      </c>
      <c r="F1474" s="3" t="s">
        <v>178</v>
      </c>
      <c r="G1474" s="7">
        <v>41401</v>
      </c>
      <c r="H1474" s="6">
        <v>6606035</v>
      </c>
      <c r="I1474" s="6">
        <v>1615620</v>
      </c>
      <c r="J1474" s="5" t="s">
        <v>187</v>
      </c>
      <c r="K1474" s="1"/>
      <c r="L1474" s="1" t="str">
        <f t="shared" ref="L1474:L1537" si="96">CONCATENATE(J1474," ",K1474)</f>
        <v xml:space="preserve">Oxundasjön </v>
      </c>
      <c r="M1474" s="5" t="s">
        <v>214</v>
      </c>
      <c r="N1474" s="6">
        <v>4</v>
      </c>
      <c r="O1474" s="6">
        <v>4</v>
      </c>
      <c r="Q1474" s="6">
        <v>10.9</v>
      </c>
      <c r="R1474" s="6">
        <v>15</v>
      </c>
      <c r="S1474" s="6">
        <v>135</v>
      </c>
    </row>
    <row r="1475" spans="1:43" x14ac:dyDescent="0.3">
      <c r="A1475" s="6">
        <v>22067</v>
      </c>
      <c r="B1475" s="5" t="s">
        <v>215</v>
      </c>
      <c r="C1475" s="5" t="s">
        <v>216</v>
      </c>
      <c r="D1475" s="2">
        <f t="shared" si="94"/>
        <v>2013</v>
      </c>
      <c r="E1475" s="2">
        <f t="shared" si="95"/>
        <v>5</v>
      </c>
      <c r="F1475" s="3" t="s">
        <v>178</v>
      </c>
      <c r="G1475" s="7">
        <v>41401</v>
      </c>
      <c r="H1475" s="6">
        <v>6606035</v>
      </c>
      <c r="I1475" s="6">
        <v>1615620</v>
      </c>
      <c r="J1475" s="5" t="s">
        <v>187</v>
      </c>
      <c r="K1475" s="1"/>
      <c r="L1475" s="1" t="str">
        <f t="shared" si="96"/>
        <v xml:space="preserve">Oxundasjön </v>
      </c>
      <c r="M1475" s="1" t="s">
        <v>184</v>
      </c>
      <c r="N1475" s="6">
        <v>6</v>
      </c>
      <c r="O1475" s="6">
        <v>6</v>
      </c>
      <c r="Q1475" s="6">
        <v>9.6</v>
      </c>
      <c r="R1475" s="6">
        <v>11.2</v>
      </c>
      <c r="S1475" s="6">
        <v>98</v>
      </c>
    </row>
    <row r="1476" spans="1:43" x14ac:dyDescent="0.3">
      <c r="A1476" s="6">
        <v>22068</v>
      </c>
      <c r="B1476" s="5" t="s">
        <v>215</v>
      </c>
      <c r="C1476" s="5" t="s">
        <v>216</v>
      </c>
      <c r="D1476" s="2">
        <f t="shared" si="94"/>
        <v>2013</v>
      </c>
      <c r="E1476" s="2">
        <f t="shared" si="95"/>
        <v>5</v>
      </c>
      <c r="F1476" s="3" t="s">
        <v>178</v>
      </c>
      <c r="G1476" s="7">
        <v>41401</v>
      </c>
      <c r="H1476" s="6">
        <v>6599695</v>
      </c>
      <c r="I1476" s="6">
        <v>1617290</v>
      </c>
      <c r="J1476" s="5" t="s">
        <v>182</v>
      </c>
      <c r="K1476" s="1"/>
      <c r="L1476" s="1" t="str">
        <f t="shared" si="96"/>
        <v xml:space="preserve">Edssjön </v>
      </c>
      <c r="M1476" s="1" t="s">
        <v>177</v>
      </c>
      <c r="N1476" s="6">
        <v>0.5</v>
      </c>
      <c r="O1476" s="6">
        <v>0.5</v>
      </c>
      <c r="P1476" s="6">
        <v>1.9</v>
      </c>
      <c r="Q1476" s="6">
        <v>11.4</v>
      </c>
      <c r="R1476" s="6">
        <v>17.399999999999999</v>
      </c>
      <c r="S1476" s="6">
        <v>157</v>
      </c>
      <c r="V1476" s="6">
        <v>2.55250731707316</v>
      </c>
      <c r="W1476" s="6">
        <v>3.831</v>
      </c>
      <c r="X1476" s="1">
        <f>W1476 * (1/((10^((0.0901821 + (2729.92 /(273.15 + Q1476)))-AE1476)+1)))</f>
        <v>0.46093658309648339</v>
      </c>
      <c r="Y1476" s="6">
        <v>9.0999999999999998E-2</v>
      </c>
      <c r="Z1476" s="6">
        <v>2.79</v>
      </c>
      <c r="AA1476" s="6">
        <v>3.1</v>
      </c>
      <c r="AB1476" s="6">
        <v>21.180768</v>
      </c>
      <c r="AD1476" s="6">
        <v>0</v>
      </c>
      <c r="AE1476" s="6">
        <v>8.82</v>
      </c>
      <c r="AK1476" s="6">
        <v>36.53</v>
      </c>
      <c r="AL1476" s="6">
        <v>820.40200000000004</v>
      </c>
      <c r="AM1476" s="6"/>
      <c r="AN1476" s="6"/>
      <c r="AO1476" s="6"/>
      <c r="AP1476" s="6"/>
      <c r="AQ1476" s="6"/>
    </row>
    <row r="1477" spans="1:43" x14ac:dyDescent="0.3">
      <c r="A1477" s="6">
        <v>22069</v>
      </c>
      <c r="B1477" s="5" t="s">
        <v>215</v>
      </c>
      <c r="C1477" s="5" t="s">
        <v>216</v>
      </c>
      <c r="D1477" s="2">
        <f t="shared" si="94"/>
        <v>2013</v>
      </c>
      <c r="E1477" s="2">
        <f t="shared" si="95"/>
        <v>5</v>
      </c>
      <c r="F1477" s="3" t="s">
        <v>178</v>
      </c>
      <c r="G1477" s="7">
        <v>41401</v>
      </c>
      <c r="H1477" s="6">
        <v>6599695</v>
      </c>
      <c r="I1477" s="6">
        <v>1617290</v>
      </c>
      <c r="J1477" s="5" t="s">
        <v>182</v>
      </c>
      <c r="K1477" s="1"/>
      <c r="L1477" s="1" t="str">
        <f t="shared" si="96"/>
        <v xml:space="preserve">Edssjön </v>
      </c>
      <c r="M1477" s="5" t="s">
        <v>211</v>
      </c>
      <c r="N1477" s="6">
        <v>1</v>
      </c>
      <c r="O1477" s="6">
        <v>1</v>
      </c>
      <c r="Q1477" s="6">
        <v>11.4</v>
      </c>
      <c r="R1477" s="6">
        <v>17.399999999999999</v>
      </c>
      <c r="S1477" s="6">
        <v>157</v>
      </c>
    </row>
    <row r="1478" spans="1:43" x14ac:dyDescent="0.3">
      <c r="A1478" s="6">
        <v>22070</v>
      </c>
      <c r="B1478" s="5" t="s">
        <v>215</v>
      </c>
      <c r="C1478" s="5" t="s">
        <v>216</v>
      </c>
      <c r="D1478" s="2">
        <f t="shared" si="94"/>
        <v>2013</v>
      </c>
      <c r="E1478" s="2">
        <f t="shared" si="95"/>
        <v>5</v>
      </c>
      <c r="F1478" s="3" t="s">
        <v>178</v>
      </c>
      <c r="G1478" s="7">
        <v>41401</v>
      </c>
      <c r="H1478" s="6">
        <v>6599695</v>
      </c>
      <c r="I1478" s="6">
        <v>1617290</v>
      </c>
      <c r="J1478" s="5" t="s">
        <v>182</v>
      </c>
      <c r="K1478" s="1"/>
      <c r="L1478" s="1" t="str">
        <f t="shared" si="96"/>
        <v xml:space="preserve">Edssjön </v>
      </c>
      <c r="M1478" s="5" t="s">
        <v>212</v>
      </c>
      <c r="N1478" s="6">
        <v>2</v>
      </c>
      <c r="O1478" s="6">
        <v>2</v>
      </c>
      <c r="Q1478" s="6">
        <v>11.4</v>
      </c>
      <c r="R1478" s="6">
        <v>17.5</v>
      </c>
      <c r="S1478" s="6">
        <v>158</v>
      </c>
    </row>
    <row r="1479" spans="1:43" x14ac:dyDescent="0.3">
      <c r="A1479" s="6">
        <v>22071</v>
      </c>
      <c r="B1479" s="5" t="s">
        <v>215</v>
      </c>
      <c r="C1479" s="5" t="s">
        <v>216</v>
      </c>
      <c r="D1479" s="2">
        <f t="shared" si="94"/>
        <v>2013</v>
      </c>
      <c r="E1479" s="2">
        <f t="shared" si="95"/>
        <v>5</v>
      </c>
      <c r="F1479" s="3" t="s">
        <v>178</v>
      </c>
      <c r="G1479" s="7">
        <v>41401</v>
      </c>
      <c r="H1479" s="6">
        <v>6599695</v>
      </c>
      <c r="I1479" s="6">
        <v>1617290</v>
      </c>
      <c r="J1479" s="5" t="s">
        <v>182</v>
      </c>
      <c r="K1479" s="1"/>
      <c r="L1479" s="1" t="str">
        <f t="shared" si="96"/>
        <v xml:space="preserve">Edssjön </v>
      </c>
      <c r="M1479" s="5" t="s">
        <v>213</v>
      </c>
      <c r="N1479" s="6">
        <v>3</v>
      </c>
      <c r="O1479" s="6">
        <v>3</v>
      </c>
      <c r="Q1479" s="6">
        <v>11.3</v>
      </c>
      <c r="R1479" s="6">
        <v>17.5</v>
      </c>
      <c r="S1479" s="6">
        <v>158</v>
      </c>
    </row>
    <row r="1480" spans="1:43" x14ac:dyDescent="0.3">
      <c r="A1480" s="6">
        <v>22072</v>
      </c>
      <c r="B1480" s="5" t="s">
        <v>215</v>
      </c>
      <c r="C1480" s="5" t="s">
        <v>216</v>
      </c>
      <c r="D1480" s="2">
        <f t="shared" si="94"/>
        <v>2013</v>
      </c>
      <c r="E1480" s="2">
        <f t="shared" si="95"/>
        <v>5</v>
      </c>
      <c r="F1480" s="3" t="s">
        <v>178</v>
      </c>
      <c r="G1480" s="7">
        <v>41401</v>
      </c>
      <c r="H1480" s="6">
        <v>6599695</v>
      </c>
      <c r="I1480" s="6">
        <v>1617290</v>
      </c>
      <c r="J1480" s="5" t="s">
        <v>182</v>
      </c>
      <c r="K1480" s="1"/>
      <c r="L1480" s="1" t="str">
        <f t="shared" si="96"/>
        <v xml:space="preserve">Edssjön </v>
      </c>
      <c r="M1480" s="5" t="s">
        <v>214</v>
      </c>
      <c r="N1480" s="6">
        <v>4</v>
      </c>
      <c r="O1480" s="6">
        <v>4</v>
      </c>
      <c r="Q1480" s="6">
        <v>10.5</v>
      </c>
      <c r="R1480" s="6">
        <v>16.7</v>
      </c>
      <c r="S1480" s="6">
        <v>147</v>
      </c>
    </row>
    <row r="1481" spans="1:43" x14ac:dyDescent="0.3">
      <c r="A1481" s="6">
        <v>22073</v>
      </c>
      <c r="B1481" s="5" t="s">
        <v>215</v>
      </c>
      <c r="C1481" s="5" t="s">
        <v>216</v>
      </c>
      <c r="D1481" s="2">
        <f t="shared" si="94"/>
        <v>2013</v>
      </c>
      <c r="E1481" s="2">
        <f t="shared" si="95"/>
        <v>5</v>
      </c>
      <c r="F1481" s="3" t="s">
        <v>178</v>
      </c>
      <c r="G1481" s="7">
        <v>41401</v>
      </c>
      <c r="H1481" s="6">
        <v>6599695</v>
      </c>
      <c r="I1481" s="6">
        <v>1617290</v>
      </c>
      <c r="J1481" s="5" t="s">
        <v>182</v>
      </c>
      <c r="K1481" s="1"/>
      <c r="L1481" s="1" t="str">
        <f t="shared" si="96"/>
        <v xml:space="preserve">Edssjön </v>
      </c>
      <c r="M1481" s="1" t="s">
        <v>184</v>
      </c>
      <c r="N1481" s="6">
        <v>5.0999999999999996</v>
      </c>
      <c r="O1481" s="6">
        <v>5.0999999999999996</v>
      </c>
      <c r="Q1481" s="6">
        <v>9.9</v>
      </c>
      <c r="R1481" s="6">
        <v>13.5</v>
      </c>
      <c r="S1481" s="6">
        <v>118</v>
      </c>
    </row>
    <row r="1482" spans="1:43" x14ac:dyDescent="0.3">
      <c r="A1482" s="6">
        <v>22074</v>
      </c>
      <c r="B1482" s="5" t="s">
        <v>215</v>
      </c>
      <c r="C1482" s="5" t="s">
        <v>216</v>
      </c>
      <c r="D1482" s="2">
        <f t="shared" si="94"/>
        <v>2013</v>
      </c>
      <c r="E1482" s="2">
        <f t="shared" si="95"/>
        <v>5</v>
      </c>
      <c r="F1482" s="3" t="s">
        <v>178</v>
      </c>
      <c r="G1482" s="7">
        <v>41401</v>
      </c>
      <c r="H1482" s="6">
        <v>6593820</v>
      </c>
      <c r="I1482" s="6">
        <v>1619360</v>
      </c>
      <c r="J1482" s="5" t="s">
        <v>188</v>
      </c>
      <c r="K1482" s="1"/>
      <c r="L1482" s="1" t="str">
        <f t="shared" si="96"/>
        <v xml:space="preserve">Ravalen </v>
      </c>
      <c r="M1482" s="1" t="s">
        <v>177</v>
      </c>
      <c r="N1482" s="6">
        <v>0.5</v>
      </c>
      <c r="O1482" s="6">
        <v>0.5</v>
      </c>
      <c r="P1482" s="6">
        <v>1.6</v>
      </c>
      <c r="Q1482" s="6">
        <v>14.9</v>
      </c>
      <c r="R1482" s="6">
        <v>11.8</v>
      </c>
      <c r="S1482" s="6">
        <v>115</v>
      </c>
      <c r="V1482" s="6">
        <v>2.9912195121951202</v>
      </c>
      <c r="W1482" s="6">
        <v>4.6509999999999998</v>
      </c>
      <c r="X1482" s="1">
        <f>W1482 * (1/((10^((0.0901821 + (2729.92 /(273.15 + Q1482)))-AE1482)+1)))</f>
        <v>0.16756571888797581</v>
      </c>
      <c r="Y1482" s="6">
        <v>0.13</v>
      </c>
      <c r="Z1482" s="6">
        <v>2.04</v>
      </c>
      <c r="AA1482" s="6">
        <v>1.56</v>
      </c>
      <c r="AB1482" s="6">
        <v>10.58675</v>
      </c>
      <c r="AD1482" s="6">
        <v>0</v>
      </c>
      <c r="AE1482" s="6">
        <v>8.14</v>
      </c>
      <c r="AK1482" s="6">
        <v>32.35</v>
      </c>
      <c r="AL1482" s="6">
        <v>687.94</v>
      </c>
      <c r="AM1482" s="6"/>
      <c r="AN1482" s="6"/>
      <c r="AO1482" s="6"/>
      <c r="AP1482" s="6"/>
      <c r="AQ1482" s="6"/>
    </row>
    <row r="1483" spans="1:43" x14ac:dyDescent="0.3">
      <c r="A1483" s="6">
        <v>22075</v>
      </c>
      <c r="B1483" s="5" t="s">
        <v>215</v>
      </c>
      <c r="C1483" s="5" t="s">
        <v>216</v>
      </c>
      <c r="D1483" s="2">
        <f t="shared" si="94"/>
        <v>2013</v>
      </c>
      <c r="E1483" s="2">
        <f t="shared" si="95"/>
        <v>5</v>
      </c>
      <c r="F1483" s="3" t="s">
        <v>178</v>
      </c>
      <c r="G1483" s="7">
        <v>41401</v>
      </c>
      <c r="H1483" s="6">
        <v>6593820</v>
      </c>
      <c r="I1483" s="6">
        <v>1619360</v>
      </c>
      <c r="J1483" s="5" t="s">
        <v>188</v>
      </c>
      <c r="K1483" s="1"/>
      <c r="L1483" s="1" t="str">
        <f t="shared" si="96"/>
        <v xml:space="preserve">Ravalen </v>
      </c>
      <c r="M1483" s="5" t="s">
        <v>211</v>
      </c>
      <c r="N1483" s="6">
        <v>1</v>
      </c>
      <c r="O1483" s="6">
        <v>1</v>
      </c>
      <c r="Q1483" s="6">
        <v>14.5</v>
      </c>
      <c r="R1483" s="6">
        <v>11.7</v>
      </c>
      <c r="S1483" s="6">
        <v>114</v>
      </c>
    </row>
    <row r="1484" spans="1:43" x14ac:dyDescent="0.3">
      <c r="A1484" s="6">
        <v>22076</v>
      </c>
      <c r="B1484" s="5" t="s">
        <v>215</v>
      </c>
      <c r="C1484" s="5" t="s">
        <v>216</v>
      </c>
      <c r="D1484" s="2">
        <f t="shared" si="94"/>
        <v>2013</v>
      </c>
      <c r="E1484" s="2">
        <f t="shared" si="95"/>
        <v>5</v>
      </c>
      <c r="F1484" s="3" t="s">
        <v>178</v>
      </c>
      <c r="G1484" s="7">
        <v>41401</v>
      </c>
      <c r="H1484" s="6">
        <v>6593820</v>
      </c>
      <c r="I1484" s="6">
        <v>1619360</v>
      </c>
      <c r="J1484" s="5" t="s">
        <v>188</v>
      </c>
      <c r="K1484" s="1"/>
      <c r="L1484" s="1" t="str">
        <f t="shared" si="96"/>
        <v xml:space="preserve">Ravalen </v>
      </c>
      <c r="M1484" s="1" t="s">
        <v>184</v>
      </c>
      <c r="N1484" s="6">
        <v>1.6</v>
      </c>
      <c r="O1484" s="6">
        <v>1.6</v>
      </c>
      <c r="Q1484" s="6">
        <v>14.4</v>
      </c>
      <c r="R1484" s="6">
        <v>11.4</v>
      </c>
      <c r="S1484" s="6">
        <v>110</v>
      </c>
    </row>
    <row r="1485" spans="1:43" x14ac:dyDescent="0.3">
      <c r="A1485" s="6">
        <v>22077</v>
      </c>
      <c r="B1485" s="5" t="s">
        <v>215</v>
      </c>
      <c r="C1485" s="5" t="s">
        <v>216</v>
      </c>
      <c r="D1485" s="2">
        <f t="shared" si="94"/>
        <v>2013</v>
      </c>
      <c r="E1485" s="2">
        <f t="shared" si="95"/>
        <v>5</v>
      </c>
      <c r="F1485" s="3" t="s">
        <v>178</v>
      </c>
      <c r="G1485" s="7">
        <v>41401</v>
      </c>
      <c r="H1485" s="6">
        <v>6594420</v>
      </c>
      <c r="I1485" s="6">
        <v>1615795</v>
      </c>
      <c r="J1485" s="5" t="s">
        <v>193</v>
      </c>
      <c r="K1485" s="1"/>
      <c r="L1485" s="1" t="str">
        <f t="shared" si="96"/>
        <v xml:space="preserve">Översjön </v>
      </c>
      <c r="M1485" s="1" t="s">
        <v>177</v>
      </c>
      <c r="N1485" s="6">
        <v>0.5</v>
      </c>
      <c r="O1485" s="6">
        <v>0.5</v>
      </c>
      <c r="P1485" s="6">
        <v>2.2000000000000002</v>
      </c>
      <c r="Q1485" s="6">
        <v>12.8</v>
      </c>
      <c r="R1485" s="6">
        <v>14.1</v>
      </c>
      <c r="S1485" s="6">
        <v>131</v>
      </c>
      <c r="V1485" s="6">
        <v>1.7349073170731701</v>
      </c>
      <c r="W1485" s="6">
        <v>6.5350000000000001</v>
      </c>
      <c r="X1485" s="1">
        <f>W1485 * (1/((10^((0.0901821 + (2729.92 /(273.15 + Q1485)))-AE1485)+1)))</f>
        <v>0.1844115075880946</v>
      </c>
      <c r="Y1485" s="6">
        <v>7.3999999999999996E-2</v>
      </c>
      <c r="Z1485" s="6">
        <v>1.83</v>
      </c>
      <c r="AA1485" s="6">
        <v>1.9</v>
      </c>
      <c r="AB1485" s="6">
        <v>22.146892000000001</v>
      </c>
      <c r="AD1485" s="6">
        <v>0.246</v>
      </c>
      <c r="AE1485" s="6">
        <v>8.1</v>
      </c>
      <c r="AK1485" s="6">
        <v>33.61</v>
      </c>
      <c r="AL1485" s="6">
        <v>917.83100000000002</v>
      </c>
      <c r="AM1485" s="6"/>
      <c r="AN1485" s="6"/>
      <c r="AO1485" s="6"/>
      <c r="AP1485" s="6"/>
      <c r="AQ1485" s="6"/>
    </row>
    <row r="1486" spans="1:43" x14ac:dyDescent="0.3">
      <c r="A1486" s="6">
        <v>22078</v>
      </c>
      <c r="B1486" s="5" t="s">
        <v>215</v>
      </c>
      <c r="C1486" s="5" t="s">
        <v>216</v>
      </c>
      <c r="D1486" s="2">
        <f t="shared" si="94"/>
        <v>2013</v>
      </c>
      <c r="E1486" s="2">
        <f t="shared" si="95"/>
        <v>5</v>
      </c>
      <c r="F1486" s="3" t="s">
        <v>178</v>
      </c>
      <c r="G1486" s="7">
        <v>41401</v>
      </c>
      <c r="H1486" s="6">
        <v>6594420</v>
      </c>
      <c r="I1486" s="6">
        <v>1615795</v>
      </c>
      <c r="J1486" s="5" t="s">
        <v>193</v>
      </c>
      <c r="K1486" s="1"/>
      <c r="L1486" s="1" t="str">
        <f t="shared" si="96"/>
        <v xml:space="preserve">Översjön </v>
      </c>
      <c r="M1486" s="5" t="s">
        <v>211</v>
      </c>
      <c r="N1486" s="6">
        <v>1</v>
      </c>
      <c r="O1486" s="6">
        <v>1</v>
      </c>
      <c r="Q1486" s="6">
        <v>12.7</v>
      </c>
      <c r="R1486" s="6">
        <v>13.9</v>
      </c>
      <c r="S1486" s="6">
        <v>130</v>
      </c>
    </row>
    <row r="1487" spans="1:43" x14ac:dyDescent="0.3">
      <c r="A1487" s="6">
        <v>22079</v>
      </c>
      <c r="B1487" s="5" t="s">
        <v>215</v>
      </c>
      <c r="C1487" s="5" t="s">
        <v>216</v>
      </c>
      <c r="D1487" s="2">
        <f t="shared" si="94"/>
        <v>2013</v>
      </c>
      <c r="E1487" s="2">
        <f t="shared" si="95"/>
        <v>5</v>
      </c>
      <c r="F1487" s="3" t="s">
        <v>178</v>
      </c>
      <c r="G1487" s="7">
        <v>41401</v>
      </c>
      <c r="H1487" s="6">
        <v>6594420</v>
      </c>
      <c r="I1487" s="6">
        <v>1615795</v>
      </c>
      <c r="J1487" s="5" t="s">
        <v>193</v>
      </c>
      <c r="K1487" s="1"/>
      <c r="L1487" s="1" t="str">
        <f t="shared" si="96"/>
        <v xml:space="preserve">Översjön </v>
      </c>
      <c r="M1487" s="5" t="s">
        <v>212</v>
      </c>
      <c r="N1487" s="6">
        <v>2</v>
      </c>
      <c r="O1487" s="6">
        <v>2</v>
      </c>
      <c r="Q1487" s="6">
        <v>12.5</v>
      </c>
      <c r="R1487" s="6">
        <v>13.9</v>
      </c>
      <c r="S1487" s="6">
        <v>129</v>
      </c>
    </row>
    <row r="1488" spans="1:43" x14ac:dyDescent="0.3">
      <c r="A1488" s="6">
        <v>22080</v>
      </c>
      <c r="B1488" s="5" t="s">
        <v>215</v>
      </c>
      <c r="C1488" s="5" t="s">
        <v>216</v>
      </c>
      <c r="D1488" s="2">
        <f t="shared" si="94"/>
        <v>2013</v>
      </c>
      <c r="E1488" s="2">
        <f t="shared" si="95"/>
        <v>5</v>
      </c>
      <c r="F1488" s="3" t="s">
        <v>178</v>
      </c>
      <c r="G1488" s="7">
        <v>41401</v>
      </c>
      <c r="H1488" s="6">
        <v>6594420</v>
      </c>
      <c r="I1488" s="6">
        <v>1615795</v>
      </c>
      <c r="J1488" s="5" t="s">
        <v>193</v>
      </c>
      <c r="K1488" s="1"/>
      <c r="L1488" s="1" t="str">
        <f t="shared" si="96"/>
        <v xml:space="preserve">Översjön </v>
      </c>
      <c r="M1488" s="5" t="s">
        <v>213</v>
      </c>
      <c r="N1488" s="6">
        <v>3</v>
      </c>
      <c r="O1488" s="6">
        <v>3</v>
      </c>
      <c r="Q1488" s="6">
        <v>12.4</v>
      </c>
      <c r="R1488" s="6">
        <v>13.8</v>
      </c>
      <c r="S1488" s="6">
        <v>127</v>
      </c>
    </row>
    <row r="1489" spans="1:43" x14ac:dyDescent="0.3">
      <c r="A1489" s="6">
        <v>22081</v>
      </c>
      <c r="B1489" s="5" t="s">
        <v>215</v>
      </c>
      <c r="C1489" s="5" t="s">
        <v>216</v>
      </c>
      <c r="D1489" s="2">
        <f t="shared" si="94"/>
        <v>2013</v>
      </c>
      <c r="E1489" s="2">
        <f t="shared" si="95"/>
        <v>5</v>
      </c>
      <c r="F1489" s="3" t="s">
        <v>178</v>
      </c>
      <c r="G1489" s="7">
        <v>41401</v>
      </c>
      <c r="H1489" s="6">
        <v>6594420</v>
      </c>
      <c r="I1489" s="6">
        <v>1615795</v>
      </c>
      <c r="J1489" s="5" t="s">
        <v>193</v>
      </c>
      <c r="K1489" s="1"/>
      <c r="L1489" s="1" t="str">
        <f t="shared" si="96"/>
        <v xml:space="preserve">Översjön </v>
      </c>
      <c r="M1489" s="1" t="s">
        <v>184</v>
      </c>
      <c r="N1489" s="6">
        <v>3.7</v>
      </c>
      <c r="O1489" s="6">
        <v>3.7</v>
      </c>
      <c r="Q1489" s="6">
        <v>11.6</v>
      </c>
      <c r="R1489" s="6">
        <v>12.2</v>
      </c>
      <c r="S1489" s="6">
        <v>112</v>
      </c>
    </row>
    <row r="1490" spans="1:43" x14ac:dyDescent="0.3">
      <c r="A1490" s="6">
        <v>22082</v>
      </c>
      <c r="B1490" s="5" t="s">
        <v>215</v>
      </c>
      <c r="C1490" s="5" t="s">
        <v>216</v>
      </c>
      <c r="D1490" s="2">
        <f t="shared" si="94"/>
        <v>2013</v>
      </c>
      <c r="E1490" s="2">
        <f t="shared" si="95"/>
        <v>5</v>
      </c>
      <c r="F1490" s="3" t="s">
        <v>178</v>
      </c>
      <c r="G1490" s="7">
        <v>41401</v>
      </c>
      <c r="H1490" s="6">
        <v>6593820</v>
      </c>
      <c r="I1490" s="6">
        <v>1624215</v>
      </c>
      <c r="J1490" s="5" t="s">
        <v>189</v>
      </c>
      <c r="K1490" s="1"/>
      <c r="L1490" s="1" t="str">
        <f t="shared" si="96"/>
        <v xml:space="preserve">Rösjön </v>
      </c>
      <c r="M1490" s="1" t="s">
        <v>177</v>
      </c>
      <c r="N1490" s="6">
        <v>0.5</v>
      </c>
      <c r="O1490" s="6">
        <v>0.5</v>
      </c>
      <c r="P1490" s="6">
        <v>2.2000000000000002</v>
      </c>
      <c r="Q1490" s="6">
        <v>12.1</v>
      </c>
      <c r="R1490" s="6">
        <v>13.3</v>
      </c>
      <c r="S1490" s="6">
        <v>123</v>
      </c>
      <c r="V1490" s="6">
        <v>1.61525853658536</v>
      </c>
      <c r="W1490" s="6">
        <v>6.4660000000000002</v>
      </c>
      <c r="X1490" s="1">
        <f>W1490 * (1/((10^((0.0901821 + (2729.92 /(273.15 + Q1490)))-AE1490)+1)))</f>
        <v>0.1103334784921966</v>
      </c>
      <c r="Y1490" s="6">
        <v>5.6000000000000001E-2</v>
      </c>
      <c r="Z1490" s="6">
        <v>2.38</v>
      </c>
      <c r="AA1490" s="6">
        <v>1.9</v>
      </c>
      <c r="AB1490" s="6">
        <v>11.879868</v>
      </c>
      <c r="AD1490" s="6">
        <v>74.972999999999999</v>
      </c>
      <c r="AE1490" s="6">
        <v>7.9</v>
      </c>
      <c r="AK1490" s="6">
        <v>24.73</v>
      </c>
      <c r="AL1490" s="6">
        <v>663.93700000000001</v>
      </c>
      <c r="AM1490" s="6"/>
      <c r="AN1490" s="6"/>
      <c r="AO1490" s="6"/>
      <c r="AP1490" s="6"/>
      <c r="AQ1490" s="6"/>
    </row>
    <row r="1491" spans="1:43" x14ac:dyDescent="0.3">
      <c r="A1491" s="6">
        <v>22083</v>
      </c>
      <c r="B1491" s="5" t="s">
        <v>215</v>
      </c>
      <c r="C1491" s="5" t="s">
        <v>216</v>
      </c>
      <c r="D1491" s="2">
        <f t="shared" si="94"/>
        <v>2013</v>
      </c>
      <c r="E1491" s="2">
        <f t="shared" si="95"/>
        <v>5</v>
      </c>
      <c r="F1491" s="3" t="s">
        <v>178</v>
      </c>
      <c r="G1491" s="7">
        <v>41401</v>
      </c>
      <c r="H1491" s="6">
        <v>6593820</v>
      </c>
      <c r="I1491" s="6">
        <v>1624215</v>
      </c>
      <c r="J1491" s="5" t="s">
        <v>189</v>
      </c>
      <c r="K1491" s="1"/>
      <c r="L1491" s="1" t="str">
        <f t="shared" si="96"/>
        <v xml:space="preserve">Rösjön </v>
      </c>
      <c r="M1491" s="5" t="s">
        <v>211</v>
      </c>
      <c r="N1491" s="6">
        <v>1</v>
      </c>
      <c r="O1491" s="6">
        <v>1</v>
      </c>
      <c r="Q1491" s="6">
        <v>11.7</v>
      </c>
      <c r="R1491" s="6">
        <v>13.2</v>
      </c>
      <c r="S1491" s="6">
        <v>120</v>
      </c>
    </row>
    <row r="1492" spans="1:43" x14ac:dyDescent="0.3">
      <c r="A1492" s="6">
        <v>22084</v>
      </c>
      <c r="B1492" s="5" t="s">
        <v>215</v>
      </c>
      <c r="C1492" s="5" t="s">
        <v>216</v>
      </c>
      <c r="D1492" s="2">
        <f t="shared" si="94"/>
        <v>2013</v>
      </c>
      <c r="E1492" s="2">
        <f t="shared" si="95"/>
        <v>5</v>
      </c>
      <c r="F1492" s="3" t="s">
        <v>178</v>
      </c>
      <c r="G1492" s="7">
        <v>41401</v>
      </c>
      <c r="H1492" s="6">
        <v>6593820</v>
      </c>
      <c r="I1492" s="6">
        <v>1624215</v>
      </c>
      <c r="J1492" s="5" t="s">
        <v>189</v>
      </c>
      <c r="K1492" s="1"/>
      <c r="L1492" s="1" t="str">
        <f t="shared" si="96"/>
        <v xml:space="preserve">Rösjön </v>
      </c>
      <c r="M1492" s="5" t="s">
        <v>212</v>
      </c>
      <c r="N1492" s="6">
        <v>2</v>
      </c>
      <c r="O1492" s="6">
        <v>2</v>
      </c>
      <c r="Q1492" s="6">
        <v>11.6</v>
      </c>
      <c r="R1492" s="6">
        <v>13.2</v>
      </c>
      <c r="S1492" s="6">
        <v>121</v>
      </c>
    </row>
    <row r="1493" spans="1:43" x14ac:dyDescent="0.3">
      <c r="A1493" s="6">
        <v>22085</v>
      </c>
      <c r="B1493" s="5" t="s">
        <v>215</v>
      </c>
      <c r="C1493" s="5" t="s">
        <v>216</v>
      </c>
      <c r="D1493" s="2">
        <f t="shared" si="94"/>
        <v>2013</v>
      </c>
      <c r="E1493" s="2">
        <f t="shared" si="95"/>
        <v>5</v>
      </c>
      <c r="F1493" s="3" t="s">
        <v>178</v>
      </c>
      <c r="G1493" s="7">
        <v>41401</v>
      </c>
      <c r="H1493" s="6">
        <v>6593820</v>
      </c>
      <c r="I1493" s="6">
        <v>1624215</v>
      </c>
      <c r="J1493" s="5" t="s">
        <v>189</v>
      </c>
      <c r="K1493" s="1"/>
      <c r="L1493" s="1" t="str">
        <f t="shared" si="96"/>
        <v xml:space="preserve">Rösjön </v>
      </c>
      <c r="M1493" s="5" t="s">
        <v>213</v>
      </c>
      <c r="N1493" s="6">
        <v>3</v>
      </c>
      <c r="O1493" s="6">
        <v>3</v>
      </c>
      <c r="Q1493" s="6">
        <v>10.4</v>
      </c>
      <c r="R1493" s="6">
        <v>12.2</v>
      </c>
      <c r="S1493" s="6">
        <v>107</v>
      </c>
    </row>
    <row r="1494" spans="1:43" x14ac:dyDescent="0.3">
      <c r="A1494" s="6">
        <v>22086</v>
      </c>
      <c r="B1494" s="5" t="s">
        <v>215</v>
      </c>
      <c r="C1494" s="5" t="s">
        <v>216</v>
      </c>
      <c r="D1494" s="2">
        <f t="shared" si="94"/>
        <v>2013</v>
      </c>
      <c r="E1494" s="2">
        <f t="shared" si="95"/>
        <v>5</v>
      </c>
      <c r="F1494" s="3" t="s">
        <v>178</v>
      </c>
      <c r="G1494" s="7">
        <v>41401</v>
      </c>
      <c r="H1494" s="6">
        <v>6593820</v>
      </c>
      <c r="I1494" s="6">
        <v>1624215</v>
      </c>
      <c r="J1494" s="5" t="s">
        <v>189</v>
      </c>
      <c r="K1494" s="1"/>
      <c r="L1494" s="1" t="str">
        <f t="shared" si="96"/>
        <v xml:space="preserve">Rösjön </v>
      </c>
      <c r="M1494" s="5" t="s">
        <v>214</v>
      </c>
      <c r="N1494" s="6">
        <v>4</v>
      </c>
      <c r="O1494" s="6">
        <v>4</v>
      </c>
      <c r="Q1494" s="6">
        <v>9.1999999999999993</v>
      </c>
      <c r="R1494" s="6">
        <v>10.6</v>
      </c>
      <c r="S1494" s="6">
        <v>89</v>
      </c>
    </row>
    <row r="1495" spans="1:43" x14ac:dyDescent="0.3">
      <c r="A1495" s="6">
        <v>22087</v>
      </c>
      <c r="B1495" s="5" t="s">
        <v>215</v>
      </c>
      <c r="C1495" s="5" t="s">
        <v>216</v>
      </c>
      <c r="D1495" s="2">
        <f t="shared" si="94"/>
        <v>2013</v>
      </c>
      <c r="E1495" s="2">
        <f t="shared" si="95"/>
        <v>5</v>
      </c>
      <c r="F1495" s="3" t="s">
        <v>178</v>
      </c>
      <c r="G1495" s="7">
        <v>41401</v>
      </c>
      <c r="H1495" s="6">
        <v>6593820</v>
      </c>
      <c r="I1495" s="6">
        <v>1624215</v>
      </c>
      <c r="J1495" s="5" t="s">
        <v>189</v>
      </c>
      <c r="K1495" s="1"/>
      <c r="L1495" s="1" t="str">
        <f t="shared" si="96"/>
        <v xml:space="preserve">Rösjön </v>
      </c>
      <c r="M1495" s="5" t="s">
        <v>217</v>
      </c>
      <c r="N1495" s="6">
        <v>5</v>
      </c>
      <c r="O1495" s="6">
        <v>5</v>
      </c>
      <c r="Q1495" s="6">
        <v>8.6999999999999993</v>
      </c>
      <c r="R1495" s="6">
        <v>10.199999999999999</v>
      </c>
      <c r="S1495" s="6">
        <v>86</v>
      </c>
    </row>
    <row r="1496" spans="1:43" x14ac:dyDescent="0.3">
      <c r="A1496" s="6">
        <v>22088</v>
      </c>
      <c r="B1496" s="5" t="s">
        <v>215</v>
      </c>
      <c r="C1496" s="5" t="s">
        <v>216</v>
      </c>
      <c r="D1496" s="2">
        <f t="shared" si="94"/>
        <v>2013</v>
      </c>
      <c r="E1496" s="2">
        <f t="shared" si="95"/>
        <v>5</v>
      </c>
      <c r="F1496" s="3" t="s">
        <v>178</v>
      </c>
      <c r="G1496" s="7">
        <v>41401</v>
      </c>
      <c r="H1496" s="6">
        <v>6593820</v>
      </c>
      <c r="I1496" s="6">
        <v>1624215</v>
      </c>
      <c r="J1496" s="5" t="s">
        <v>189</v>
      </c>
      <c r="K1496" s="1"/>
      <c r="L1496" s="1" t="str">
        <f t="shared" si="96"/>
        <v xml:space="preserve">Rösjön </v>
      </c>
      <c r="M1496" s="5" t="s">
        <v>218</v>
      </c>
      <c r="N1496" s="6">
        <v>6</v>
      </c>
      <c r="O1496" s="6">
        <v>6</v>
      </c>
      <c r="Q1496" s="6">
        <v>8.5</v>
      </c>
      <c r="R1496" s="6">
        <v>9.9</v>
      </c>
      <c r="S1496" s="6">
        <v>84</v>
      </c>
    </row>
    <row r="1497" spans="1:43" x14ac:dyDescent="0.3">
      <c r="A1497" s="6">
        <v>22089</v>
      </c>
      <c r="B1497" s="5" t="s">
        <v>215</v>
      </c>
      <c r="C1497" s="5" t="s">
        <v>216</v>
      </c>
      <c r="D1497" s="2">
        <f t="shared" si="94"/>
        <v>2013</v>
      </c>
      <c r="E1497" s="2">
        <f t="shared" si="95"/>
        <v>5</v>
      </c>
      <c r="F1497" s="3" t="s">
        <v>178</v>
      </c>
      <c r="G1497" s="7">
        <v>41401</v>
      </c>
      <c r="H1497" s="6">
        <v>6593820</v>
      </c>
      <c r="I1497" s="6">
        <v>1624215</v>
      </c>
      <c r="J1497" s="5" t="s">
        <v>189</v>
      </c>
      <c r="K1497" s="1"/>
      <c r="L1497" s="1" t="str">
        <f t="shared" si="96"/>
        <v xml:space="preserve">Rösjön </v>
      </c>
      <c r="M1497" s="1" t="s">
        <v>184</v>
      </c>
      <c r="N1497" s="6">
        <v>6.5</v>
      </c>
      <c r="O1497" s="6">
        <v>6.5</v>
      </c>
      <c r="Q1497" s="6">
        <v>8.4</v>
      </c>
      <c r="R1497" s="6">
        <v>9.8000000000000007</v>
      </c>
      <c r="S1497" s="6">
        <v>82</v>
      </c>
    </row>
    <row r="1498" spans="1:43" x14ac:dyDescent="0.3">
      <c r="A1498" s="6">
        <v>22090</v>
      </c>
      <c r="B1498" s="5" t="s">
        <v>215</v>
      </c>
      <c r="C1498" s="5" t="s">
        <v>216</v>
      </c>
      <c r="D1498" s="2">
        <f t="shared" si="94"/>
        <v>2013</v>
      </c>
      <c r="E1498" s="2">
        <f t="shared" si="95"/>
        <v>5</v>
      </c>
      <c r="F1498" s="3" t="s">
        <v>178</v>
      </c>
      <c r="G1498" s="7">
        <v>41401</v>
      </c>
      <c r="H1498" s="6">
        <v>6594980</v>
      </c>
      <c r="I1498" s="6">
        <v>1622960</v>
      </c>
      <c r="J1498" s="5" t="s">
        <v>192</v>
      </c>
      <c r="K1498" s="1"/>
      <c r="L1498" s="1" t="str">
        <f t="shared" si="96"/>
        <v xml:space="preserve">Väsjön </v>
      </c>
      <c r="M1498" s="1" t="s">
        <v>177</v>
      </c>
      <c r="N1498" s="6">
        <v>0.5</v>
      </c>
      <c r="O1498" s="6">
        <v>0.5</v>
      </c>
      <c r="P1498" s="6">
        <v>2.6</v>
      </c>
      <c r="Q1498" s="6">
        <v>14.1</v>
      </c>
      <c r="R1498" s="6">
        <v>11.6</v>
      </c>
      <c r="S1498" s="6">
        <v>111</v>
      </c>
      <c r="V1498" s="6">
        <v>2.6721560975609702</v>
      </c>
      <c r="W1498" s="6">
        <v>3.754</v>
      </c>
      <c r="X1498" s="1">
        <f>W1498 * (1/((10^((0.0901821 + (2729.92 /(273.15 + Q1498)))-AE1498)+1)))</f>
        <v>8.3353251423513658E-2</v>
      </c>
      <c r="Y1498" s="6">
        <v>0.10299999999999999</v>
      </c>
      <c r="Z1498" s="6">
        <v>2.02</v>
      </c>
      <c r="AA1498" s="6">
        <v>1.5</v>
      </c>
      <c r="AB1498" s="6">
        <v>9.5176200000000009</v>
      </c>
      <c r="AD1498" s="6">
        <v>0</v>
      </c>
      <c r="AE1498" s="6">
        <v>7.95</v>
      </c>
      <c r="AK1498" s="6">
        <v>25.1</v>
      </c>
      <c r="AL1498" s="6">
        <v>648.524</v>
      </c>
      <c r="AM1498" s="6"/>
      <c r="AN1498" s="6"/>
      <c r="AO1498" s="6"/>
      <c r="AP1498" s="6"/>
      <c r="AQ1498" s="6"/>
    </row>
    <row r="1499" spans="1:43" x14ac:dyDescent="0.3">
      <c r="A1499" s="6">
        <v>22091</v>
      </c>
      <c r="B1499" s="5" t="s">
        <v>215</v>
      </c>
      <c r="C1499" s="5" t="s">
        <v>216</v>
      </c>
      <c r="D1499" s="2">
        <f t="shared" si="94"/>
        <v>2013</v>
      </c>
      <c r="E1499" s="2">
        <f t="shared" si="95"/>
        <v>5</v>
      </c>
      <c r="F1499" s="3" t="s">
        <v>178</v>
      </c>
      <c r="G1499" s="7">
        <v>41401</v>
      </c>
      <c r="H1499" s="6">
        <v>6594980</v>
      </c>
      <c r="I1499" s="6">
        <v>1622960</v>
      </c>
      <c r="J1499" s="5" t="s">
        <v>192</v>
      </c>
      <c r="K1499" s="1"/>
      <c r="L1499" s="1" t="str">
        <f t="shared" si="96"/>
        <v xml:space="preserve">Väsjön </v>
      </c>
      <c r="M1499" s="5" t="s">
        <v>211</v>
      </c>
      <c r="N1499" s="6">
        <v>1</v>
      </c>
      <c r="O1499" s="6">
        <v>1</v>
      </c>
      <c r="Q1499" s="6">
        <v>13.8</v>
      </c>
      <c r="R1499" s="6">
        <v>11.7</v>
      </c>
      <c r="S1499" s="6">
        <v>112</v>
      </c>
    </row>
    <row r="1500" spans="1:43" x14ac:dyDescent="0.3">
      <c r="A1500" s="6">
        <v>22092</v>
      </c>
      <c r="B1500" s="5" t="s">
        <v>215</v>
      </c>
      <c r="C1500" s="5" t="s">
        <v>216</v>
      </c>
      <c r="D1500" s="2">
        <f t="shared" si="94"/>
        <v>2013</v>
      </c>
      <c r="E1500" s="2">
        <f t="shared" si="95"/>
        <v>5</v>
      </c>
      <c r="F1500" s="3" t="s">
        <v>178</v>
      </c>
      <c r="G1500" s="7">
        <v>41401</v>
      </c>
      <c r="H1500" s="6">
        <v>6594980</v>
      </c>
      <c r="I1500" s="6">
        <v>1622960</v>
      </c>
      <c r="J1500" s="5" t="s">
        <v>192</v>
      </c>
      <c r="K1500" s="1"/>
      <c r="L1500" s="1" t="str">
        <f t="shared" si="96"/>
        <v xml:space="preserve">Väsjön </v>
      </c>
      <c r="M1500" s="5" t="s">
        <v>212</v>
      </c>
      <c r="N1500" s="6">
        <v>2</v>
      </c>
      <c r="O1500" s="6">
        <v>2</v>
      </c>
      <c r="Q1500" s="6">
        <v>13.6</v>
      </c>
      <c r="R1500" s="6">
        <v>11.7</v>
      </c>
      <c r="S1500" s="6">
        <v>112</v>
      </c>
    </row>
    <row r="1501" spans="1:43" x14ac:dyDescent="0.3">
      <c r="A1501" s="6">
        <v>22093</v>
      </c>
      <c r="B1501" s="5" t="s">
        <v>215</v>
      </c>
      <c r="C1501" s="5" t="s">
        <v>216</v>
      </c>
      <c r="D1501" s="2">
        <f t="shared" si="94"/>
        <v>2013</v>
      </c>
      <c r="E1501" s="2">
        <f t="shared" si="95"/>
        <v>5</v>
      </c>
      <c r="F1501" s="3" t="s">
        <v>178</v>
      </c>
      <c r="G1501" s="7">
        <v>41401</v>
      </c>
      <c r="H1501" s="6">
        <v>6594980</v>
      </c>
      <c r="I1501" s="6">
        <v>1622960</v>
      </c>
      <c r="J1501" s="5" t="s">
        <v>192</v>
      </c>
      <c r="K1501" s="1"/>
      <c r="L1501" s="1" t="str">
        <f t="shared" si="96"/>
        <v xml:space="preserve">Väsjön </v>
      </c>
      <c r="M1501" s="1" t="s">
        <v>184</v>
      </c>
      <c r="N1501" s="6">
        <v>2.6</v>
      </c>
      <c r="O1501" s="6">
        <v>2.6</v>
      </c>
      <c r="Q1501" s="6">
        <v>13.5</v>
      </c>
      <c r="R1501" s="6">
        <v>11.7</v>
      </c>
      <c r="S1501" s="6">
        <v>111</v>
      </c>
    </row>
    <row r="1502" spans="1:43" x14ac:dyDescent="0.3">
      <c r="A1502" s="6">
        <v>22094</v>
      </c>
      <c r="B1502" s="5" t="s">
        <v>215</v>
      </c>
      <c r="C1502" s="5" t="s">
        <v>216</v>
      </c>
      <c r="D1502" s="2">
        <f t="shared" si="94"/>
        <v>2013</v>
      </c>
      <c r="E1502" s="2">
        <f t="shared" si="95"/>
        <v>5</v>
      </c>
      <c r="F1502" s="3" t="s">
        <v>178</v>
      </c>
      <c r="G1502" s="7">
        <v>41401</v>
      </c>
      <c r="H1502" s="6">
        <v>6595400</v>
      </c>
      <c r="I1502" s="6">
        <v>1624045</v>
      </c>
      <c r="J1502" s="5" t="s">
        <v>183</v>
      </c>
      <c r="K1502" s="1"/>
      <c r="L1502" s="1" t="str">
        <f t="shared" si="96"/>
        <v xml:space="preserve">Fjäturen </v>
      </c>
      <c r="M1502" s="1" t="s">
        <v>177</v>
      </c>
      <c r="N1502" s="6">
        <v>0.5</v>
      </c>
      <c r="O1502" s="6">
        <v>0.5</v>
      </c>
      <c r="P1502" s="6">
        <v>2.4</v>
      </c>
      <c r="Q1502" s="6">
        <v>12.4</v>
      </c>
      <c r="R1502" s="6">
        <v>11.2</v>
      </c>
      <c r="S1502" s="6">
        <v>104</v>
      </c>
      <c r="V1502" s="6">
        <v>1.7548487804878001</v>
      </c>
      <c r="W1502" s="6">
        <v>8.4169999999999998</v>
      </c>
      <c r="X1502" s="1">
        <f>W1502 * (1/((10^((0.0901821 + (2729.92 /(273.15 + Q1502)))-AE1502)+1)))</f>
        <v>0.11450108516778212</v>
      </c>
      <c r="Y1502" s="6">
        <v>0.112</v>
      </c>
      <c r="Z1502" s="6">
        <v>2.14</v>
      </c>
      <c r="AA1502" s="6">
        <v>2.5</v>
      </c>
      <c r="AB1502" s="6">
        <v>7.0969899999999999</v>
      </c>
      <c r="AD1502" s="6">
        <v>218.80199999999999</v>
      </c>
      <c r="AE1502" s="6">
        <v>7.79</v>
      </c>
      <c r="AK1502" s="6">
        <v>24.63</v>
      </c>
      <c r="AL1502" s="6">
        <v>876.25199999999995</v>
      </c>
      <c r="AM1502" s="6"/>
      <c r="AN1502" s="6"/>
      <c r="AO1502" s="6"/>
      <c r="AP1502" s="6"/>
      <c r="AQ1502" s="6"/>
    </row>
    <row r="1503" spans="1:43" x14ac:dyDescent="0.3">
      <c r="A1503" s="6">
        <v>22095</v>
      </c>
      <c r="B1503" s="5" t="s">
        <v>215</v>
      </c>
      <c r="C1503" s="5" t="s">
        <v>216</v>
      </c>
      <c r="D1503" s="2">
        <f t="shared" si="94"/>
        <v>2013</v>
      </c>
      <c r="E1503" s="2">
        <f t="shared" si="95"/>
        <v>5</v>
      </c>
      <c r="F1503" s="3" t="s">
        <v>178</v>
      </c>
      <c r="G1503" s="7">
        <v>41401</v>
      </c>
      <c r="H1503" s="6">
        <v>6595400</v>
      </c>
      <c r="I1503" s="6">
        <v>1624045</v>
      </c>
      <c r="J1503" s="5" t="s">
        <v>183</v>
      </c>
      <c r="K1503" s="1"/>
      <c r="L1503" s="1" t="str">
        <f t="shared" si="96"/>
        <v xml:space="preserve">Fjäturen </v>
      </c>
      <c r="M1503" s="5" t="s">
        <v>211</v>
      </c>
      <c r="N1503" s="6">
        <v>1</v>
      </c>
      <c r="O1503" s="6">
        <v>1</v>
      </c>
      <c r="Q1503" s="6">
        <v>12.1</v>
      </c>
      <c r="R1503" s="6">
        <v>11.3</v>
      </c>
      <c r="S1503" s="6">
        <v>104</v>
      </c>
    </row>
    <row r="1504" spans="1:43" x14ac:dyDescent="0.3">
      <c r="A1504" s="6">
        <v>22096</v>
      </c>
      <c r="B1504" s="5" t="s">
        <v>215</v>
      </c>
      <c r="C1504" s="5" t="s">
        <v>216</v>
      </c>
      <c r="D1504" s="2">
        <f t="shared" si="94"/>
        <v>2013</v>
      </c>
      <c r="E1504" s="2">
        <f t="shared" si="95"/>
        <v>5</v>
      </c>
      <c r="F1504" s="3" t="s">
        <v>178</v>
      </c>
      <c r="G1504" s="7">
        <v>41401</v>
      </c>
      <c r="H1504" s="6">
        <v>6595400</v>
      </c>
      <c r="I1504" s="6">
        <v>1624045</v>
      </c>
      <c r="J1504" s="5" t="s">
        <v>183</v>
      </c>
      <c r="K1504" s="1"/>
      <c r="L1504" s="1" t="str">
        <f t="shared" si="96"/>
        <v xml:space="preserve">Fjäturen </v>
      </c>
      <c r="M1504" s="5" t="s">
        <v>212</v>
      </c>
      <c r="N1504" s="6">
        <v>2</v>
      </c>
      <c r="O1504" s="6">
        <v>2</v>
      </c>
      <c r="Q1504" s="6">
        <v>11.8</v>
      </c>
      <c r="R1504" s="6">
        <v>11.3</v>
      </c>
      <c r="S1504" s="6">
        <v>104</v>
      </c>
    </row>
    <row r="1505" spans="1:50" x14ac:dyDescent="0.3">
      <c r="A1505" s="6">
        <v>22097</v>
      </c>
      <c r="B1505" s="5" t="s">
        <v>215</v>
      </c>
      <c r="C1505" s="5" t="s">
        <v>216</v>
      </c>
      <c r="D1505" s="2">
        <f t="shared" si="94"/>
        <v>2013</v>
      </c>
      <c r="E1505" s="2">
        <f t="shared" si="95"/>
        <v>5</v>
      </c>
      <c r="F1505" s="3" t="s">
        <v>178</v>
      </c>
      <c r="G1505" s="7">
        <v>41401</v>
      </c>
      <c r="H1505" s="6">
        <v>6595400</v>
      </c>
      <c r="I1505" s="6">
        <v>1624045</v>
      </c>
      <c r="J1505" s="5" t="s">
        <v>183</v>
      </c>
      <c r="K1505" s="1"/>
      <c r="L1505" s="1" t="str">
        <f t="shared" si="96"/>
        <v xml:space="preserve">Fjäturen </v>
      </c>
      <c r="M1505" s="5" t="s">
        <v>213</v>
      </c>
      <c r="N1505" s="6">
        <v>3</v>
      </c>
      <c r="O1505" s="6">
        <v>3</v>
      </c>
      <c r="Q1505" s="6">
        <v>11.6</v>
      </c>
      <c r="R1505" s="6">
        <v>11.3</v>
      </c>
      <c r="S1505" s="6">
        <v>102</v>
      </c>
    </row>
    <row r="1506" spans="1:50" x14ac:dyDescent="0.3">
      <c r="A1506" s="6">
        <v>22098</v>
      </c>
      <c r="B1506" s="5" t="s">
        <v>215</v>
      </c>
      <c r="C1506" s="5" t="s">
        <v>216</v>
      </c>
      <c r="D1506" s="2">
        <f t="shared" si="94"/>
        <v>2013</v>
      </c>
      <c r="E1506" s="2">
        <f t="shared" si="95"/>
        <v>5</v>
      </c>
      <c r="F1506" s="3" t="s">
        <v>178</v>
      </c>
      <c r="G1506" s="7">
        <v>41401</v>
      </c>
      <c r="H1506" s="6">
        <v>6595400</v>
      </c>
      <c r="I1506" s="6">
        <v>1624045</v>
      </c>
      <c r="J1506" s="5" t="s">
        <v>183</v>
      </c>
      <c r="K1506" s="1"/>
      <c r="L1506" s="1" t="str">
        <f t="shared" si="96"/>
        <v xml:space="preserve">Fjäturen </v>
      </c>
      <c r="M1506" s="5" t="s">
        <v>214</v>
      </c>
      <c r="N1506" s="6">
        <v>4</v>
      </c>
      <c r="O1506" s="6">
        <v>4</v>
      </c>
      <c r="Q1506" s="6">
        <v>10</v>
      </c>
      <c r="R1506" s="6">
        <v>10.3</v>
      </c>
      <c r="S1506" s="6">
        <v>90</v>
      </c>
    </row>
    <row r="1507" spans="1:50" x14ac:dyDescent="0.3">
      <c r="A1507" s="6">
        <v>22099</v>
      </c>
      <c r="B1507" s="5" t="s">
        <v>215</v>
      </c>
      <c r="C1507" s="5" t="s">
        <v>216</v>
      </c>
      <c r="D1507" s="2">
        <f t="shared" si="94"/>
        <v>2013</v>
      </c>
      <c r="E1507" s="2">
        <f t="shared" si="95"/>
        <v>5</v>
      </c>
      <c r="F1507" s="3" t="s">
        <v>178</v>
      </c>
      <c r="G1507" s="7">
        <v>41401</v>
      </c>
      <c r="H1507" s="6">
        <v>6595400</v>
      </c>
      <c r="I1507" s="6">
        <v>1624045</v>
      </c>
      <c r="J1507" s="5" t="s">
        <v>183</v>
      </c>
      <c r="K1507" s="1"/>
      <c r="L1507" s="1" t="str">
        <f t="shared" si="96"/>
        <v xml:space="preserve">Fjäturen </v>
      </c>
      <c r="M1507" s="5" t="s">
        <v>217</v>
      </c>
      <c r="N1507" s="6">
        <v>5</v>
      </c>
      <c r="O1507" s="6">
        <v>5</v>
      </c>
      <c r="Q1507" s="6">
        <v>9.4</v>
      </c>
      <c r="R1507" s="6">
        <v>10</v>
      </c>
      <c r="S1507" s="6">
        <v>86</v>
      </c>
    </row>
    <row r="1508" spans="1:50" x14ac:dyDescent="0.3">
      <c r="A1508" s="6">
        <v>22100</v>
      </c>
      <c r="B1508" s="5" t="s">
        <v>215</v>
      </c>
      <c r="C1508" s="5" t="s">
        <v>216</v>
      </c>
      <c r="D1508" s="2">
        <f t="shared" si="94"/>
        <v>2013</v>
      </c>
      <c r="E1508" s="2">
        <f t="shared" si="95"/>
        <v>5</v>
      </c>
      <c r="F1508" s="3" t="s">
        <v>178</v>
      </c>
      <c r="G1508" s="7">
        <v>41401</v>
      </c>
      <c r="H1508" s="6">
        <v>6595400</v>
      </c>
      <c r="I1508" s="6">
        <v>1624045</v>
      </c>
      <c r="J1508" s="5" t="s">
        <v>183</v>
      </c>
      <c r="K1508" s="1"/>
      <c r="L1508" s="1" t="str">
        <f t="shared" si="96"/>
        <v xml:space="preserve">Fjäturen </v>
      </c>
      <c r="M1508" s="5" t="s">
        <v>218</v>
      </c>
      <c r="N1508" s="6">
        <v>6</v>
      </c>
      <c r="O1508" s="6">
        <v>6</v>
      </c>
      <c r="Q1508" s="6">
        <v>8.6</v>
      </c>
      <c r="R1508" s="6">
        <v>9</v>
      </c>
      <c r="S1508" s="6">
        <v>76</v>
      </c>
    </row>
    <row r="1509" spans="1:50" x14ac:dyDescent="0.3">
      <c r="A1509" s="6">
        <v>22101</v>
      </c>
      <c r="B1509" s="5" t="s">
        <v>215</v>
      </c>
      <c r="C1509" s="5" t="s">
        <v>216</v>
      </c>
      <c r="D1509" s="2">
        <f t="shared" si="94"/>
        <v>2013</v>
      </c>
      <c r="E1509" s="2">
        <f t="shared" si="95"/>
        <v>5</v>
      </c>
      <c r="F1509" s="3" t="s">
        <v>178</v>
      </c>
      <c r="G1509" s="7">
        <v>41401</v>
      </c>
      <c r="H1509" s="6">
        <v>6595400</v>
      </c>
      <c r="I1509" s="6">
        <v>1624045</v>
      </c>
      <c r="J1509" s="5" t="s">
        <v>183</v>
      </c>
      <c r="K1509" s="1"/>
      <c r="L1509" s="1" t="str">
        <f t="shared" si="96"/>
        <v xml:space="preserve">Fjäturen </v>
      </c>
      <c r="M1509" s="1" t="s">
        <v>184</v>
      </c>
      <c r="N1509" s="6">
        <v>7.2</v>
      </c>
      <c r="O1509" s="6">
        <v>7.2</v>
      </c>
      <c r="Q1509" s="6">
        <v>7.7</v>
      </c>
      <c r="R1509" s="6">
        <v>7</v>
      </c>
      <c r="S1509" s="6">
        <v>58</v>
      </c>
    </row>
    <row r="1510" spans="1:50" x14ac:dyDescent="0.3">
      <c r="A1510" s="6">
        <v>22102</v>
      </c>
      <c r="B1510" s="5" t="s">
        <v>215</v>
      </c>
      <c r="C1510" s="5" t="s">
        <v>216</v>
      </c>
      <c r="D1510" s="2">
        <f t="shared" si="94"/>
        <v>2013</v>
      </c>
      <c r="E1510" s="2">
        <f t="shared" si="95"/>
        <v>5</v>
      </c>
      <c r="F1510" s="3" t="s">
        <v>178</v>
      </c>
      <c r="G1510" s="7">
        <v>41401</v>
      </c>
      <c r="H1510" s="6">
        <v>6597555</v>
      </c>
      <c r="I1510" s="6">
        <v>1629125</v>
      </c>
      <c r="J1510" s="5" t="s">
        <v>185</v>
      </c>
      <c r="K1510" s="1"/>
      <c r="L1510" s="1" t="str">
        <f t="shared" si="96"/>
        <v xml:space="preserve">Gullsjön </v>
      </c>
      <c r="M1510" s="1" t="s">
        <v>177</v>
      </c>
      <c r="N1510" s="6">
        <v>0.5</v>
      </c>
      <c r="O1510" s="6">
        <v>0.5</v>
      </c>
      <c r="P1510" s="6">
        <v>1.5</v>
      </c>
      <c r="Q1510" s="6">
        <v>16.600000000000001</v>
      </c>
      <c r="R1510" s="6">
        <v>9.6</v>
      </c>
      <c r="S1510" s="6">
        <v>97</v>
      </c>
      <c r="V1510" s="6">
        <v>1.99414634146341</v>
      </c>
      <c r="W1510" s="6">
        <v>25.253</v>
      </c>
      <c r="X1510" s="1">
        <f>W1510 * (1/((10^((0.0901821 + (2729.92 /(273.15 + Q1510)))-AE1510)+1)))</f>
        <v>0.22728203102428338</v>
      </c>
      <c r="Y1510" s="6">
        <v>0.251</v>
      </c>
      <c r="Z1510" s="6">
        <v>1.83</v>
      </c>
      <c r="AA1510" s="6">
        <v>1.8</v>
      </c>
      <c r="AB1510" s="6">
        <v>12.787782</v>
      </c>
      <c r="AD1510" s="6">
        <v>79.408000000000001</v>
      </c>
      <c r="AE1510" s="6">
        <v>7.47</v>
      </c>
      <c r="AK1510" s="6">
        <v>31.04</v>
      </c>
      <c r="AL1510" s="6">
        <v>963.90899999999999</v>
      </c>
      <c r="AM1510" s="6"/>
      <c r="AN1510" s="6"/>
      <c r="AO1510" s="6"/>
      <c r="AP1510" s="6"/>
      <c r="AQ1510" s="6"/>
    </row>
    <row r="1511" spans="1:50" x14ac:dyDescent="0.3">
      <c r="A1511" s="6">
        <v>22103</v>
      </c>
      <c r="B1511" s="5" t="s">
        <v>215</v>
      </c>
      <c r="C1511" s="5" t="s">
        <v>216</v>
      </c>
      <c r="D1511" s="2">
        <f t="shared" si="94"/>
        <v>2013</v>
      </c>
      <c r="E1511" s="2">
        <f t="shared" si="95"/>
        <v>5</v>
      </c>
      <c r="F1511" s="3" t="s">
        <v>178</v>
      </c>
      <c r="G1511" s="7">
        <v>41401</v>
      </c>
      <c r="H1511" s="6">
        <v>6597555</v>
      </c>
      <c r="I1511" s="6">
        <v>1629125</v>
      </c>
      <c r="J1511" s="5" t="s">
        <v>185</v>
      </c>
      <c r="K1511" s="1"/>
      <c r="L1511" s="1" t="str">
        <f t="shared" si="96"/>
        <v xml:space="preserve">Gullsjön </v>
      </c>
      <c r="M1511" s="5" t="s">
        <v>211</v>
      </c>
      <c r="N1511" s="6">
        <v>1</v>
      </c>
      <c r="O1511" s="6">
        <v>1</v>
      </c>
      <c r="Q1511" s="6">
        <v>12</v>
      </c>
      <c r="R1511" s="6">
        <v>3.6</v>
      </c>
      <c r="S1511" s="6">
        <v>33</v>
      </c>
    </row>
    <row r="1512" spans="1:50" x14ac:dyDescent="0.3">
      <c r="A1512" s="6">
        <v>22104</v>
      </c>
      <c r="B1512" s="5" t="s">
        <v>215</v>
      </c>
      <c r="C1512" s="5" t="s">
        <v>216</v>
      </c>
      <c r="D1512" s="2">
        <f t="shared" si="94"/>
        <v>2013</v>
      </c>
      <c r="E1512" s="2">
        <f t="shared" si="95"/>
        <v>5</v>
      </c>
      <c r="F1512" s="3" t="s">
        <v>178</v>
      </c>
      <c r="G1512" s="7">
        <v>41401</v>
      </c>
      <c r="H1512" s="6">
        <v>6597555</v>
      </c>
      <c r="I1512" s="6">
        <v>1629125</v>
      </c>
      <c r="J1512" s="5" t="s">
        <v>185</v>
      </c>
      <c r="K1512" s="1"/>
      <c r="L1512" s="1" t="str">
        <f t="shared" si="96"/>
        <v xml:space="preserve">Gullsjön </v>
      </c>
      <c r="M1512" s="1" t="s">
        <v>184</v>
      </c>
      <c r="N1512" s="6">
        <v>2</v>
      </c>
      <c r="O1512" s="6">
        <v>2</v>
      </c>
      <c r="Q1512" s="6">
        <v>8</v>
      </c>
      <c r="R1512" s="6">
        <v>0.1</v>
      </c>
      <c r="S1512" s="6">
        <v>1</v>
      </c>
    </row>
    <row r="1513" spans="1:50" x14ac:dyDescent="0.3">
      <c r="A1513" s="6">
        <v>22285</v>
      </c>
      <c r="B1513" s="5" t="s">
        <v>215</v>
      </c>
      <c r="C1513" s="5" t="s">
        <v>216</v>
      </c>
      <c r="D1513" s="2">
        <f t="shared" si="94"/>
        <v>2013</v>
      </c>
      <c r="E1513" s="2">
        <f t="shared" si="95"/>
        <v>5</v>
      </c>
      <c r="F1513" s="3" t="s">
        <v>178</v>
      </c>
      <c r="G1513" s="7">
        <v>41408</v>
      </c>
      <c r="H1513" s="6">
        <v>6594430</v>
      </c>
      <c r="I1513" s="6">
        <v>1625370</v>
      </c>
      <c r="J1513" s="5" t="s">
        <v>201</v>
      </c>
      <c r="K1513" s="1"/>
      <c r="L1513" s="1" t="str">
        <f t="shared" si="96"/>
        <v xml:space="preserve">Mörtsjön </v>
      </c>
      <c r="M1513" s="1" t="s">
        <v>177</v>
      </c>
      <c r="N1513" s="6">
        <v>0.5</v>
      </c>
      <c r="O1513" s="6">
        <v>0.5</v>
      </c>
      <c r="P1513" s="6">
        <v>1.5</v>
      </c>
      <c r="Q1513" s="6">
        <v>16.100000000000001</v>
      </c>
      <c r="R1513" s="6">
        <v>12.5</v>
      </c>
      <c r="S1513" s="6">
        <v>128</v>
      </c>
      <c r="V1513" s="6">
        <v>2.0211071999999999</v>
      </c>
      <c r="W1513" s="6">
        <v>6.3529999999999998</v>
      </c>
      <c r="X1513" s="1">
        <f>W1513 * (1/((10^((0.0901821 + (2729.92 /(273.15 + Q1513)))-AE1513)+1)))</f>
        <v>0.42173492151152858</v>
      </c>
      <c r="Y1513" s="6">
        <v>0.26300000000000001</v>
      </c>
      <c r="Z1513" s="6">
        <v>2.2000000000000002</v>
      </c>
      <c r="AA1513" s="6">
        <v>1.95</v>
      </c>
      <c r="AB1513" s="6">
        <v>24.6901028571429</v>
      </c>
      <c r="AD1513" s="6">
        <v>312.91000000000003</v>
      </c>
      <c r="AE1513" s="6">
        <v>8.3800000000000008</v>
      </c>
      <c r="AK1513" s="6">
        <v>38.67</v>
      </c>
      <c r="AL1513" s="6">
        <v>1176.69</v>
      </c>
      <c r="AM1513" s="6"/>
      <c r="AN1513" s="6"/>
      <c r="AO1513" s="6"/>
      <c r="AP1513" s="6"/>
      <c r="AQ1513" s="6"/>
    </row>
    <row r="1514" spans="1:50" x14ac:dyDescent="0.3">
      <c r="A1514" s="6">
        <v>22286</v>
      </c>
      <c r="B1514" s="5" t="s">
        <v>215</v>
      </c>
      <c r="C1514" s="5" t="s">
        <v>216</v>
      </c>
      <c r="D1514" s="2">
        <f t="shared" si="94"/>
        <v>2013</v>
      </c>
      <c r="E1514" s="2">
        <f t="shared" si="95"/>
        <v>5</v>
      </c>
      <c r="F1514" s="3" t="s">
        <v>178</v>
      </c>
      <c r="G1514" s="7">
        <v>41408</v>
      </c>
      <c r="H1514" s="6">
        <v>6594430</v>
      </c>
      <c r="I1514" s="6">
        <v>1625370</v>
      </c>
      <c r="J1514" s="5" t="s">
        <v>201</v>
      </c>
      <c r="K1514" s="1"/>
      <c r="L1514" s="1" t="str">
        <f t="shared" si="96"/>
        <v xml:space="preserve">Mörtsjön </v>
      </c>
      <c r="M1514" s="5" t="s">
        <v>211</v>
      </c>
      <c r="N1514" s="6">
        <v>1</v>
      </c>
      <c r="O1514" s="6">
        <v>1</v>
      </c>
      <c r="Q1514" s="6">
        <v>16.100000000000001</v>
      </c>
      <c r="R1514" s="6">
        <v>12.1</v>
      </c>
      <c r="S1514" s="6">
        <v>124</v>
      </c>
    </row>
    <row r="1515" spans="1:50" x14ac:dyDescent="0.3">
      <c r="A1515" s="6">
        <v>22287</v>
      </c>
      <c r="B1515" s="5" t="s">
        <v>215</v>
      </c>
      <c r="C1515" s="5" t="s">
        <v>216</v>
      </c>
      <c r="D1515" s="2">
        <f t="shared" si="94"/>
        <v>2013</v>
      </c>
      <c r="E1515" s="2">
        <f t="shared" si="95"/>
        <v>5</v>
      </c>
      <c r="F1515" s="3" t="s">
        <v>178</v>
      </c>
      <c r="G1515" s="7">
        <v>41408</v>
      </c>
      <c r="H1515" s="6">
        <v>6594430</v>
      </c>
      <c r="I1515" s="6">
        <v>1625370</v>
      </c>
      <c r="J1515" s="5" t="s">
        <v>201</v>
      </c>
      <c r="K1515" s="1"/>
      <c r="L1515" s="1" t="str">
        <f t="shared" si="96"/>
        <v xml:space="preserve">Mörtsjön </v>
      </c>
      <c r="M1515" s="5" t="s">
        <v>212</v>
      </c>
      <c r="N1515" s="6">
        <v>2</v>
      </c>
      <c r="O1515" s="6">
        <v>2</v>
      </c>
      <c r="Q1515" s="6">
        <v>10.4</v>
      </c>
      <c r="R1515" s="6">
        <v>6.4</v>
      </c>
      <c r="S1515" s="6">
        <v>58</v>
      </c>
    </row>
    <row r="1516" spans="1:50" x14ac:dyDescent="0.3">
      <c r="A1516" s="6">
        <v>22288</v>
      </c>
      <c r="B1516" s="5" t="s">
        <v>215</v>
      </c>
      <c r="C1516" s="5" t="s">
        <v>216</v>
      </c>
      <c r="D1516" s="2">
        <f t="shared" si="94"/>
        <v>2013</v>
      </c>
      <c r="E1516" s="2">
        <f t="shared" si="95"/>
        <v>5</v>
      </c>
      <c r="F1516" s="3" t="s">
        <v>178</v>
      </c>
      <c r="G1516" s="7">
        <v>41408</v>
      </c>
      <c r="H1516" s="6">
        <v>6594430</v>
      </c>
      <c r="I1516" s="6">
        <v>1625370</v>
      </c>
      <c r="J1516" s="5" t="s">
        <v>201</v>
      </c>
      <c r="K1516" s="1"/>
      <c r="L1516" s="1" t="str">
        <f t="shared" si="96"/>
        <v xml:space="preserve">Mörtsjön </v>
      </c>
      <c r="M1516" s="5" t="s">
        <v>213</v>
      </c>
      <c r="N1516" s="6">
        <v>3</v>
      </c>
      <c r="O1516" s="6">
        <v>3</v>
      </c>
      <c r="Q1516" s="6">
        <v>7.4</v>
      </c>
      <c r="R1516" s="6">
        <v>2.6</v>
      </c>
      <c r="S1516" s="6">
        <v>22</v>
      </c>
    </row>
    <row r="1517" spans="1:50" x14ac:dyDescent="0.3">
      <c r="A1517" s="6">
        <v>22289</v>
      </c>
      <c r="B1517" s="5" t="s">
        <v>215</v>
      </c>
      <c r="C1517" s="5" t="s">
        <v>216</v>
      </c>
      <c r="D1517" s="2">
        <f t="shared" si="94"/>
        <v>2013</v>
      </c>
      <c r="E1517" s="2">
        <f t="shared" si="95"/>
        <v>5</v>
      </c>
      <c r="F1517" s="3" t="s">
        <v>178</v>
      </c>
      <c r="G1517" s="7">
        <v>41408</v>
      </c>
      <c r="H1517" s="6">
        <v>6594430</v>
      </c>
      <c r="I1517" s="6">
        <v>1625370</v>
      </c>
      <c r="J1517" s="5" t="s">
        <v>201</v>
      </c>
      <c r="K1517" s="1"/>
      <c r="L1517" s="1" t="str">
        <f t="shared" si="96"/>
        <v xml:space="preserve">Mörtsjön </v>
      </c>
      <c r="M1517" s="1" t="s">
        <v>184</v>
      </c>
      <c r="N1517" s="6">
        <v>4</v>
      </c>
      <c r="O1517" s="6">
        <v>4</v>
      </c>
      <c r="Q1517" s="6">
        <v>6.7</v>
      </c>
      <c r="R1517" s="6">
        <v>0.9</v>
      </c>
      <c r="S1517" s="6">
        <v>8</v>
      </c>
    </row>
    <row r="1518" spans="1:50" x14ac:dyDescent="0.3">
      <c r="A1518" s="6">
        <v>22290</v>
      </c>
      <c r="B1518" s="5" t="s">
        <v>215</v>
      </c>
      <c r="C1518" s="5" t="s">
        <v>216</v>
      </c>
      <c r="D1518" s="2">
        <f t="shared" si="94"/>
        <v>2013</v>
      </c>
      <c r="E1518" s="2">
        <f t="shared" si="95"/>
        <v>5</v>
      </c>
      <c r="F1518" s="3" t="s">
        <v>178</v>
      </c>
      <c r="G1518" s="7">
        <v>41408</v>
      </c>
      <c r="H1518" s="6">
        <v>6595470</v>
      </c>
      <c r="I1518" s="6">
        <v>1622370</v>
      </c>
      <c r="J1518" s="5" t="s">
        <v>190</v>
      </c>
      <c r="K1518" s="1"/>
      <c r="L1518" s="1" t="str">
        <f t="shared" si="96"/>
        <v xml:space="preserve">Snuggan </v>
      </c>
      <c r="M1518" s="1" t="s">
        <v>177</v>
      </c>
      <c r="N1518" s="6">
        <v>0.5</v>
      </c>
      <c r="O1518" s="6">
        <v>0.5</v>
      </c>
      <c r="P1518" s="6">
        <v>0.8</v>
      </c>
      <c r="Q1518" s="6">
        <v>15.9</v>
      </c>
      <c r="R1518" s="6">
        <v>8.5</v>
      </c>
      <c r="S1518" s="6">
        <v>87</v>
      </c>
      <c r="V1518" s="6">
        <v>2.747136E-2</v>
      </c>
      <c r="W1518" s="6">
        <v>243</v>
      </c>
      <c r="X1518" s="1">
        <f>W1518 * (1/((10^((0.0901821 + (2729.92 /(273.15 + Q1518)))-AE1518)+1)))</f>
        <v>2.5172317814614799E-2</v>
      </c>
      <c r="Y1518" s="6">
        <v>0.76700000000000002</v>
      </c>
      <c r="Z1518" s="6">
        <v>3.01</v>
      </c>
      <c r="AA1518" s="6">
        <v>1.75</v>
      </c>
      <c r="AB1518" s="6">
        <v>10.3329</v>
      </c>
      <c r="AD1518" s="6">
        <v>28.43</v>
      </c>
      <c r="AE1518" s="6">
        <v>5.55</v>
      </c>
      <c r="AI1518" s="6">
        <v>32.28</v>
      </c>
      <c r="AK1518" s="6">
        <v>23.32</v>
      </c>
      <c r="AL1518" s="6">
        <v>1222.8599999999999</v>
      </c>
      <c r="AM1518" s="6"/>
      <c r="AN1518" s="6"/>
      <c r="AO1518" s="6"/>
      <c r="AP1518" s="6"/>
      <c r="AQ1518" s="6"/>
      <c r="AR1518" s="6">
        <v>3.61</v>
      </c>
      <c r="AT1518" s="6">
        <v>0.53100000000000003</v>
      </c>
      <c r="AU1518" s="6">
        <v>0.76100000000000001</v>
      </c>
      <c r="AV1518" s="6">
        <v>6.67</v>
      </c>
      <c r="AW1518" s="6">
        <v>3.9</v>
      </c>
      <c r="AX1518" s="6">
        <v>2.5</v>
      </c>
    </row>
    <row r="1519" spans="1:50" x14ac:dyDescent="0.3">
      <c r="A1519" s="6">
        <v>22291</v>
      </c>
      <c r="B1519" s="5" t="s">
        <v>215</v>
      </c>
      <c r="C1519" s="5" t="s">
        <v>216</v>
      </c>
      <c r="D1519" s="2">
        <f t="shared" si="94"/>
        <v>2013</v>
      </c>
      <c r="E1519" s="2">
        <f t="shared" si="95"/>
        <v>5</v>
      </c>
      <c r="F1519" s="3" t="s">
        <v>178</v>
      </c>
      <c r="G1519" s="7">
        <v>41408</v>
      </c>
      <c r="H1519" s="6">
        <v>6595470</v>
      </c>
      <c r="I1519" s="6">
        <v>1622370</v>
      </c>
      <c r="J1519" s="5" t="s">
        <v>190</v>
      </c>
      <c r="K1519" s="1"/>
      <c r="L1519" s="1" t="str">
        <f t="shared" si="96"/>
        <v xml:space="preserve">Snuggan </v>
      </c>
      <c r="M1519" s="5" t="s">
        <v>211</v>
      </c>
      <c r="N1519" s="6">
        <v>1</v>
      </c>
      <c r="O1519" s="6">
        <v>1</v>
      </c>
      <c r="Q1519" s="6">
        <v>15.8</v>
      </c>
      <c r="R1519" s="6">
        <v>8.1999999999999993</v>
      </c>
      <c r="S1519" s="6">
        <v>83</v>
      </c>
    </row>
    <row r="1520" spans="1:50" x14ac:dyDescent="0.3">
      <c r="A1520" s="6">
        <v>22292</v>
      </c>
      <c r="B1520" s="5" t="s">
        <v>215</v>
      </c>
      <c r="C1520" s="5" t="s">
        <v>216</v>
      </c>
      <c r="D1520" s="2">
        <f t="shared" si="94"/>
        <v>2013</v>
      </c>
      <c r="E1520" s="2">
        <f t="shared" si="95"/>
        <v>5</v>
      </c>
      <c r="F1520" s="3" t="s">
        <v>178</v>
      </c>
      <c r="G1520" s="7">
        <v>41408</v>
      </c>
      <c r="H1520" s="6">
        <v>6595470</v>
      </c>
      <c r="I1520" s="6">
        <v>1622370</v>
      </c>
      <c r="J1520" s="5" t="s">
        <v>190</v>
      </c>
      <c r="K1520" s="1"/>
      <c r="L1520" s="1" t="str">
        <f t="shared" si="96"/>
        <v xml:space="preserve">Snuggan </v>
      </c>
      <c r="M1520" s="5" t="s">
        <v>212</v>
      </c>
      <c r="N1520" s="6">
        <v>2</v>
      </c>
      <c r="O1520" s="6">
        <v>2</v>
      </c>
      <c r="Q1520" s="6">
        <v>7.8</v>
      </c>
      <c r="R1520" s="6">
        <v>2.6</v>
      </c>
      <c r="S1520" s="6">
        <v>22</v>
      </c>
    </row>
    <row r="1521" spans="1:81" x14ac:dyDescent="0.3">
      <c r="A1521" s="6">
        <v>22293</v>
      </c>
      <c r="B1521" s="5" t="s">
        <v>215</v>
      </c>
      <c r="C1521" s="5" t="s">
        <v>216</v>
      </c>
      <c r="D1521" s="2">
        <f t="shared" si="94"/>
        <v>2013</v>
      </c>
      <c r="E1521" s="2">
        <f t="shared" si="95"/>
        <v>5</v>
      </c>
      <c r="F1521" s="3" t="s">
        <v>178</v>
      </c>
      <c r="G1521" s="7">
        <v>41408</v>
      </c>
      <c r="H1521" s="6">
        <v>6595470</v>
      </c>
      <c r="I1521" s="6">
        <v>1622370</v>
      </c>
      <c r="J1521" s="5" t="s">
        <v>190</v>
      </c>
      <c r="K1521" s="1"/>
      <c r="L1521" s="1" t="str">
        <f t="shared" si="96"/>
        <v xml:space="preserve">Snuggan </v>
      </c>
      <c r="M1521" s="1" t="s">
        <v>184</v>
      </c>
      <c r="N1521" s="6">
        <v>3</v>
      </c>
      <c r="O1521" s="6">
        <v>3</v>
      </c>
      <c r="Q1521" s="6">
        <v>6</v>
      </c>
      <c r="R1521" s="6">
        <v>0.4</v>
      </c>
      <c r="S1521" s="6">
        <v>3</v>
      </c>
    </row>
    <row r="1522" spans="1:81" x14ac:dyDescent="0.3">
      <c r="D1522" s="2">
        <f t="shared" si="94"/>
        <v>2013</v>
      </c>
      <c r="E1522" s="2">
        <f t="shared" si="95"/>
        <v>5</v>
      </c>
      <c r="F1522" s="3" t="s">
        <v>178</v>
      </c>
      <c r="G1522" s="4">
        <v>41408</v>
      </c>
      <c r="H1522" s="1">
        <v>6606238</v>
      </c>
      <c r="I1522" s="1">
        <v>661152</v>
      </c>
      <c r="J1522" s="5" t="s">
        <v>176</v>
      </c>
      <c r="K1522" s="1"/>
      <c r="L1522" s="1" t="str">
        <f t="shared" si="96"/>
        <v xml:space="preserve">Oxundaån </v>
      </c>
      <c r="M1522" s="1" t="s">
        <v>177</v>
      </c>
      <c r="N1522" s="1">
        <v>0.5</v>
      </c>
      <c r="O1522" s="1">
        <v>0.5</v>
      </c>
      <c r="Q1522" s="1">
        <v>15.1</v>
      </c>
      <c r="T1522" s="1">
        <v>39.700000000000003</v>
      </c>
      <c r="V1522" s="1">
        <v>2.29</v>
      </c>
      <c r="W1522" s="1">
        <v>63</v>
      </c>
      <c r="X1522" s="1">
        <f>W1522 * (1/((10^((0.0901821 + (2729.92 /(273.15 + Q1522)))-AE1522)+1)))</f>
        <v>2.0608503974226098</v>
      </c>
      <c r="Y1522" s="1">
        <v>7.0999999999999994E-2</v>
      </c>
      <c r="Z1522" s="1">
        <v>5</v>
      </c>
      <c r="AA1522" s="1">
        <v>4.9000000000000004</v>
      </c>
      <c r="AD1522" s="1">
        <v>182</v>
      </c>
      <c r="AE1522" s="1">
        <v>8.09</v>
      </c>
      <c r="AG1522" s="1">
        <v>5.9</v>
      </c>
      <c r="AI1522" s="1">
        <v>12.3</v>
      </c>
      <c r="AK1522" s="1">
        <v>34</v>
      </c>
      <c r="AL1522" s="1">
        <v>908</v>
      </c>
      <c r="AR1522" s="1">
        <v>45.8</v>
      </c>
      <c r="AT1522" s="1">
        <v>4.9266000000000005</v>
      </c>
      <c r="AU1522" s="1">
        <v>7.5261999999999993</v>
      </c>
      <c r="AV1522" s="1">
        <v>33.748400000000004</v>
      </c>
      <c r="AW1522" s="1">
        <v>22.917060000000003</v>
      </c>
      <c r="AX1522" s="1">
        <v>35.749199999999995</v>
      </c>
      <c r="AY1522" s="1">
        <v>2.57</v>
      </c>
      <c r="CC1522" s="1">
        <v>1.9E-2</v>
      </c>
    </row>
    <row r="1523" spans="1:81" x14ac:dyDescent="0.3">
      <c r="A1523" s="1">
        <v>22583</v>
      </c>
      <c r="B1523" s="1" t="s">
        <v>208</v>
      </c>
      <c r="C1523" s="1" t="s">
        <v>209</v>
      </c>
      <c r="D1523" s="2">
        <f t="shared" si="94"/>
        <v>2013</v>
      </c>
      <c r="E1523" s="2">
        <f t="shared" si="95"/>
        <v>5</v>
      </c>
      <c r="F1523" s="3" t="s">
        <v>178</v>
      </c>
      <c r="G1523" s="4">
        <v>41422</v>
      </c>
      <c r="H1523" s="1">
        <v>6600935</v>
      </c>
      <c r="I1523" s="1">
        <v>1626764</v>
      </c>
      <c r="J1523" s="1" t="s">
        <v>191</v>
      </c>
      <c r="K1523" s="1" t="s">
        <v>210</v>
      </c>
      <c r="L1523" s="1" t="str">
        <f t="shared" si="96"/>
        <v>Vallentunasjön Va2</v>
      </c>
      <c r="M1523" s="1" t="s">
        <v>177</v>
      </c>
      <c r="N1523" s="1">
        <v>0.5</v>
      </c>
      <c r="O1523" s="1">
        <v>0.5</v>
      </c>
      <c r="P1523" s="1">
        <v>0.9</v>
      </c>
      <c r="Q1523" s="1">
        <v>19</v>
      </c>
      <c r="R1523" s="1">
        <v>10</v>
      </c>
      <c r="S1523" s="1">
        <v>104</v>
      </c>
    </row>
    <row r="1524" spans="1:81" x14ac:dyDescent="0.3">
      <c r="A1524" s="1">
        <v>22584</v>
      </c>
      <c r="B1524" s="1" t="s">
        <v>208</v>
      </c>
      <c r="C1524" s="1" t="s">
        <v>209</v>
      </c>
      <c r="D1524" s="2">
        <f t="shared" si="94"/>
        <v>2013</v>
      </c>
      <c r="E1524" s="2">
        <f t="shared" si="95"/>
        <v>5</v>
      </c>
      <c r="F1524" s="3" t="s">
        <v>178</v>
      </c>
      <c r="G1524" s="4">
        <v>41422</v>
      </c>
      <c r="H1524" s="1">
        <v>6600935</v>
      </c>
      <c r="I1524" s="1">
        <v>1626764</v>
      </c>
      <c r="J1524" s="1" t="s">
        <v>191</v>
      </c>
      <c r="K1524" s="1" t="s">
        <v>210</v>
      </c>
      <c r="L1524" s="1" t="str">
        <f t="shared" si="96"/>
        <v>Vallentunasjön Va2</v>
      </c>
      <c r="M1524" s="1" t="s">
        <v>211</v>
      </c>
      <c r="N1524" s="1">
        <v>1</v>
      </c>
      <c r="O1524" s="1">
        <v>1</v>
      </c>
      <c r="Q1524" s="1">
        <v>18.8</v>
      </c>
      <c r="R1524" s="1">
        <v>9.6</v>
      </c>
      <c r="S1524" s="1">
        <v>98</v>
      </c>
    </row>
    <row r="1525" spans="1:81" x14ac:dyDescent="0.3">
      <c r="A1525" s="1">
        <v>22585</v>
      </c>
      <c r="B1525" s="1" t="s">
        <v>208</v>
      </c>
      <c r="C1525" s="1" t="s">
        <v>209</v>
      </c>
      <c r="D1525" s="2">
        <f t="shared" si="94"/>
        <v>2013</v>
      </c>
      <c r="E1525" s="2">
        <f t="shared" si="95"/>
        <v>5</v>
      </c>
      <c r="F1525" s="3" t="s">
        <v>178</v>
      </c>
      <c r="G1525" s="4">
        <v>41422</v>
      </c>
      <c r="H1525" s="1">
        <v>6600935</v>
      </c>
      <c r="I1525" s="1">
        <v>1626764</v>
      </c>
      <c r="J1525" s="1" t="s">
        <v>191</v>
      </c>
      <c r="K1525" s="1" t="s">
        <v>210</v>
      </c>
      <c r="L1525" s="1" t="str">
        <f t="shared" si="96"/>
        <v>Vallentunasjön Va2</v>
      </c>
      <c r="M1525" s="1" t="s">
        <v>212</v>
      </c>
      <c r="N1525" s="1">
        <v>2</v>
      </c>
      <c r="O1525" s="1">
        <v>2</v>
      </c>
      <c r="Q1525" s="1">
        <v>18.5</v>
      </c>
      <c r="R1525" s="1">
        <v>9.8000000000000007</v>
      </c>
      <c r="S1525" s="1">
        <v>99</v>
      </c>
    </row>
    <row r="1526" spans="1:81" x14ac:dyDescent="0.3">
      <c r="A1526" s="1">
        <v>22586</v>
      </c>
      <c r="B1526" s="1" t="s">
        <v>208</v>
      </c>
      <c r="C1526" s="1" t="s">
        <v>209</v>
      </c>
      <c r="D1526" s="2">
        <f t="shared" si="94"/>
        <v>2013</v>
      </c>
      <c r="E1526" s="2">
        <f t="shared" si="95"/>
        <v>5</v>
      </c>
      <c r="F1526" s="3" t="s">
        <v>178</v>
      </c>
      <c r="G1526" s="4">
        <v>41422</v>
      </c>
      <c r="H1526" s="1">
        <v>6600935</v>
      </c>
      <c r="I1526" s="1">
        <v>1626764</v>
      </c>
      <c r="J1526" s="1" t="s">
        <v>191</v>
      </c>
      <c r="K1526" s="1" t="s">
        <v>210</v>
      </c>
      <c r="L1526" s="1" t="str">
        <f t="shared" si="96"/>
        <v>Vallentunasjön Va2</v>
      </c>
      <c r="M1526" s="1" t="s">
        <v>213</v>
      </c>
      <c r="N1526" s="1">
        <v>3</v>
      </c>
      <c r="O1526" s="1">
        <v>3</v>
      </c>
      <c r="Q1526" s="1">
        <v>18.399999999999999</v>
      </c>
      <c r="R1526" s="1">
        <v>9.6999999999999993</v>
      </c>
      <c r="S1526" s="1">
        <v>96</v>
      </c>
    </row>
    <row r="1527" spans="1:81" x14ac:dyDescent="0.3">
      <c r="A1527" s="1">
        <v>22587</v>
      </c>
      <c r="B1527" s="1" t="s">
        <v>208</v>
      </c>
      <c r="C1527" s="1" t="s">
        <v>209</v>
      </c>
      <c r="D1527" s="2">
        <f t="shared" si="94"/>
        <v>2013</v>
      </c>
      <c r="E1527" s="2">
        <f t="shared" si="95"/>
        <v>5</v>
      </c>
      <c r="F1527" s="3" t="s">
        <v>178</v>
      </c>
      <c r="G1527" s="4">
        <v>41422</v>
      </c>
      <c r="H1527" s="1">
        <v>6600935</v>
      </c>
      <c r="I1527" s="1">
        <v>1626764</v>
      </c>
      <c r="J1527" s="1" t="s">
        <v>191</v>
      </c>
      <c r="K1527" s="1" t="s">
        <v>210</v>
      </c>
      <c r="L1527" s="1" t="str">
        <f t="shared" si="96"/>
        <v>Vallentunasjön Va2</v>
      </c>
      <c r="M1527" s="1" t="s">
        <v>214</v>
      </c>
      <c r="N1527" s="1">
        <v>4</v>
      </c>
      <c r="O1527" s="1">
        <v>4</v>
      </c>
      <c r="Q1527" s="1">
        <v>17.899999999999999</v>
      </c>
      <c r="R1527" s="1">
        <v>9.6999999999999993</v>
      </c>
      <c r="S1527" s="1">
        <v>96</v>
      </c>
    </row>
    <row r="1528" spans="1:81" x14ac:dyDescent="0.3">
      <c r="A1528" s="1">
        <v>22588</v>
      </c>
      <c r="B1528" s="1" t="s">
        <v>208</v>
      </c>
      <c r="C1528" s="1" t="s">
        <v>209</v>
      </c>
      <c r="D1528" s="2">
        <f t="shared" si="94"/>
        <v>2013</v>
      </c>
      <c r="E1528" s="2">
        <f t="shared" si="95"/>
        <v>5</v>
      </c>
      <c r="F1528" s="3" t="s">
        <v>178</v>
      </c>
      <c r="G1528" s="4">
        <v>41422</v>
      </c>
      <c r="H1528" s="1">
        <v>6600935</v>
      </c>
      <c r="I1528" s="1">
        <v>1626764</v>
      </c>
      <c r="J1528" s="1" t="s">
        <v>191</v>
      </c>
      <c r="K1528" s="1" t="s">
        <v>210</v>
      </c>
      <c r="L1528" s="1" t="str">
        <f t="shared" si="96"/>
        <v>Vallentunasjön Va2</v>
      </c>
      <c r="M1528" s="1" t="s">
        <v>184</v>
      </c>
      <c r="N1528" s="1">
        <v>4.5</v>
      </c>
      <c r="O1528" s="1">
        <v>4.5</v>
      </c>
      <c r="Q1528" s="1">
        <v>17.899999999999999</v>
      </c>
      <c r="R1528" s="1">
        <v>9.5</v>
      </c>
      <c r="S1528" s="1">
        <v>96</v>
      </c>
    </row>
    <row r="1529" spans="1:81" x14ac:dyDescent="0.3">
      <c r="A1529" s="1">
        <v>22589</v>
      </c>
      <c r="B1529" s="1" t="s">
        <v>208</v>
      </c>
      <c r="C1529" s="1" t="s">
        <v>209</v>
      </c>
      <c r="D1529" s="2">
        <f t="shared" si="94"/>
        <v>2013</v>
      </c>
      <c r="E1529" s="2">
        <f t="shared" si="95"/>
        <v>5</v>
      </c>
      <c r="F1529" s="3" t="s">
        <v>178</v>
      </c>
      <c r="G1529" s="4">
        <v>41422</v>
      </c>
      <c r="J1529" s="1" t="s">
        <v>191</v>
      </c>
      <c r="K1529" s="1" t="s">
        <v>206</v>
      </c>
      <c r="L1529" s="1" t="str">
        <f t="shared" si="96"/>
        <v>Vallentunasjön Blandprov</v>
      </c>
      <c r="M1529" s="1" t="s">
        <v>177</v>
      </c>
      <c r="W1529" s="1">
        <v>3.46</v>
      </c>
      <c r="Z1529" s="1">
        <v>2.2999999999999998</v>
      </c>
      <c r="AB1529" s="1">
        <v>13.57751</v>
      </c>
      <c r="AD1529" s="6">
        <v>0</v>
      </c>
      <c r="AG1529" s="1">
        <v>15.000000000000099</v>
      </c>
      <c r="AK1529" s="1">
        <v>67.2</v>
      </c>
      <c r="AL1529" s="1">
        <v>1080.9649999999999</v>
      </c>
    </row>
    <row r="1530" spans="1:81" x14ac:dyDescent="0.3">
      <c r="A1530" s="1">
        <v>22665</v>
      </c>
      <c r="B1530" s="1" t="s">
        <v>208</v>
      </c>
      <c r="C1530" s="1" t="s">
        <v>209</v>
      </c>
      <c r="D1530" s="2">
        <f t="shared" si="94"/>
        <v>2013</v>
      </c>
      <c r="E1530" s="2">
        <f t="shared" si="95"/>
        <v>6</v>
      </c>
      <c r="F1530" s="2"/>
      <c r="G1530" s="4">
        <v>41437</v>
      </c>
      <c r="H1530" s="1">
        <v>6600935</v>
      </c>
      <c r="I1530" s="1">
        <v>1626764</v>
      </c>
      <c r="J1530" s="1" t="s">
        <v>191</v>
      </c>
      <c r="K1530" s="1" t="s">
        <v>210</v>
      </c>
      <c r="L1530" s="1" t="str">
        <f t="shared" si="96"/>
        <v>Vallentunasjön Va2</v>
      </c>
      <c r="M1530" s="1" t="s">
        <v>177</v>
      </c>
      <c r="N1530" s="1">
        <v>0.5</v>
      </c>
      <c r="O1530" s="1">
        <v>0.5</v>
      </c>
      <c r="P1530" s="1">
        <v>0.8</v>
      </c>
      <c r="Q1530" s="1">
        <v>19.8</v>
      </c>
      <c r="R1530" s="1">
        <v>9.8000000000000007</v>
      </c>
      <c r="S1530" s="1">
        <v>106</v>
      </c>
    </row>
    <row r="1531" spans="1:81" x14ac:dyDescent="0.3">
      <c r="A1531" s="1">
        <v>22666</v>
      </c>
      <c r="B1531" s="1" t="s">
        <v>208</v>
      </c>
      <c r="C1531" s="1" t="s">
        <v>209</v>
      </c>
      <c r="D1531" s="2">
        <f t="shared" si="94"/>
        <v>2013</v>
      </c>
      <c r="E1531" s="2">
        <f t="shared" si="95"/>
        <v>6</v>
      </c>
      <c r="F1531" s="2"/>
      <c r="G1531" s="4">
        <v>41437</v>
      </c>
      <c r="H1531" s="1">
        <v>6600935</v>
      </c>
      <c r="I1531" s="1">
        <v>1626764</v>
      </c>
      <c r="J1531" s="1" t="s">
        <v>191</v>
      </c>
      <c r="K1531" s="1" t="s">
        <v>210</v>
      </c>
      <c r="L1531" s="1" t="str">
        <f t="shared" si="96"/>
        <v>Vallentunasjön Va2</v>
      </c>
      <c r="M1531" s="1" t="s">
        <v>211</v>
      </c>
      <c r="N1531" s="1">
        <v>1</v>
      </c>
      <c r="O1531" s="1">
        <v>1</v>
      </c>
      <c r="Q1531" s="1">
        <v>19.8</v>
      </c>
      <c r="R1531" s="1">
        <v>9.6999999999999993</v>
      </c>
      <c r="S1531" s="1">
        <v>106</v>
      </c>
    </row>
    <row r="1532" spans="1:81" x14ac:dyDescent="0.3">
      <c r="A1532" s="1">
        <v>22667</v>
      </c>
      <c r="B1532" s="1" t="s">
        <v>208</v>
      </c>
      <c r="C1532" s="1" t="s">
        <v>209</v>
      </c>
      <c r="D1532" s="2">
        <f t="shared" si="94"/>
        <v>2013</v>
      </c>
      <c r="E1532" s="2">
        <f t="shared" si="95"/>
        <v>6</v>
      </c>
      <c r="F1532" s="2"/>
      <c r="G1532" s="4">
        <v>41437</v>
      </c>
      <c r="H1532" s="1">
        <v>6600935</v>
      </c>
      <c r="I1532" s="1">
        <v>1626764</v>
      </c>
      <c r="J1532" s="1" t="s">
        <v>191</v>
      </c>
      <c r="K1532" s="1" t="s">
        <v>210</v>
      </c>
      <c r="L1532" s="1" t="str">
        <f t="shared" si="96"/>
        <v>Vallentunasjön Va2</v>
      </c>
      <c r="M1532" s="1" t="s">
        <v>212</v>
      </c>
      <c r="N1532" s="1">
        <v>2</v>
      </c>
      <c r="O1532" s="1">
        <v>2</v>
      </c>
      <c r="Q1532" s="1">
        <v>19.7</v>
      </c>
      <c r="R1532" s="1">
        <v>9.6999999999999993</v>
      </c>
      <c r="S1532" s="1">
        <v>105</v>
      </c>
    </row>
    <row r="1533" spans="1:81" x14ac:dyDescent="0.3">
      <c r="A1533" s="1">
        <v>22668</v>
      </c>
      <c r="B1533" s="1" t="s">
        <v>208</v>
      </c>
      <c r="C1533" s="1" t="s">
        <v>209</v>
      </c>
      <c r="D1533" s="2">
        <f t="shared" si="94"/>
        <v>2013</v>
      </c>
      <c r="E1533" s="2">
        <f t="shared" si="95"/>
        <v>6</v>
      </c>
      <c r="F1533" s="2"/>
      <c r="G1533" s="4">
        <v>41437</v>
      </c>
      <c r="H1533" s="1">
        <v>6600935</v>
      </c>
      <c r="I1533" s="1">
        <v>1626764</v>
      </c>
      <c r="J1533" s="1" t="s">
        <v>191</v>
      </c>
      <c r="K1533" s="1" t="s">
        <v>210</v>
      </c>
      <c r="L1533" s="1" t="str">
        <f t="shared" si="96"/>
        <v>Vallentunasjön Va2</v>
      </c>
      <c r="M1533" s="1" t="s">
        <v>213</v>
      </c>
      <c r="N1533" s="1">
        <v>3</v>
      </c>
      <c r="O1533" s="1">
        <v>3</v>
      </c>
      <c r="Q1533" s="1">
        <v>19.600000000000001</v>
      </c>
      <c r="R1533" s="1">
        <v>9.5</v>
      </c>
      <c r="S1533" s="1">
        <v>103</v>
      </c>
    </row>
    <row r="1534" spans="1:81" x14ac:dyDescent="0.3">
      <c r="A1534" s="1">
        <v>22669</v>
      </c>
      <c r="B1534" s="1" t="s">
        <v>208</v>
      </c>
      <c r="C1534" s="1" t="s">
        <v>209</v>
      </c>
      <c r="D1534" s="2">
        <f t="shared" si="94"/>
        <v>2013</v>
      </c>
      <c r="E1534" s="2">
        <f t="shared" si="95"/>
        <v>6</v>
      </c>
      <c r="F1534" s="2"/>
      <c r="G1534" s="4">
        <v>41437</v>
      </c>
      <c r="H1534" s="1">
        <v>6600935</v>
      </c>
      <c r="I1534" s="1">
        <v>1626764</v>
      </c>
      <c r="J1534" s="1" t="s">
        <v>191</v>
      </c>
      <c r="K1534" s="1" t="s">
        <v>210</v>
      </c>
      <c r="L1534" s="1" t="str">
        <f t="shared" si="96"/>
        <v>Vallentunasjön Va2</v>
      </c>
      <c r="M1534" s="1" t="s">
        <v>184</v>
      </c>
      <c r="N1534" s="1">
        <v>4</v>
      </c>
      <c r="O1534" s="1">
        <v>4</v>
      </c>
      <c r="Q1534" s="1">
        <v>19.3</v>
      </c>
      <c r="R1534" s="1">
        <v>8.5</v>
      </c>
      <c r="S1534" s="1">
        <v>92</v>
      </c>
    </row>
    <row r="1535" spans="1:81" x14ac:dyDescent="0.3">
      <c r="A1535" s="1">
        <v>22670</v>
      </c>
      <c r="B1535" s="1" t="s">
        <v>208</v>
      </c>
      <c r="C1535" s="1" t="s">
        <v>209</v>
      </c>
      <c r="D1535" s="2">
        <f t="shared" si="94"/>
        <v>2013</v>
      </c>
      <c r="E1535" s="2">
        <f t="shared" si="95"/>
        <v>6</v>
      </c>
      <c r="F1535" s="2"/>
      <c r="G1535" s="4">
        <v>41437</v>
      </c>
      <c r="J1535" s="1" t="s">
        <v>191</v>
      </c>
      <c r="K1535" s="1" t="s">
        <v>206</v>
      </c>
      <c r="L1535" s="1" t="str">
        <f t="shared" si="96"/>
        <v>Vallentunasjön Blandprov</v>
      </c>
      <c r="M1535" s="1" t="s">
        <v>177</v>
      </c>
      <c r="W1535" s="1">
        <v>4.9420000000000002</v>
      </c>
      <c r="Z1535" s="1">
        <v>3.39</v>
      </c>
      <c r="AB1535" s="1">
        <v>22.5684066666667</v>
      </c>
      <c r="AD1535" s="6">
        <v>0</v>
      </c>
      <c r="AG1535" s="1">
        <v>18.8</v>
      </c>
      <c r="AK1535" s="1">
        <v>67.69</v>
      </c>
      <c r="AL1535" s="1">
        <v>1156.7860000000001</v>
      </c>
    </row>
    <row r="1536" spans="1:81" x14ac:dyDescent="0.3">
      <c r="D1536" s="2">
        <f t="shared" si="94"/>
        <v>2013</v>
      </c>
      <c r="E1536" s="2">
        <f t="shared" si="95"/>
        <v>6</v>
      </c>
      <c r="F1536" s="3"/>
      <c r="G1536" s="4">
        <v>41437</v>
      </c>
      <c r="H1536" s="1">
        <v>6606238</v>
      </c>
      <c r="I1536" s="1">
        <v>661152</v>
      </c>
      <c r="J1536" s="5" t="s">
        <v>176</v>
      </c>
      <c r="K1536" s="1"/>
      <c r="L1536" s="1" t="str">
        <f t="shared" si="96"/>
        <v xml:space="preserve">Oxundaån </v>
      </c>
      <c r="M1536" s="1" t="s">
        <v>177</v>
      </c>
      <c r="N1536" s="1">
        <v>0.5</v>
      </c>
      <c r="O1536" s="1">
        <v>0.5</v>
      </c>
      <c r="Q1536" s="1">
        <v>19.399999999999999</v>
      </c>
      <c r="T1536" s="1">
        <v>42.4</v>
      </c>
      <c r="V1536" s="1">
        <v>2.3919999999999999</v>
      </c>
      <c r="W1536" s="1">
        <v>1.5</v>
      </c>
      <c r="X1536" s="1">
        <f>W1536 * (1/((10^((0.0901821 + (2729.92 /(273.15 + Q1536)))-AE1536)+1)))</f>
        <v>2.5526436040314751E-2</v>
      </c>
      <c r="Y1536" s="1">
        <v>5.6000000000000001E-2</v>
      </c>
      <c r="Z1536" s="1">
        <v>14</v>
      </c>
      <c r="AA1536" s="1">
        <v>2.2000000000000002</v>
      </c>
      <c r="AD1536" s="1">
        <v>95</v>
      </c>
      <c r="AE1536" s="1">
        <v>7.66</v>
      </c>
      <c r="AG1536" s="1">
        <v>1.8</v>
      </c>
      <c r="AI1536" s="1">
        <v>10.8</v>
      </c>
      <c r="AK1536" s="1">
        <v>33</v>
      </c>
      <c r="AL1536" s="1">
        <v>712</v>
      </c>
      <c r="AR1536" s="1">
        <v>47.400000000000006</v>
      </c>
      <c r="AT1536" s="1">
        <v>4.8875000000000002</v>
      </c>
      <c r="AU1536" s="1">
        <v>7.7318999999999996</v>
      </c>
      <c r="AV1536" s="1">
        <v>35.48545</v>
      </c>
      <c r="AW1536" s="1">
        <v>23.628200000000003</v>
      </c>
      <c r="AX1536" s="1">
        <v>35.893349999999998</v>
      </c>
      <c r="AY1536" s="1">
        <v>1.99</v>
      </c>
      <c r="CC1536" s="1">
        <v>5.0000000000000001E-3</v>
      </c>
    </row>
    <row r="1537" spans="1:38" x14ac:dyDescent="0.3">
      <c r="A1537" s="1">
        <v>22851</v>
      </c>
      <c r="B1537" s="1" t="s">
        <v>208</v>
      </c>
      <c r="C1537" s="1" t="s">
        <v>209</v>
      </c>
      <c r="D1537" s="2">
        <f t="shared" si="94"/>
        <v>2013</v>
      </c>
      <c r="E1537" s="2">
        <f t="shared" si="95"/>
        <v>6</v>
      </c>
      <c r="F1537" s="2"/>
      <c r="G1537" s="4">
        <v>41444</v>
      </c>
      <c r="H1537" s="1">
        <v>6600935</v>
      </c>
      <c r="I1537" s="1">
        <v>1626764</v>
      </c>
      <c r="J1537" s="1" t="s">
        <v>191</v>
      </c>
      <c r="K1537" s="1" t="s">
        <v>210</v>
      </c>
      <c r="L1537" s="1" t="str">
        <f t="shared" si="96"/>
        <v>Vallentunasjön Va2</v>
      </c>
      <c r="M1537" s="1" t="s">
        <v>177</v>
      </c>
      <c r="N1537" s="1">
        <v>0.5</v>
      </c>
      <c r="O1537" s="1">
        <v>0.5</v>
      </c>
      <c r="P1537" s="1">
        <v>0.8</v>
      </c>
      <c r="Q1537" s="1">
        <v>17.3</v>
      </c>
      <c r="R1537" s="1">
        <v>10.199999999999999</v>
      </c>
      <c r="S1537" s="1">
        <v>108</v>
      </c>
    </row>
    <row r="1538" spans="1:38" x14ac:dyDescent="0.3">
      <c r="A1538" s="1">
        <v>22852</v>
      </c>
      <c r="B1538" s="1" t="s">
        <v>208</v>
      </c>
      <c r="C1538" s="1" t="s">
        <v>209</v>
      </c>
      <c r="D1538" s="2">
        <f t="shared" ref="D1538:D1601" si="97">YEAR(G1538)</f>
        <v>2013</v>
      </c>
      <c r="E1538" s="2">
        <f t="shared" ref="E1538:E1601" si="98">MONTH(G1538)</f>
        <v>6</v>
      </c>
      <c r="F1538" s="2"/>
      <c r="G1538" s="4">
        <v>41444</v>
      </c>
      <c r="H1538" s="1">
        <v>6600935</v>
      </c>
      <c r="I1538" s="1">
        <v>1626764</v>
      </c>
      <c r="J1538" s="1" t="s">
        <v>191</v>
      </c>
      <c r="K1538" s="1" t="s">
        <v>210</v>
      </c>
      <c r="L1538" s="1" t="str">
        <f t="shared" ref="L1538:L1601" si="99">CONCATENATE(J1538," ",K1538)</f>
        <v>Vallentunasjön Va2</v>
      </c>
      <c r="M1538" s="1" t="s">
        <v>211</v>
      </c>
      <c r="N1538" s="1">
        <v>1</v>
      </c>
      <c r="O1538" s="1">
        <v>1</v>
      </c>
      <c r="Q1538" s="1">
        <v>17.5</v>
      </c>
      <c r="R1538" s="1">
        <v>9.8000000000000007</v>
      </c>
      <c r="S1538" s="1">
        <v>105</v>
      </c>
    </row>
    <row r="1539" spans="1:38" x14ac:dyDescent="0.3">
      <c r="A1539" s="1">
        <v>22853</v>
      </c>
      <c r="B1539" s="1" t="s">
        <v>208</v>
      </c>
      <c r="C1539" s="1" t="s">
        <v>209</v>
      </c>
      <c r="D1539" s="2">
        <f t="shared" si="97"/>
        <v>2013</v>
      </c>
      <c r="E1539" s="2">
        <f t="shared" si="98"/>
        <v>6</v>
      </c>
      <c r="F1539" s="2"/>
      <c r="G1539" s="4">
        <v>41444</v>
      </c>
      <c r="H1539" s="1">
        <v>6600935</v>
      </c>
      <c r="I1539" s="1">
        <v>1626764</v>
      </c>
      <c r="J1539" s="1" t="s">
        <v>191</v>
      </c>
      <c r="K1539" s="1" t="s">
        <v>210</v>
      </c>
      <c r="L1539" s="1" t="str">
        <f t="shared" si="99"/>
        <v>Vallentunasjön Va2</v>
      </c>
      <c r="M1539" s="1" t="s">
        <v>212</v>
      </c>
      <c r="N1539" s="1">
        <v>2</v>
      </c>
      <c r="O1539" s="1">
        <v>2</v>
      </c>
      <c r="Q1539" s="1">
        <v>17.600000000000001</v>
      </c>
      <c r="R1539" s="1">
        <v>9.6999999999999993</v>
      </c>
      <c r="S1539" s="1">
        <v>103</v>
      </c>
    </row>
    <row r="1540" spans="1:38" x14ac:dyDescent="0.3">
      <c r="A1540" s="1">
        <v>22854</v>
      </c>
      <c r="B1540" s="1" t="s">
        <v>208</v>
      </c>
      <c r="C1540" s="1" t="s">
        <v>209</v>
      </c>
      <c r="D1540" s="2">
        <f t="shared" si="97"/>
        <v>2013</v>
      </c>
      <c r="E1540" s="2">
        <f t="shared" si="98"/>
        <v>6</v>
      </c>
      <c r="F1540" s="2"/>
      <c r="G1540" s="4">
        <v>41444</v>
      </c>
      <c r="H1540" s="1">
        <v>6600935</v>
      </c>
      <c r="I1540" s="1">
        <v>1626764</v>
      </c>
      <c r="J1540" s="1" t="s">
        <v>191</v>
      </c>
      <c r="K1540" s="1" t="s">
        <v>210</v>
      </c>
      <c r="L1540" s="1" t="str">
        <f t="shared" si="99"/>
        <v>Vallentunasjön Va2</v>
      </c>
      <c r="M1540" s="1" t="s">
        <v>213</v>
      </c>
      <c r="N1540" s="1">
        <v>3</v>
      </c>
      <c r="O1540" s="1">
        <v>3</v>
      </c>
      <c r="Q1540" s="1">
        <v>17.7</v>
      </c>
      <c r="R1540" s="1">
        <v>9.6</v>
      </c>
      <c r="S1540" s="1">
        <v>103</v>
      </c>
    </row>
    <row r="1541" spans="1:38" x14ac:dyDescent="0.3">
      <c r="A1541" s="1">
        <v>22855</v>
      </c>
      <c r="B1541" s="1" t="s">
        <v>208</v>
      </c>
      <c r="C1541" s="1" t="s">
        <v>209</v>
      </c>
      <c r="D1541" s="2">
        <f t="shared" si="97"/>
        <v>2013</v>
      </c>
      <c r="E1541" s="2">
        <f t="shared" si="98"/>
        <v>6</v>
      </c>
      <c r="F1541" s="2"/>
      <c r="G1541" s="4">
        <v>41444</v>
      </c>
      <c r="H1541" s="1">
        <v>6600935</v>
      </c>
      <c r="I1541" s="1">
        <v>1626764</v>
      </c>
      <c r="J1541" s="1" t="s">
        <v>191</v>
      </c>
      <c r="K1541" s="1" t="s">
        <v>210</v>
      </c>
      <c r="L1541" s="1" t="str">
        <f t="shared" si="99"/>
        <v>Vallentunasjön Va2</v>
      </c>
      <c r="M1541" s="1" t="s">
        <v>214</v>
      </c>
      <c r="N1541" s="1">
        <v>4</v>
      </c>
      <c r="O1541" s="1">
        <v>4</v>
      </c>
      <c r="Q1541" s="1">
        <v>17.899999999999999</v>
      </c>
      <c r="R1541" s="1">
        <v>8.9</v>
      </c>
      <c r="S1541" s="1">
        <v>95</v>
      </c>
    </row>
    <row r="1542" spans="1:38" x14ac:dyDescent="0.3">
      <c r="A1542" s="1">
        <v>22856</v>
      </c>
      <c r="B1542" s="1" t="s">
        <v>208</v>
      </c>
      <c r="C1542" s="1" t="s">
        <v>209</v>
      </c>
      <c r="D1542" s="2">
        <f t="shared" si="97"/>
        <v>2013</v>
      </c>
      <c r="E1542" s="2">
        <f t="shared" si="98"/>
        <v>6</v>
      </c>
      <c r="F1542" s="2"/>
      <c r="G1542" s="4">
        <v>41444</v>
      </c>
      <c r="H1542" s="1">
        <v>6600935</v>
      </c>
      <c r="I1542" s="1">
        <v>1626764</v>
      </c>
      <c r="J1542" s="1" t="s">
        <v>191</v>
      </c>
      <c r="K1542" s="1" t="s">
        <v>210</v>
      </c>
      <c r="L1542" s="1" t="str">
        <f t="shared" si="99"/>
        <v>Vallentunasjön Va2</v>
      </c>
      <c r="M1542" s="1" t="s">
        <v>184</v>
      </c>
      <c r="N1542" s="1">
        <v>4.5</v>
      </c>
      <c r="O1542" s="1">
        <v>4.5</v>
      </c>
      <c r="Q1542" s="1">
        <v>18</v>
      </c>
      <c r="R1542" s="1">
        <v>6.5</v>
      </c>
      <c r="S1542" s="1">
        <v>73</v>
      </c>
    </row>
    <row r="1543" spans="1:38" x14ac:dyDescent="0.3">
      <c r="A1543" s="1">
        <v>22857</v>
      </c>
      <c r="B1543" s="1" t="s">
        <v>208</v>
      </c>
      <c r="C1543" s="1" t="s">
        <v>209</v>
      </c>
      <c r="D1543" s="2">
        <f t="shared" si="97"/>
        <v>2013</v>
      </c>
      <c r="E1543" s="2">
        <f t="shared" si="98"/>
        <v>6</v>
      </c>
      <c r="F1543" s="2"/>
      <c r="G1543" s="4">
        <v>41444</v>
      </c>
      <c r="J1543" s="1" t="s">
        <v>191</v>
      </c>
      <c r="K1543" s="1" t="s">
        <v>206</v>
      </c>
      <c r="L1543" s="1" t="str">
        <f t="shared" si="99"/>
        <v>Vallentunasjön Blandprov</v>
      </c>
      <c r="M1543" s="1" t="s">
        <v>177</v>
      </c>
      <c r="W1543" s="1">
        <v>3.6189999999999998</v>
      </c>
      <c r="Z1543" s="1">
        <v>3.4</v>
      </c>
      <c r="AB1543" s="1">
        <v>33.429309000000003</v>
      </c>
      <c r="AD1543" s="6">
        <v>0</v>
      </c>
      <c r="AG1543" s="1">
        <v>18</v>
      </c>
      <c r="AK1543" s="1">
        <v>70.62</v>
      </c>
      <c r="AL1543" s="1">
        <v>1306.673</v>
      </c>
    </row>
    <row r="1544" spans="1:38" x14ac:dyDescent="0.3">
      <c r="A1544" s="1">
        <v>22902</v>
      </c>
      <c r="B1544" s="1" t="s">
        <v>208</v>
      </c>
      <c r="C1544" s="1" t="s">
        <v>209</v>
      </c>
      <c r="D1544" s="2">
        <f t="shared" si="97"/>
        <v>2013</v>
      </c>
      <c r="E1544" s="2">
        <f t="shared" si="98"/>
        <v>6</v>
      </c>
      <c r="F1544" s="2"/>
      <c r="G1544" s="4">
        <v>41450</v>
      </c>
      <c r="H1544" s="1">
        <v>6600935</v>
      </c>
      <c r="I1544" s="1">
        <v>1626764</v>
      </c>
      <c r="J1544" s="1" t="s">
        <v>191</v>
      </c>
      <c r="K1544" s="1" t="s">
        <v>210</v>
      </c>
      <c r="L1544" s="1" t="str">
        <f t="shared" si="99"/>
        <v>Vallentunasjön Va2</v>
      </c>
      <c r="M1544" s="1" t="s">
        <v>177</v>
      </c>
      <c r="N1544" s="1">
        <v>0.5</v>
      </c>
      <c r="O1544" s="1">
        <v>0.5</v>
      </c>
      <c r="P1544" s="1">
        <v>0.6</v>
      </c>
      <c r="Q1544" s="1">
        <v>24</v>
      </c>
      <c r="R1544" s="1">
        <v>13</v>
      </c>
      <c r="S1544" s="1">
        <v>154</v>
      </c>
    </row>
    <row r="1545" spans="1:38" x14ac:dyDescent="0.3">
      <c r="A1545" s="1">
        <v>22903</v>
      </c>
      <c r="B1545" s="1" t="s">
        <v>208</v>
      </c>
      <c r="C1545" s="1" t="s">
        <v>209</v>
      </c>
      <c r="D1545" s="2">
        <f t="shared" si="97"/>
        <v>2013</v>
      </c>
      <c r="E1545" s="2">
        <f t="shared" si="98"/>
        <v>6</v>
      </c>
      <c r="F1545" s="2"/>
      <c r="G1545" s="4">
        <v>41450</v>
      </c>
      <c r="H1545" s="1">
        <v>6600935</v>
      </c>
      <c r="I1545" s="1">
        <v>1626764</v>
      </c>
      <c r="J1545" s="1" t="s">
        <v>191</v>
      </c>
      <c r="K1545" s="1" t="s">
        <v>210</v>
      </c>
      <c r="L1545" s="1" t="str">
        <f t="shared" si="99"/>
        <v>Vallentunasjön Va2</v>
      </c>
      <c r="M1545" s="1" t="s">
        <v>211</v>
      </c>
      <c r="N1545" s="1">
        <v>1</v>
      </c>
      <c r="O1545" s="1">
        <v>1</v>
      </c>
      <c r="Q1545" s="1">
        <v>23.1</v>
      </c>
      <c r="R1545" s="1">
        <v>12.8</v>
      </c>
      <c r="S1545" s="1">
        <v>149</v>
      </c>
    </row>
    <row r="1546" spans="1:38" x14ac:dyDescent="0.3">
      <c r="A1546" s="1">
        <v>22904</v>
      </c>
      <c r="B1546" s="1" t="s">
        <v>208</v>
      </c>
      <c r="C1546" s="1" t="s">
        <v>209</v>
      </c>
      <c r="D1546" s="2">
        <f t="shared" si="97"/>
        <v>2013</v>
      </c>
      <c r="E1546" s="2">
        <f t="shared" si="98"/>
        <v>6</v>
      </c>
      <c r="F1546" s="2"/>
      <c r="G1546" s="4">
        <v>41450</v>
      </c>
      <c r="H1546" s="1">
        <v>6600935</v>
      </c>
      <c r="I1546" s="1">
        <v>1626764</v>
      </c>
      <c r="J1546" s="1" t="s">
        <v>191</v>
      </c>
      <c r="K1546" s="1" t="s">
        <v>210</v>
      </c>
      <c r="L1546" s="1" t="str">
        <f t="shared" si="99"/>
        <v>Vallentunasjön Va2</v>
      </c>
      <c r="M1546" s="1" t="s">
        <v>212</v>
      </c>
      <c r="N1546" s="1">
        <v>2</v>
      </c>
      <c r="O1546" s="1">
        <v>2</v>
      </c>
      <c r="Q1546" s="1">
        <v>20.399999999999999</v>
      </c>
      <c r="R1546" s="1">
        <v>9.9</v>
      </c>
      <c r="S1546" s="1">
        <v>109</v>
      </c>
    </row>
    <row r="1547" spans="1:38" x14ac:dyDescent="0.3">
      <c r="A1547" s="1">
        <v>22905</v>
      </c>
      <c r="B1547" s="1" t="s">
        <v>208</v>
      </c>
      <c r="C1547" s="1" t="s">
        <v>209</v>
      </c>
      <c r="D1547" s="2">
        <f t="shared" si="97"/>
        <v>2013</v>
      </c>
      <c r="E1547" s="2">
        <f t="shared" si="98"/>
        <v>6</v>
      </c>
      <c r="F1547" s="2"/>
      <c r="G1547" s="4">
        <v>41450</v>
      </c>
      <c r="H1547" s="1">
        <v>6600935</v>
      </c>
      <c r="I1547" s="1">
        <v>1626764</v>
      </c>
      <c r="J1547" s="1" t="s">
        <v>191</v>
      </c>
      <c r="K1547" s="1" t="s">
        <v>210</v>
      </c>
      <c r="L1547" s="1" t="str">
        <f t="shared" si="99"/>
        <v>Vallentunasjön Va2</v>
      </c>
      <c r="M1547" s="1" t="s">
        <v>213</v>
      </c>
      <c r="N1547" s="1">
        <v>3</v>
      </c>
      <c r="O1547" s="1">
        <v>3</v>
      </c>
      <c r="Q1547" s="1">
        <v>19.899999999999999</v>
      </c>
      <c r="R1547" s="1">
        <v>7.9</v>
      </c>
      <c r="S1547" s="1">
        <v>86</v>
      </c>
    </row>
    <row r="1548" spans="1:38" x14ac:dyDescent="0.3">
      <c r="A1548" s="1">
        <v>22906</v>
      </c>
      <c r="B1548" s="1" t="s">
        <v>208</v>
      </c>
      <c r="C1548" s="1" t="s">
        <v>209</v>
      </c>
      <c r="D1548" s="2">
        <f t="shared" si="97"/>
        <v>2013</v>
      </c>
      <c r="E1548" s="2">
        <f t="shared" si="98"/>
        <v>6</v>
      </c>
      <c r="F1548" s="2"/>
      <c r="G1548" s="4">
        <v>41450</v>
      </c>
      <c r="H1548" s="1">
        <v>6600935</v>
      </c>
      <c r="I1548" s="1">
        <v>1626764</v>
      </c>
      <c r="J1548" s="1" t="s">
        <v>191</v>
      </c>
      <c r="K1548" s="1" t="s">
        <v>210</v>
      </c>
      <c r="L1548" s="1" t="str">
        <f t="shared" si="99"/>
        <v>Vallentunasjön Va2</v>
      </c>
      <c r="M1548" s="1" t="s">
        <v>214</v>
      </c>
      <c r="N1548" s="1">
        <v>4</v>
      </c>
      <c r="O1548" s="1">
        <v>4</v>
      </c>
      <c r="Q1548" s="1">
        <v>19.600000000000001</v>
      </c>
      <c r="R1548" s="1">
        <v>7.5</v>
      </c>
      <c r="S1548" s="1">
        <v>82</v>
      </c>
    </row>
    <row r="1549" spans="1:38" x14ac:dyDescent="0.3">
      <c r="A1549" s="1">
        <v>22907</v>
      </c>
      <c r="B1549" s="1" t="s">
        <v>208</v>
      </c>
      <c r="C1549" s="1" t="s">
        <v>209</v>
      </c>
      <c r="D1549" s="2">
        <f t="shared" si="97"/>
        <v>2013</v>
      </c>
      <c r="E1549" s="2">
        <f t="shared" si="98"/>
        <v>6</v>
      </c>
      <c r="F1549" s="2"/>
      <c r="G1549" s="4">
        <v>41450</v>
      </c>
      <c r="H1549" s="1">
        <v>6600935</v>
      </c>
      <c r="I1549" s="1">
        <v>1626764</v>
      </c>
      <c r="J1549" s="1" t="s">
        <v>191</v>
      </c>
      <c r="K1549" s="1" t="s">
        <v>210</v>
      </c>
      <c r="L1549" s="1" t="str">
        <f t="shared" si="99"/>
        <v>Vallentunasjön Va2</v>
      </c>
      <c r="M1549" s="1" t="s">
        <v>184</v>
      </c>
      <c r="N1549" s="1">
        <v>4.3</v>
      </c>
      <c r="O1549" s="1">
        <v>4.3</v>
      </c>
      <c r="Q1549" s="1">
        <v>19.399999999999999</v>
      </c>
      <c r="R1549" s="1">
        <v>5.2</v>
      </c>
      <c r="S1549" s="1">
        <v>57</v>
      </c>
    </row>
    <row r="1550" spans="1:38" x14ac:dyDescent="0.3">
      <c r="A1550" s="1">
        <v>22908</v>
      </c>
      <c r="B1550" s="1" t="s">
        <v>208</v>
      </c>
      <c r="C1550" s="1" t="s">
        <v>209</v>
      </c>
      <c r="D1550" s="2">
        <f t="shared" si="97"/>
        <v>2013</v>
      </c>
      <c r="E1550" s="2">
        <f t="shared" si="98"/>
        <v>6</v>
      </c>
      <c r="F1550" s="2"/>
      <c r="G1550" s="4">
        <v>41450</v>
      </c>
      <c r="J1550" s="1" t="s">
        <v>191</v>
      </c>
      <c r="K1550" s="1" t="s">
        <v>206</v>
      </c>
      <c r="L1550" s="1" t="str">
        <f t="shared" si="99"/>
        <v>Vallentunasjön Blandprov</v>
      </c>
      <c r="M1550" s="1" t="s">
        <v>177</v>
      </c>
      <c r="W1550" s="1">
        <v>3.2829999999999999</v>
      </c>
      <c r="Z1550" s="1">
        <v>2.29</v>
      </c>
      <c r="AB1550" s="1">
        <v>40.317659999999997</v>
      </c>
      <c r="AD1550" s="6">
        <v>0</v>
      </c>
      <c r="AG1550" s="1">
        <v>19.999999999999901</v>
      </c>
      <c r="AK1550" s="1">
        <v>74.14</v>
      </c>
      <c r="AL1550" s="1">
        <v>1402.1949999999999</v>
      </c>
    </row>
    <row r="1551" spans="1:38" x14ac:dyDescent="0.3">
      <c r="A1551" s="1">
        <v>23098</v>
      </c>
      <c r="B1551" s="1" t="s">
        <v>208</v>
      </c>
      <c r="C1551" s="1" t="s">
        <v>209</v>
      </c>
      <c r="D1551" s="2">
        <f t="shared" si="97"/>
        <v>2013</v>
      </c>
      <c r="E1551" s="2">
        <f t="shared" si="98"/>
        <v>7</v>
      </c>
      <c r="F1551" s="3" t="s">
        <v>179</v>
      </c>
      <c r="G1551" s="4">
        <v>41466</v>
      </c>
      <c r="H1551" s="1">
        <v>6600935</v>
      </c>
      <c r="I1551" s="1">
        <v>1626764</v>
      </c>
      <c r="J1551" s="1" t="s">
        <v>191</v>
      </c>
      <c r="K1551" s="1" t="s">
        <v>210</v>
      </c>
      <c r="L1551" s="1" t="str">
        <f t="shared" si="99"/>
        <v>Vallentunasjön Va2</v>
      </c>
      <c r="M1551" s="1" t="s">
        <v>177</v>
      </c>
      <c r="N1551" s="1">
        <v>0.5</v>
      </c>
      <c r="O1551" s="1">
        <v>0.5</v>
      </c>
      <c r="P1551" s="1">
        <v>0.5</v>
      </c>
      <c r="Q1551" s="1">
        <v>19.7</v>
      </c>
      <c r="R1551" s="1">
        <v>9.3000000000000007</v>
      </c>
      <c r="S1551" s="1">
        <v>101</v>
      </c>
    </row>
    <row r="1552" spans="1:38" x14ac:dyDescent="0.3">
      <c r="A1552" s="1">
        <v>23099</v>
      </c>
      <c r="B1552" s="1" t="s">
        <v>208</v>
      </c>
      <c r="C1552" s="1" t="s">
        <v>209</v>
      </c>
      <c r="D1552" s="2">
        <f t="shared" si="97"/>
        <v>2013</v>
      </c>
      <c r="E1552" s="2">
        <f t="shared" si="98"/>
        <v>7</v>
      </c>
      <c r="F1552" s="3" t="s">
        <v>179</v>
      </c>
      <c r="G1552" s="4">
        <v>41466</v>
      </c>
      <c r="H1552" s="1">
        <v>6600935</v>
      </c>
      <c r="I1552" s="1">
        <v>1626764</v>
      </c>
      <c r="J1552" s="1" t="s">
        <v>191</v>
      </c>
      <c r="K1552" s="1" t="s">
        <v>210</v>
      </c>
      <c r="L1552" s="1" t="str">
        <f t="shared" si="99"/>
        <v>Vallentunasjön Va2</v>
      </c>
      <c r="M1552" s="1" t="s">
        <v>211</v>
      </c>
      <c r="N1552" s="1">
        <v>1</v>
      </c>
      <c r="O1552" s="1">
        <v>1</v>
      </c>
      <c r="Q1552" s="1">
        <v>19.7</v>
      </c>
      <c r="R1552" s="1">
        <v>9.1999999999999993</v>
      </c>
      <c r="S1552" s="1">
        <v>101</v>
      </c>
    </row>
    <row r="1553" spans="1:81" x14ac:dyDescent="0.3">
      <c r="A1553" s="1">
        <v>23100</v>
      </c>
      <c r="B1553" s="1" t="s">
        <v>208</v>
      </c>
      <c r="C1553" s="1" t="s">
        <v>209</v>
      </c>
      <c r="D1553" s="2">
        <f t="shared" si="97"/>
        <v>2013</v>
      </c>
      <c r="E1553" s="2">
        <f t="shared" si="98"/>
        <v>7</v>
      </c>
      <c r="F1553" s="3" t="s">
        <v>179</v>
      </c>
      <c r="G1553" s="4">
        <v>41466</v>
      </c>
      <c r="H1553" s="1">
        <v>6600935</v>
      </c>
      <c r="I1553" s="1">
        <v>1626764</v>
      </c>
      <c r="J1553" s="1" t="s">
        <v>191</v>
      </c>
      <c r="K1553" s="1" t="s">
        <v>210</v>
      </c>
      <c r="L1553" s="1" t="str">
        <f t="shared" si="99"/>
        <v>Vallentunasjön Va2</v>
      </c>
      <c r="M1553" s="1" t="s">
        <v>212</v>
      </c>
      <c r="N1553" s="1">
        <v>2</v>
      </c>
      <c r="O1553" s="1">
        <v>2</v>
      </c>
      <c r="Q1553" s="1">
        <v>19.600000000000001</v>
      </c>
      <c r="R1553" s="1">
        <v>8.9</v>
      </c>
      <c r="S1553" s="1">
        <v>97</v>
      </c>
    </row>
    <row r="1554" spans="1:81" x14ac:dyDescent="0.3">
      <c r="A1554" s="1">
        <v>23101</v>
      </c>
      <c r="B1554" s="1" t="s">
        <v>208</v>
      </c>
      <c r="C1554" s="1" t="s">
        <v>209</v>
      </c>
      <c r="D1554" s="2">
        <f t="shared" si="97"/>
        <v>2013</v>
      </c>
      <c r="E1554" s="2">
        <f t="shared" si="98"/>
        <v>7</v>
      </c>
      <c r="F1554" s="3" t="s">
        <v>179</v>
      </c>
      <c r="G1554" s="4">
        <v>41466</v>
      </c>
      <c r="H1554" s="1">
        <v>6600935</v>
      </c>
      <c r="I1554" s="1">
        <v>1626764</v>
      </c>
      <c r="J1554" s="1" t="s">
        <v>191</v>
      </c>
      <c r="K1554" s="1" t="s">
        <v>210</v>
      </c>
      <c r="L1554" s="1" t="str">
        <f t="shared" si="99"/>
        <v>Vallentunasjön Va2</v>
      </c>
      <c r="M1554" s="1" t="s">
        <v>213</v>
      </c>
      <c r="N1554" s="1">
        <v>3</v>
      </c>
      <c r="O1554" s="1">
        <v>3</v>
      </c>
      <c r="Q1554" s="1">
        <v>19.600000000000001</v>
      </c>
      <c r="R1554" s="1">
        <v>8.8000000000000007</v>
      </c>
      <c r="S1554" s="1">
        <v>95</v>
      </c>
    </row>
    <row r="1555" spans="1:81" x14ac:dyDescent="0.3">
      <c r="A1555" s="1">
        <v>23102</v>
      </c>
      <c r="B1555" s="1" t="s">
        <v>208</v>
      </c>
      <c r="C1555" s="1" t="s">
        <v>209</v>
      </c>
      <c r="D1555" s="2">
        <f t="shared" si="97"/>
        <v>2013</v>
      </c>
      <c r="E1555" s="2">
        <f t="shared" si="98"/>
        <v>7</v>
      </c>
      <c r="F1555" s="3" t="s">
        <v>179</v>
      </c>
      <c r="G1555" s="4">
        <v>41466</v>
      </c>
      <c r="H1555" s="1">
        <v>6600935</v>
      </c>
      <c r="I1555" s="1">
        <v>1626764</v>
      </c>
      <c r="J1555" s="1" t="s">
        <v>191</v>
      </c>
      <c r="K1555" s="1" t="s">
        <v>210</v>
      </c>
      <c r="L1555" s="1" t="str">
        <f t="shared" si="99"/>
        <v>Vallentunasjön Va2</v>
      </c>
      <c r="M1555" s="1" t="s">
        <v>214</v>
      </c>
      <c r="N1555" s="1">
        <v>4</v>
      </c>
      <c r="O1555" s="1">
        <v>4</v>
      </c>
      <c r="Q1555" s="1">
        <v>19.600000000000001</v>
      </c>
      <c r="R1555" s="1">
        <v>8.6</v>
      </c>
      <c r="S1555" s="1">
        <v>94</v>
      </c>
    </row>
    <row r="1556" spans="1:81" x14ac:dyDescent="0.3">
      <c r="A1556" s="1">
        <v>23103</v>
      </c>
      <c r="B1556" s="1" t="s">
        <v>208</v>
      </c>
      <c r="C1556" s="1" t="s">
        <v>209</v>
      </c>
      <c r="D1556" s="2">
        <f t="shared" si="97"/>
        <v>2013</v>
      </c>
      <c r="E1556" s="2">
        <f t="shared" si="98"/>
        <v>7</v>
      </c>
      <c r="F1556" s="3" t="s">
        <v>179</v>
      </c>
      <c r="G1556" s="4">
        <v>41466</v>
      </c>
      <c r="H1556" s="1">
        <v>6600935</v>
      </c>
      <c r="I1556" s="1">
        <v>1626764</v>
      </c>
      <c r="J1556" s="1" t="s">
        <v>191</v>
      </c>
      <c r="K1556" s="1" t="s">
        <v>210</v>
      </c>
      <c r="L1556" s="1" t="str">
        <f t="shared" si="99"/>
        <v>Vallentunasjön Va2</v>
      </c>
      <c r="M1556" s="1" t="s">
        <v>184</v>
      </c>
      <c r="Q1556" s="1">
        <v>19.5</v>
      </c>
      <c r="R1556" s="1">
        <v>8.5</v>
      </c>
      <c r="S1556" s="1">
        <v>93</v>
      </c>
    </row>
    <row r="1557" spans="1:81" x14ac:dyDescent="0.3">
      <c r="A1557" s="1">
        <v>23104</v>
      </c>
      <c r="B1557" s="1" t="s">
        <v>208</v>
      </c>
      <c r="C1557" s="1" t="s">
        <v>209</v>
      </c>
      <c r="D1557" s="2">
        <f t="shared" si="97"/>
        <v>2013</v>
      </c>
      <c r="E1557" s="2">
        <f t="shared" si="98"/>
        <v>7</v>
      </c>
      <c r="F1557" s="3" t="s">
        <v>179</v>
      </c>
      <c r="G1557" s="4">
        <v>41466</v>
      </c>
      <c r="J1557" s="1" t="s">
        <v>191</v>
      </c>
      <c r="K1557" s="1" t="s">
        <v>206</v>
      </c>
      <c r="L1557" s="1" t="str">
        <f t="shared" si="99"/>
        <v>Vallentunasjön Blandprov</v>
      </c>
      <c r="M1557" s="1" t="s">
        <v>177</v>
      </c>
      <c r="W1557" s="1">
        <v>3.7679999999999998</v>
      </c>
      <c r="Z1557" s="1">
        <v>9.67</v>
      </c>
      <c r="AB1557" s="1">
        <v>70.329599999999999</v>
      </c>
      <c r="AD1557" s="6">
        <v>0</v>
      </c>
      <c r="AG1557" s="1">
        <v>31.000000000000199</v>
      </c>
      <c r="AK1557" s="1">
        <v>103.67</v>
      </c>
      <c r="AL1557" s="1">
        <v>1688.681</v>
      </c>
    </row>
    <row r="1558" spans="1:81" x14ac:dyDescent="0.3">
      <c r="D1558" s="2">
        <f t="shared" si="97"/>
        <v>2013</v>
      </c>
      <c r="E1558" s="2">
        <f t="shared" si="98"/>
        <v>7</v>
      </c>
      <c r="F1558" s="3" t="s">
        <v>179</v>
      </c>
      <c r="G1558" s="4">
        <v>41471</v>
      </c>
      <c r="H1558" s="1">
        <v>6606238</v>
      </c>
      <c r="I1558" s="1">
        <v>661152</v>
      </c>
      <c r="J1558" s="5" t="s">
        <v>176</v>
      </c>
      <c r="K1558" s="1"/>
      <c r="L1558" s="1" t="str">
        <f t="shared" si="99"/>
        <v xml:space="preserve">Oxundaån </v>
      </c>
      <c r="M1558" s="1" t="s">
        <v>177</v>
      </c>
      <c r="N1558" s="1">
        <v>0.5</v>
      </c>
      <c r="O1558" s="1">
        <v>0.5</v>
      </c>
      <c r="Q1558" s="1">
        <v>20</v>
      </c>
      <c r="T1558" s="1">
        <v>44.5</v>
      </c>
      <c r="V1558" s="1">
        <v>2.5099999999999998</v>
      </c>
      <c r="W1558" s="1">
        <v>128</v>
      </c>
      <c r="X1558" s="1">
        <f>W1558 * (1/((10^((0.0901821 + (2729.92 /(273.15 + Q1558)))-AE1558)+1)))</f>
        <v>2.0775683404284866</v>
      </c>
      <c r="Y1558" s="1">
        <v>5.0999999999999997E-2</v>
      </c>
      <c r="Z1558" s="1">
        <v>72</v>
      </c>
      <c r="AA1558" s="1">
        <v>2.2999999999999998</v>
      </c>
      <c r="AB1558" s="1">
        <v>5.3</v>
      </c>
      <c r="AD1558" s="1">
        <v>31</v>
      </c>
      <c r="AE1558" s="1">
        <v>7.62</v>
      </c>
      <c r="AG1558" s="1">
        <v>3.1</v>
      </c>
      <c r="AI1558" s="1">
        <v>11.4</v>
      </c>
      <c r="AK1558" s="1">
        <v>97</v>
      </c>
      <c r="AL1558" s="1">
        <v>840</v>
      </c>
      <c r="AR1558" s="1">
        <v>47</v>
      </c>
      <c r="AT1558" s="1">
        <v>5.0830000000000002</v>
      </c>
      <c r="AU1558" s="1">
        <v>7.9497</v>
      </c>
      <c r="AV1558" s="1">
        <v>37.009800000000006</v>
      </c>
      <c r="AW1558" s="1">
        <v>25.004600000000003</v>
      </c>
      <c r="AX1558" s="1">
        <v>34.403799999999997</v>
      </c>
      <c r="AY1558" s="1">
        <v>0.78</v>
      </c>
      <c r="CC1558" s="1">
        <v>5.0000000000000001E-3</v>
      </c>
    </row>
    <row r="1559" spans="1:81" x14ac:dyDescent="0.3">
      <c r="A1559" s="1">
        <v>23156</v>
      </c>
      <c r="B1559" s="1" t="s">
        <v>208</v>
      </c>
      <c r="C1559" s="1" t="s">
        <v>209</v>
      </c>
      <c r="D1559" s="2">
        <f t="shared" si="97"/>
        <v>2013</v>
      </c>
      <c r="E1559" s="2">
        <f t="shared" si="98"/>
        <v>7</v>
      </c>
      <c r="F1559" s="3" t="s">
        <v>179</v>
      </c>
      <c r="G1559" s="4">
        <v>41472</v>
      </c>
      <c r="H1559" s="1">
        <v>6600935</v>
      </c>
      <c r="I1559" s="1">
        <v>1626764</v>
      </c>
      <c r="J1559" s="1" t="s">
        <v>191</v>
      </c>
      <c r="K1559" s="1" t="s">
        <v>210</v>
      </c>
      <c r="L1559" s="1" t="str">
        <f t="shared" si="99"/>
        <v>Vallentunasjön Va2</v>
      </c>
      <c r="M1559" s="1" t="s">
        <v>177</v>
      </c>
      <c r="N1559" s="1">
        <v>0.5</v>
      </c>
      <c r="O1559" s="1">
        <v>0.5</v>
      </c>
      <c r="P1559" s="1">
        <v>0.5</v>
      </c>
      <c r="Q1559" s="1">
        <v>20.6</v>
      </c>
      <c r="R1559" s="1">
        <v>11.1</v>
      </c>
      <c r="S1559" s="1">
        <v>123</v>
      </c>
    </row>
    <row r="1560" spans="1:81" x14ac:dyDescent="0.3">
      <c r="A1560" s="1">
        <v>23157</v>
      </c>
      <c r="B1560" s="1" t="s">
        <v>208</v>
      </c>
      <c r="C1560" s="1" t="s">
        <v>209</v>
      </c>
      <c r="D1560" s="2">
        <f t="shared" si="97"/>
        <v>2013</v>
      </c>
      <c r="E1560" s="2">
        <f t="shared" si="98"/>
        <v>7</v>
      </c>
      <c r="F1560" s="3" t="s">
        <v>179</v>
      </c>
      <c r="G1560" s="4">
        <v>41472</v>
      </c>
      <c r="H1560" s="1">
        <v>6600935</v>
      </c>
      <c r="I1560" s="1">
        <v>1626764</v>
      </c>
      <c r="J1560" s="1" t="s">
        <v>191</v>
      </c>
      <c r="K1560" s="1" t="s">
        <v>210</v>
      </c>
      <c r="L1560" s="1" t="str">
        <f t="shared" si="99"/>
        <v>Vallentunasjön Va2</v>
      </c>
      <c r="M1560" s="1" t="s">
        <v>211</v>
      </c>
      <c r="N1560" s="1">
        <v>1</v>
      </c>
      <c r="O1560" s="1">
        <v>1</v>
      </c>
      <c r="Q1560" s="1">
        <v>20.3</v>
      </c>
      <c r="R1560" s="1">
        <v>10</v>
      </c>
      <c r="S1560" s="1">
        <v>111</v>
      </c>
    </row>
    <row r="1561" spans="1:81" x14ac:dyDescent="0.3">
      <c r="A1561" s="1">
        <v>23158</v>
      </c>
      <c r="B1561" s="1" t="s">
        <v>208</v>
      </c>
      <c r="C1561" s="1" t="s">
        <v>209</v>
      </c>
      <c r="D1561" s="2">
        <f t="shared" si="97"/>
        <v>2013</v>
      </c>
      <c r="E1561" s="2">
        <f t="shared" si="98"/>
        <v>7</v>
      </c>
      <c r="F1561" s="3" t="s">
        <v>179</v>
      </c>
      <c r="G1561" s="4">
        <v>41472</v>
      </c>
      <c r="H1561" s="1">
        <v>6600935</v>
      </c>
      <c r="I1561" s="1">
        <v>1626764</v>
      </c>
      <c r="J1561" s="1" t="s">
        <v>191</v>
      </c>
      <c r="K1561" s="1" t="s">
        <v>210</v>
      </c>
      <c r="L1561" s="1" t="str">
        <f t="shared" si="99"/>
        <v>Vallentunasjön Va2</v>
      </c>
      <c r="M1561" s="1" t="s">
        <v>212</v>
      </c>
      <c r="N1561" s="1">
        <v>2</v>
      </c>
      <c r="O1561" s="1">
        <v>2</v>
      </c>
      <c r="Q1561" s="1">
        <v>20</v>
      </c>
      <c r="R1561" s="1">
        <v>8.6999999999999993</v>
      </c>
      <c r="S1561" s="1">
        <v>95</v>
      </c>
    </row>
    <row r="1562" spans="1:81" x14ac:dyDescent="0.3">
      <c r="A1562" s="1">
        <v>23159</v>
      </c>
      <c r="B1562" s="1" t="s">
        <v>208</v>
      </c>
      <c r="C1562" s="1" t="s">
        <v>209</v>
      </c>
      <c r="D1562" s="2">
        <f t="shared" si="97"/>
        <v>2013</v>
      </c>
      <c r="E1562" s="2">
        <f t="shared" si="98"/>
        <v>7</v>
      </c>
      <c r="F1562" s="3" t="s">
        <v>179</v>
      </c>
      <c r="G1562" s="4">
        <v>41472</v>
      </c>
      <c r="H1562" s="1">
        <v>6600935</v>
      </c>
      <c r="I1562" s="1">
        <v>1626764</v>
      </c>
      <c r="J1562" s="1" t="s">
        <v>191</v>
      </c>
      <c r="K1562" s="1" t="s">
        <v>210</v>
      </c>
      <c r="L1562" s="1" t="str">
        <f t="shared" si="99"/>
        <v>Vallentunasjön Va2</v>
      </c>
      <c r="M1562" s="1" t="s">
        <v>213</v>
      </c>
      <c r="N1562" s="1">
        <v>3</v>
      </c>
      <c r="O1562" s="1">
        <v>3</v>
      </c>
      <c r="Q1562" s="1">
        <v>19.899999999999999</v>
      </c>
      <c r="R1562" s="1">
        <v>8.5</v>
      </c>
      <c r="S1562" s="1">
        <v>93</v>
      </c>
    </row>
    <row r="1563" spans="1:81" x14ac:dyDescent="0.3">
      <c r="A1563" s="1">
        <v>23160</v>
      </c>
      <c r="B1563" s="1" t="s">
        <v>208</v>
      </c>
      <c r="C1563" s="1" t="s">
        <v>209</v>
      </c>
      <c r="D1563" s="2">
        <f t="shared" si="97"/>
        <v>2013</v>
      </c>
      <c r="E1563" s="2">
        <f t="shared" si="98"/>
        <v>7</v>
      </c>
      <c r="F1563" s="3" t="s">
        <v>179</v>
      </c>
      <c r="G1563" s="4">
        <v>41472</v>
      </c>
      <c r="H1563" s="1">
        <v>6600935</v>
      </c>
      <c r="I1563" s="1">
        <v>1626764</v>
      </c>
      <c r="J1563" s="1" t="s">
        <v>191</v>
      </c>
      <c r="K1563" s="1" t="s">
        <v>210</v>
      </c>
      <c r="L1563" s="1" t="str">
        <f t="shared" si="99"/>
        <v>Vallentunasjön Va2</v>
      </c>
      <c r="M1563" s="1" t="s">
        <v>214</v>
      </c>
      <c r="N1563" s="1">
        <v>4</v>
      </c>
      <c r="O1563" s="1">
        <v>4</v>
      </c>
      <c r="Q1563" s="1">
        <v>19.8</v>
      </c>
      <c r="R1563" s="1">
        <v>7.4</v>
      </c>
      <c r="S1563" s="1">
        <v>81</v>
      </c>
    </row>
    <row r="1564" spans="1:81" x14ac:dyDescent="0.3">
      <c r="A1564" s="1">
        <v>23161</v>
      </c>
      <c r="B1564" s="1" t="s">
        <v>208</v>
      </c>
      <c r="C1564" s="1" t="s">
        <v>209</v>
      </c>
      <c r="D1564" s="2">
        <f t="shared" si="97"/>
        <v>2013</v>
      </c>
      <c r="E1564" s="2">
        <f t="shared" si="98"/>
        <v>7</v>
      </c>
      <c r="F1564" s="3" t="s">
        <v>179</v>
      </c>
      <c r="G1564" s="4">
        <v>41472</v>
      </c>
      <c r="H1564" s="1">
        <v>6600935</v>
      </c>
      <c r="I1564" s="1">
        <v>1626764</v>
      </c>
      <c r="J1564" s="1" t="s">
        <v>191</v>
      </c>
      <c r="K1564" s="1" t="s">
        <v>210</v>
      </c>
      <c r="L1564" s="1" t="str">
        <f t="shared" si="99"/>
        <v>Vallentunasjön Va2</v>
      </c>
      <c r="M1564" s="1" t="s">
        <v>184</v>
      </c>
      <c r="N1564" s="1">
        <v>4.3</v>
      </c>
      <c r="O1564" s="1">
        <v>4.3</v>
      </c>
      <c r="Q1564" s="1">
        <v>19.600000000000001</v>
      </c>
      <c r="R1564" s="1">
        <v>4.8</v>
      </c>
      <c r="S1564" s="1">
        <v>52</v>
      </c>
    </row>
    <row r="1565" spans="1:81" x14ac:dyDescent="0.3">
      <c r="A1565" s="1">
        <v>23162</v>
      </c>
      <c r="B1565" s="1" t="s">
        <v>208</v>
      </c>
      <c r="C1565" s="1" t="s">
        <v>209</v>
      </c>
      <c r="D1565" s="2">
        <f t="shared" si="97"/>
        <v>2013</v>
      </c>
      <c r="E1565" s="2">
        <f t="shared" si="98"/>
        <v>7</v>
      </c>
      <c r="F1565" s="3" t="s">
        <v>179</v>
      </c>
      <c r="G1565" s="4">
        <v>41472</v>
      </c>
      <c r="J1565" s="1" t="s">
        <v>191</v>
      </c>
      <c r="K1565" s="1" t="s">
        <v>206</v>
      </c>
      <c r="L1565" s="1" t="str">
        <f t="shared" si="99"/>
        <v>Vallentunasjön Blandprov</v>
      </c>
      <c r="M1565" s="1" t="s">
        <v>177</v>
      </c>
      <c r="W1565" s="1">
        <v>3.8519999999999999</v>
      </c>
      <c r="Z1565" s="1">
        <v>6.52</v>
      </c>
      <c r="AB1565" s="1">
        <v>56.436160000000001</v>
      </c>
      <c r="AD1565" s="6">
        <v>0</v>
      </c>
      <c r="AG1565" s="1">
        <v>29.999999999999702</v>
      </c>
      <c r="AK1565" s="1">
        <v>96.06</v>
      </c>
      <c r="AL1565" s="1">
        <v>2390.3330000000001</v>
      </c>
    </row>
    <row r="1566" spans="1:81" x14ac:dyDescent="0.3">
      <c r="A1566" s="1">
        <v>23381</v>
      </c>
      <c r="B1566" s="1" t="s">
        <v>208</v>
      </c>
      <c r="C1566" s="1" t="s">
        <v>209</v>
      </c>
      <c r="D1566" s="2">
        <f t="shared" si="97"/>
        <v>2013</v>
      </c>
      <c r="E1566" s="2">
        <f t="shared" si="98"/>
        <v>7</v>
      </c>
      <c r="F1566" s="3" t="s">
        <v>179</v>
      </c>
      <c r="G1566" s="4">
        <v>41485</v>
      </c>
      <c r="H1566" s="1">
        <v>6600935</v>
      </c>
      <c r="I1566" s="1">
        <v>1626764</v>
      </c>
      <c r="J1566" s="1" t="s">
        <v>191</v>
      </c>
      <c r="K1566" s="1" t="s">
        <v>210</v>
      </c>
      <c r="L1566" s="1" t="str">
        <f t="shared" si="99"/>
        <v>Vallentunasjön Va2</v>
      </c>
      <c r="M1566" s="1" t="s">
        <v>177</v>
      </c>
      <c r="N1566" s="1">
        <v>0.5</v>
      </c>
      <c r="O1566" s="1">
        <v>0.5</v>
      </c>
      <c r="P1566" s="1">
        <v>0.4</v>
      </c>
      <c r="Q1566" s="1">
        <v>21.5</v>
      </c>
      <c r="R1566" s="1">
        <v>8.6</v>
      </c>
      <c r="S1566" s="1">
        <v>98</v>
      </c>
    </row>
    <row r="1567" spans="1:81" x14ac:dyDescent="0.3">
      <c r="A1567" s="1">
        <v>23382</v>
      </c>
      <c r="B1567" s="1" t="s">
        <v>208</v>
      </c>
      <c r="C1567" s="1" t="s">
        <v>209</v>
      </c>
      <c r="D1567" s="2">
        <f t="shared" si="97"/>
        <v>2013</v>
      </c>
      <c r="E1567" s="2">
        <f t="shared" si="98"/>
        <v>7</v>
      </c>
      <c r="F1567" s="3" t="s">
        <v>179</v>
      </c>
      <c r="G1567" s="4">
        <v>41485</v>
      </c>
      <c r="H1567" s="1">
        <v>6600935</v>
      </c>
      <c r="I1567" s="1">
        <v>1626764</v>
      </c>
      <c r="J1567" s="1" t="s">
        <v>191</v>
      </c>
      <c r="K1567" s="1" t="s">
        <v>210</v>
      </c>
      <c r="L1567" s="1" t="str">
        <f t="shared" si="99"/>
        <v>Vallentunasjön Va2</v>
      </c>
      <c r="M1567" s="1" t="s">
        <v>211</v>
      </c>
      <c r="N1567" s="1">
        <v>1</v>
      </c>
      <c r="O1567" s="1">
        <v>1</v>
      </c>
      <c r="Q1567" s="1">
        <v>21.5</v>
      </c>
      <c r="R1567" s="1">
        <v>8.5</v>
      </c>
      <c r="S1567" s="1">
        <v>101</v>
      </c>
    </row>
    <row r="1568" spans="1:81" x14ac:dyDescent="0.3">
      <c r="A1568" s="1">
        <v>23383</v>
      </c>
      <c r="B1568" s="1" t="s">
        <v>208</v>
      </c>
      <c r="C1568" s="1" t="s">
        <v>209</v>
      </c>
      <c r="D1568" s="2">
        <f t="shared" si="97"/>
        <v>2013</v>
      </c>
      <c r="E1568" s="2">
        <f t="shared" si="98"/>
        <v>7</v>
      </c>
      <c r="F1568" s="3" t="s">
        <v>179</v>
      </c>
      <c r="G1568" s="4">
        <v>41485</v>
      </c>
      <c r="H1568" s="1">
        <v>6600935</v>
      </c>
      <c r="I1568" s="1">
        <v>1626764</v>
      </c>
      <c r="J1568" s="1" t="s">
        <v>191</v>
      </c>
      <c r="K1568" s="1" t="s">
        <v>210</v>
      </c>
      <c r="L1568" s="1" t="str">
        <f t="shared" si="99"/>
        <v>Vallentunasjön Va2</v>
      </c>
      <c r="M1568" s="1" t="s">
        <v>212</v>
      </c>
      <c r="N1568" s="1">
        <v>2</v>
      </c>
      <c r="O1568" s="1">
        <v>2</v>
      </c>
      <c r="Q1568" s="1">
        <v>20</v>
      </c>
      <c r="R1568" s="1">
        <v>6.2</v>
      </c>
      <c r="S1568" s="1">
        <v>71</v>
      </c>
    </row>
    <row r="1569" spans="1:81" x14ac:dyDescent="0.3">
      <c r="A1569" s="1">
        <v>23384</v>
      </c>
      <c r="B1569" s="1" t="s">
        <v>208</v>
      </c>
      <c r="C1569" s="1" t="s">
        <v>209</v>
      </c>
      <c r="D1569" s="2">
        <f t="shared" si="97"/>
        <v>2013</v>
      </c>
      <c r="E1569" s="2">
        <f t="shared" si="98"/>
        <v>7</v>
      </c>
      <c r="F1569" s="3" t="s">
        <v>179</v>
      </c>
      <c r="G1569" s="4">
        <v>41485</v>
      </c>
      <c r="H1569" s="1">
        <v>6600935</v>
      </c>
      <c r="I1569" s="1">
        <v>1626764</v>
      </c>
      <c r="J1569" s="1" t="s">
        <v>191</v>
      </c>
      <c r="K1569" s="1" t="s">
        <v>210</v>
      </c>
      <c r="L1569" s="1" t="str">
        <f t="shared" si="99"/>
        <v>Vallentunasjön Va2</v>
      </c>
      <c r="M1569" s="1" t="s">
        <v>213</v>
      </c>
      <c r="N1569" s="1">
        <v>3</v>
      </c>
      <c r="O1569" s="1">
        <v>3</v>
      </c>
      <c r="Q1569" s="1">
        <v>20</v>
      </c>
      <c r="R1569" s="1">
        <v>1.7</v>
      </c>
      <c r="S1569" s="1">
        <v>19</v>
      </c>
    </row>
    <row r="1570" spans="1:81" x14ac:dyDescent="0.3">
      <c r="A1570" s="1">
        <v>23385</v>
      </c>
      <c r="B1570" s="1" t="s">
        <v>208</v>
      </c>
      <c r="C1570" s="1" t="s">
        <v>209</v>
      </c>
      <c r="D1570" s="2">
        <f t="shared" si="97"/>
        <v>2013</v>
      </c>
      <c r="E1570" s="2">
        <f t="shared" si="98"/>
        <v>7</v>
      </c>
      <c r="F1570" s="3" t="s">
        <v>179</v>
      </c>
      <c r="G1570" s="4">
        <v>41485</v>
      </c>
      <c r="H1570" s="1">
        <v>6600935</v>
      </c>
      <c r="I1570" s="1">
        <v>1626764</v>
      </c>
      <c r="J1570" s="1" t="s">
        <v>191</v>
      </c>
      <c r="K1570" s="1" t="s">
        <v>210</v>
      </c>
      <c r="L1570" s="1" t="str">
        <f t="shared" si="99"/>
        <v>Vallentunasjön Va2</v>
      </c>
      <c r="M1570" s="1" t="s">
        <v>214</v>
      </c>
      <c r="N1570" s="1">
        <v>4</v>
      </c>
      <c r="O1570" s="1">
        <v>4</v>
      </c>
      <c r="Q1570" s="1">
        <v>19</v>
      </c>
      <c r="R1570" s="1">
        <v>0.1</v>
      </c>
      <c r="S1570" s="1">
        <v>1</v>
      </c>
    </row>
    <row r="1571" spans="1:81" x14ac:dyDescent="0.3">
      <c r="A1571" s="1">
        <v>23386</v>
      </c>
      <c r="B1571" s="1" t="s">
        <v>208</v>
      </c>
      <c r="C1571" s="1" t="s">
        <v>209</v>
      </c>
      <c r="D1571" s="2">
        <f t="shared" si="97"/>
        <v>2013</v>
      </c>
      <c r="E1571" s="2">
        <f t="shared" si="98"/>
        <v>7</v>
      </c>
      <c r="F1571" s="3" t="s">
        <v>179</v>
      </c>
      <c r="G1571" s="4">
        <v>41485</v>
      </c>
      <c r="H1571" s="1">
        <v>6600935</v>
      </c>
      <c r="I1571" s="1">
        <v>1626764</v>
      </c>
      <c r="J1571" s="1" t="s">
        <v>191</v>
      </c>
      <c r="K1571" s="1" t="s">
        <v>210</v>
      </c>
      <c r="L1571" s="1" t="str">
        <f t="shared" si="99"/>
        <v>Vallentunasjön Va2</v>
      </c>
      <c r="M1571" s="1" t="s">
        <v>184</v>
      </c>
      <c r="N1571" s="1">
        <v>4.3</v>
      </c>
      <c r="O1571" s="1">
        <v>4.3</v>
      </c>
      <c r="Q1571" s="1">
        <v>19</v>
      </c>
      <c r="R1571" s="1">
        <v>0.1</v>
      </c>
      <c r="S1571" s="1">
        <v>1</v>
      </c>
    </row>
    <row r="1572" spans="1:81" x14ac:dyDescent="0.3">
      <c r="A1572" s="1">
        <v>23387</v>
      </c>
      <c r="B1572" s="1" t="s">
        <v>208</v>
      </c>
      <c r="C1572" s="1" t="s">
        <v>209</v>
      </c>
      <c r="D1572" s="2">
        <f t="shared" si="97"/>
        <v>2013</v>
      </c>
      <c r="E1572" s="2">
        <f t="shared" si="98"/>
        <v>7</v>
      </c>
      <c r="F1572" s="3" t="s">
        <v>179</v>
      </c>
      <c r="G1572" s="4">
        <v>41485</v>
      </c>
      <c r="J1572" s="1" t="s">
        <v>191</v>
      </c>
      <c r="K1572" s="1" t="s">
        <v>206</v>
      </c>
      <c r="L1572" s="1" t="str">
        <f t="shared" si="99"/>
        <v>Vallentunasjön Blandprov</v>
      </c>
      <c r="M1572" s="1" t="s">
        <v>177</v>
      </c>
      <c r="W1572" s="1">
        <v>5.9139999999999997</v>
      </c>
      <c r="Z1572" s="1">
        <v>7.14</v>
      </c>
      <c r="AB1572" s="1">
        <v>43.5658125</v>
      </c>
      <c r="AD1572" s="6">
        <v>0</v>
      </c>
      <c r="AG1572" s="1">
        <v>34.000000000000099</v>
      </c>
      <c r="AK1572" s="1">
        <v>85.88</v>
      </c>
      <c r="AL1572" s="1">
        <v>1640.8</v>
      </c>
    </row>
    <row r="1573" spans="1:81" x14ac:dyDescent="0.3">
      <c r="A1573" s="1">
        <v>23620</v>
      </c>
      <c r="B1573" s="1" t="s">
        <v>208</v>
      </c>
      <c r="C1573" s="1" t="s">
        <v>209</v>
      </c>
      <c r="D1573" s="2">
        <f t="shared" si="97"/>
        <v>2013</v>
      </c>
      <c r="E1573" s="2">
        <f t="shared" si="98"/>
        <v>8</v>
      </c>
      <c r="F1573" s="3" t="s">
        <v>179</v>
      </c>
      <c r="G1573" s="4">
        <v>41492</v>
      </c>
      <c r="H1573" s="1">
        <v>6600935</v>
      </c>
      <c r="I1573" s="1">
        <v>1626764</v>
      </c>
      <c r="J1573" s="1" t="s">
        <v>191</v>
      </c>
      <c r="K1573" s="1" t="s">
        <v>210</v>
      </c>
      <c r="L1573" s="1" t="str">
        <f t="shared" si="99"/>
        <v>Vallentunasjön Va2</v>
      </c>
      <c r="M1573" s="1" t="s">
        <v>177</v>
      </c>
      <c r="N1573" s="1">
        <v>0.5</v>
      </c>
      <c r="O1573" s="1">
        <v>0.5</v>
      </c>
      <c r="P1573" s="1">
        <v>0.5</v>
      </c>
      <c r="Q1573" s="1">
        <v>22.6</v>
      </c>
      <c r="R1573" s="1">
        <v>10.1</v>
      </c>
      <c r="S1573" s="1">
        <v>126</v>
      </c>
    </row>
    <row r="1574" spans="1:81" x14ac:dyDescent="0.3">
      <c r="A1574" s="1">
        <v>23621</v>
      </c>
      <c r="B1574" s="1" t="s">
        <v>208</v>
      </c>
      <c r="C1574" s="1" t="s">
        <v>209</v>
      </c>
      <c r="D1574" s="2">
        <f t="shared" si="97"/>
        <v>2013</v>
      </c>
      <c r="E1574" s="2">
        <f t="shared" si="98"/>
        <v>8</v>
      </c>
      <c r="F1574" s="3" t="s">
        <v>179</v>
      </c>
      <c r="G1574" s="4">
        <v>41492</v>
      </c>
      <c r="H1574" s="1">
        <v>6600935</v>
      </c>
      <c r="I1574" s="1">
        <v>1626764</v>
      </c>
      <c r="J1574" s="1" t="s">
        <v>191</v>
      </c>
      <c r="K1574" s="1" t="s">
        <v>210</v>
      </c>
      <c r="L1574" s="1" t="str">
        <f t="shared" si="99"/>
        <v>Vallentunasjön Va2</v>
      </c>
      <c r="M1574" s="1" t="s">
        <v>211</v>
      </c>
      <c r="N1574" s="1">
        <v>1</v>
      </c>
      <c r="O1574" s="1">
        <v>1</v>
      </c>
      <c r="Q1574" s="1">
        <v>22.6</v>
      </c>
      <c r="R1574" s="1">
        <v>10.1</v>
      </c>
      <c r="S1574" s="1">
        <v>126</v>
      </c>
    </row>
    <row r="1575" spans="1:81" x14ac:dyDescent="0.3">
      <c r="A1575" s="1">
        <v>23622</v>
      </c>
      <c r="B1575" s="1" t="s">
        <v>208</v>
      </c>
      <c r="C1575" s="1" t="s">
        <v>209</v>
      </c>
      <c r="D1575" s="2">
        <f t="shared" si="97"/>
        <v>2013</v>
      </c>
      <c r="E1575" s="2">
        <f t="shared" si="98"/>
        <v>8</v>
      </c>
      <c r="F1575" s="3" t="s">
        <v>179</v>
      </c>
      <c r="G1575" s="4">
        <v>41492</v>
      </c>
      <c r="H1575" s="1">
        <v>6600935</v>
      </c>
      <c r="I1575" s="1">
        <v>1626764</v>
      </c>
      <c r="J1575" s="1" t="s">
        <v>191</v>
      </c>
      <c r="K1575" s="1" t="s">
        <v>210</v>
      </c>
      <c r="L1575" s="1" t="str">
        <f t="shared" si="99"/>
        <v>Vallentunasjön Va2</v>
      </c>
      <c r="M1575" s="1" t="s">
        <v>212</v>
      </c>
      <c r="N1575" s="1">
        <v>2</v>
      </c>
      <c r="O1575" s="1">
        <v>2</v>
      </c>
      <c r="Q1575" s="1">
        <v>22.2</v>
      </c>
      <c r="R1575" s="1">
        <v>10.1</v>
      </c>
      <c r="S1575" s="1">
        <v>117</v>
      </c>
    </row>
    <row r="1576" spans="1:81" x14ac:dyDescent="0.3">
      <c r="A1576" s="1">
        <v>23623</v>
      </c>
      <c r="B1576" s="1" t="s">
        <v>208</v>
      </c>
      <c r="C1576" s="1" t="s">
        <v>209</v>
      </c>
      <c r="D1576" s="2">
        <f t="shared" si="97"/>
        <v>2013</v>
      </c>
      <c r="E1576" s="2">
        <f t="shared" si="98"/>
        <v>8</v>
      </c>
      <c r="F1576" s="3" t="s">
        <v>179</v>
      </c>
      <c r="G1576" s="4">
        <v>41492</v>
      </c>
      <c r="H1576" s="1">
        <v>6600935</v>
      </c>
      <c r="I1576" s="1">
        <v>1626764</v>
      </c>
      <c r="J1576" s="1" t="s">
        <v>191</v>
      </c>
      <c r="K1576" s="1" t="s">
        <v>210</v>
      </c>
      <c r="L1576" s="1" t="str">
        <f t="shared" si="99"/>
        <v>Vallentunasjön Va2</v>
      </c>
      <c r="M1576" s="1" t="s">
        <v>213</v>
      </c>
      <c r="N1576" s="1">
        <v>3</v>
      </c>
      <c r="O1576" s="1">
        <v>3</v>
      </c>
      <c r="Q1576" s="1">
        <v>22.2</v>
      </c>
      <c r="R1576" s="1">
        <v>10.199999999999999</v>
      </c>
      <c r="S1576" s="1">
        <v>116</v>
      </c>
    </row>
    <row r="1577" spans="1:81" x14ac:dyDescent="0.3">
      <c r="A1577" s="1">
        <v>23624</v>
      </c>
      <c r="B1577" s="1" t="s">
        <v>208</v>
      </c>
      <c r="C1577" s="1" t="s">
        <v>209</v>
      </c>
      <c r="D1577" s="2">
        <f t="shared" si="97"/>
        <v>2013</v>
      </c>
      <c r="E1577" s="2">
        <f t="shared" si="98"/>
        <v>8</v>
      </c>
      <c r="F1577" s="3" t="s">
        <v>179</v>
      </c>
      <c r="G1577" s="4">
        <v>41492</v>
      </c>
      <c r="H1577" s="1">
        <v>6600935</v>
      </c>
      <c r="I1577" s="1">
        <v>1626764</v>
      </c>
      <c r="J1577" s="1" t="s">
        <v>191</v>
      </c>
      <c r="K1577" s="1" t="s">
        <v>210</v>
      </c>
      <c r="L1577" s="1" t="str">
        <f t="shared" si="99"/>
        <v>Vallentunasjön Va2</v>
      </c>
      <c r="M1577" s="1" t="s">
        <v>214</v>
      </c>
      <c r="N1577" s="1">
        <v>4</v>
      </c>
      <c r="O1577" s="1">
        <v>4</v>
      </c>
      <c r="Q1577" s="1">
        <v>22</v>
      </c>
      <c r="R1577" s="1">
        <v>9.1999999999999993</v>
      </c>
      <c r="S1577" s="1">
        <v>105</v>
      </c>
    </row>
    <row r="1578" spans="1:81" x14ac:dyDescent="0.3">
      <c r="A1578" s="1">
        <v>23625</v>
      </c>
      <c r="B1578" s="1" t="s">
        <v>208</v>
      </c>
      <c r="C1578" s="1" t="s">
        <v>209</v>
      </c>
      <c r="D1578" s="2">
        <f t="shared" si="97"/>
        <v>2013</v>
      </c>
      <c r="E1578" s="2">
        <f t="shared" si="98"/>
        <v>8</v>
      </c>
      <c r="F1578" s="3" t="s">
        <v>179</v>
      </c>
      <c r="G1578" s="4">
        <v>41492</v>
      </c>
      <c r="H1578" s="1">
        <v>6600935</v>
      </c>
      <c r="I1578" s="1">
        <v>1626764</v>
      </c>
      <c r="J1578" s="1" t="s">
        <v>191</v>
      </c>
      <c r="K1578" s="1" t="s">
        <v>210</v>
      </c>
      <c r="L1578" s="1" t="str">
        <f t="shared" si="99"/>
        <v>Vallentunasjön Va2</v>
      </c>
      <c r="M1578" s="1" t="s">
        <v>184</v>
      </c>
      <c r="N1578" s="1">
        <v>4.3</v>
      </c>
      <c r="O1578" s="1">
        <v>4.3</v>
      </c>
      <c r="Q1578" s="1">
        <v>21.9</v>
      </c>
      <c r="R1578" s="1">
        <v>8.6999999999999993</v>
      </c>
      <c r="S1578" s="1">
        <v>99</v>
      </c>
    </row>
    <row r="1579" spans="1:81" x14ac:dyDescent="0.3">
      <c r="A1579" s="1">
        <v>23626</v>
      </c>
      <c r="B1579" s="1" t="s">
        <v>208</v>
      </c>
      <c r="C1579" s="1" t="s">
        <v>209</v>
      </c>
      <c r="D1579" s="2">
        <f t="shared" si="97"/>
        <v>2013</v>
      </c>
      <c r="E1579" s="2">
        <f t="shared" si="98"/>
        <v>8</v>
      </c>
      <c r="F1579" s="3" t="s">
        <v>179</v>
      </c>
      <c r="G1579" s="4">
        <v>41492</v>
      </c>
      <c r="J1579" s="1" t="s">
        <v>191</v>
      </c>
      <c r="K1579" s="1" t="s">
        <v>206</v>
      </c>
      <c r="L1579" s="1" t="str">
        <f t="shared" si="99"/>
        <v>Vallentunasjön Blandprov</v>
      </c>
      <c r="M1579" s="1" t="s">
        <v>177</v>
      </c>
      <c r="W1579" s="1">
        <v>5.8250000000000002</v>
      </c>
      <c r="Z1579" s="1">
        <v>10.09</v>
      </c>
      <c r="AB1579" s="1">
        <v>52.393439999999998</v>
      </c>
      <c r="AD1579" s="1">
        <v>0.86799999999999999</v>
      </c>
      <c r="AG1579" s="1">
        <v>38.571428571428797</v>
      </c>
      <c r="AK1579" s="1">
        <v>101.78</v>
      </c>
      <c r="AL1579" s="1">
        <v>1970</v>
      </c>
    </row>
    <row r="1580" spans="1:81" x14ac:dyDescent="0.3">
      <c r="D1580" s="2">
        <f t="shared" si="97"/>
        <v>2013</v>
      </c>
      <c r="E1580" s="2">
        <f t="shared" si="98"/>
        <v>8</v>
      </c>
      <c r="F1580" s="3" t="s">
        <v>179</v>
      </c>
      <c r="G1580" s="4">
        <v>41498</v>
      </c>
      <c r="H1580" s="1">
        <v>6606238</v>
      </c>
      <c r="I1580" s="1">
        <v>661152</v>
      </c>
      <c r="J1580" s="5" t="s">
        <v>176</v>
      </c>
      <c r="K1580" s="1"/>
      <c r="L1580" s="1" t="str">
        <f t="shared" si="99"/>
        <v xml:space="preserve">Oxundaån </v>
      </c>
      <c r="M1580" s="1" t="s">
        <v>177</v>
      </c>
      <c r="N1580" s="1">
        <v>0.5</v>
      </c>
      <c r="O1580" s="1">
        <v>0.5</v>
      </c>
      <c r="Q1580" s="1">
        <v>20.5</v>
      </c>
      <c r="T1580" s="1">
        <v>42.4</v>
      </c>
      <c r="V1580" s="1">
        <v>2.516</v>
      </c>
      <c r="W1580" s="1">
        <v>64</v>
      </c>
      <c r="X1580" s="1">
        <f>W1580 * (1/((10^((0.0901821 + (2729.92 /(273.15 + Q1580)))-AE1580)+1)))</f>
        <v>1.2332137063971076</v>
      </c>
      <c r="Y1580" s="1">
        <v>4.8000000000000001E-2</v>
      </c>
      <c r="Z1580" s="1">
        <v>70</v>
      </c>
      <c r="AA1580" s="1">
        <v>1.9</v>
      </c>
      <c r="AB1580" s="1">
        <v>5.5</v>
      </c>
      <c r="AD1580" s="1">
        <v>28</v>
      </c>
      <c r="AE1580" s="1">
        <v>7.68</v>
      </c>
      <c r="AG1580" s="1">
        <v>2.2000000000000002</v>
      </c>
      <c r="AI1580" s="1">
        <v>11.4</v>
      </c>
      <c r="AK1580" s="1">
        <v>90</v>
      </c>
      <c r="AL1580" s="1">
        <v>797</v>
      </c>
      <c r="AR1580" s="1">
        <v>48</v>
      </c>
      <c r="AT1580" s="1">
        <v>5.1612</v>
      </c>
      <c r="AU1580" s="1">
        <v>8.1190999999999995</v>
      </c>
      <c r="AV1580" s="1">
        <v>37.470649999999999</v>
      </c>
      <c r="AW1580" s="1">
        <v>25.463400000000004</v>
      </c>
      <c r="AX1580" s="1">
        <v>34.595999999999997</v>
      </c>
      <c r="AY1580" s="1">
        <v>0.78</v>
      </c>
      <c r="CC1580" s="1">
        <v>5.0000000000000001E-3</v>
      </c>
    </row>
    <row r="1581" spans="1:81" x14ac:dyDescent="0.3">
      <c r="D1581" s="2">
        <f t="shared" si="97"/>
        <v>2013</v>
      </c>
      <c r="E1581" s="2">
        <f t="shared" si="98"/>
        <v>8</v>
      </c>
      <c r="F1581" s="3" t="s">
        <v>179</v>
      </c>
      <c r="G1581" s="4">
        <v>41501</v>
      </c>
      <c r="J1581" s="1" t="s">
        <v>181</v>
      </c>
      <c r="K1581" s="1"/>
      <c r="L1581" s="1" t="str">
        <f t="shared" si="99"/>
        <v xml:space="preserve">Fysingen </v>
      </c>
      <c r="M1581" s="1" t="s">
        <v>177</v>
      </c>
      <c r="N1581" s="1">
        <v>0.5</v>
      </c>
      <c r="O1581" s="1">
        <v>0.5</v>
      </c>
      <c r="P1581" s="1">
        <v>1.2</v>
      </c>
      <c r="Q1581" s="1">
        <v>19.3</v>
      </c>
      <c r="V1581" s="1">
        <v>2.42</v>
      </c>
      <c r="W1581" s="1">
        <v>16</v>
      </c>
      <c r="X1581" s="1">
        <f>W1581 * (1/((10^((0.0901821 + (2729.92 /(273.15 + Q1581)))-AE1581)+1)))</f>
        <v>0.53044483955648725</v>
      </c>
      <c r="Y1581" s="1">
        <v>4.4999999999999998E-2</v>
      </c>
      <c r="Z1581" s="1">
        <v>4</v>
      </c>
      <c r="AA1581" s="1">
        <v>6.1</v>
      </c>
      <c r="AB1581" s="1">
        <v>13</v>
      </c>
      <c r="AC1581" s="1">
        <v>46.1</v>
      </c>
      <c r="AD1581" s="1">
        <v>1</v>
      </c>
      <c r="AE1581" s="1">
        <v>7.96</v>
      </c>
      <c r="AI1581" s="1">
        <v>10.3</v>
      </c>
      <c r="AK1581" s="1">
        <v>35</v>
      </c>
      <c r="AL1581" s="1">
        <v>675</v>
      </c>
      <c r="AR1581" s="1">
        <v>50.4</v>
      </c>
      <c r="AS1581" s="1">
        <v>0.16</v>
      </c>
      <c r="AT1581" s="1">
        <v>5.6303999999999998</v>
      </c>
      <c r="AU1581" s="1">
        <v>9.6920999999999999</v>
      </c>
      <c r="AV1581" s="1">
        <v>35.450000000000003</v>
      </c>
      <c r="AW1581" s="1">
        <v>24.316400000000002</v>
      </c>
      <c r="AX1581" s="1">
        <v>52.038149999999995</v>
      </c>
      <c r="AY1581" s="1">
        <v>0.88</v>
      </c>
      <c r="AZ1581" s="1">
        <v>170</v>
      </c>
    </row>
    <row r="1582" spans="1:81" x14ac:dyDescent="0.3">
      <c r="A1582" s="6">
        <v>23852</v>
      </c>
      <c r="B1582" s="5" t="s">
        <v>215</v>
      </c>
      <c r="C1582" s="5" t="s">
        <v>216</v>
      </c>
      <c r="D1582" s="2">
        <f t="shared" si="97"/>
        <v>2013</v>
      </c>
      <c r="E1582" s="2">
        <f t="shared" si="98"/>
        <v>8</v>
      </c>
      <c r="F1582" s="3" t="s">
        <v>179</v>
      </c>
      <c r="G1582" s="7">
        <v>41506</v>
      </c>
      <c r="H1582" s="6">
        <v>6599245</v>
      </c>
      <c r="I1582" s="6">
        <v>1622345</v>
      </c>
      <c r="J1582" s="5" t="s">
        <v>186</v>
      </c>
      <c r="K1582" s="1">
        <v>1</v>
      </c>
      <c r="L1582" s="1" t="str">
        <f t="shared" si="99"/>
        <v>Norrviken 1</v>
      </c>
      <c r="M1582" s="1" t="s">
        <v>177</v>
      </c>
      <c r="N1582" s="6">
        <v>0.5</v>
      </c>
      <c r="O1582" s="6">
        <v>0.5</v>
      </c>
      <c r="P1582" s="6">
        <v>1</v>
      </c>
      <c r="Q1582" s="6">
        <v>19.3</v>
      </c>
      <c r="R1582" s="6">
        <v>8.5</v>
      </c>
      <c r="S1582" s="6">
        <v>92</v>
      </c>
      <c r="V1582" s="6">
        <v>2.5501333333333402</v>
      </c>
      <c r="W1582" s="6">
        <v>4.97</v>
      </c>
      <c r="X1582" s="1">
        <f>W1582 * (1/((10^((0.0901821 + (2729.92 /(273.15 + Q1582)))-AE1582)+1)))</f>
        <v>0.39412714886854489</v>
      </c>
      <c r="Y1582" s="6">
        <v>5.6000000000000001E-2</v>
      </c>
      <c r="Z1582" s="6">
        <v>17.649999999999999</v>
      </c>
      <c r="AA1582" s="6">
        <v>9.6</v>
      </c>
      <c r="AB1582" s="6">
        <v>28.330956499999999</v>
      </c>
      <c r="AD1582" s="6">
        <v>0</v>
      </c>
      <c r="AE1582" s="6">
        <v>8.36</v>
      </c>
      <c r="AK1582" s="6">
        <v>86.96</v>
      </c>
      <c r="AL1582" s="6">
        <v>1000.686</v>
      </c>
      <c r="AM1582" s="6"/>
      <c r="AN1582" s="6"/>
      <c r="AO1582" s="6"/>
      <c r="AP1582" s="6"/>
      <c r="AQ1582" s="6"/>
    </row>
    <row r="1583" spans="1:81" x14ac:dyDescent="0.3">
      <c r="A1583" s="6">
        <v>23853</v>
      </c>
      <c r="B1583" s="5" t="s">
        <v>215</v>
      </c>
      <c r="C1583" s="5" t="s">
        <v>216</v>
      </c>
      <c r="D1583" s="2">
        <f t="shared" si="97"/>
        <v>2013</v>
      </c>
      <c r="E1583" s="2">
        <f t="shared" si="98"/>
        <v>8</v>
      </c>
      <c r="F1583" s="3" t="s">
        <v>179</v>
      </c>
      <c r="G1583" s="7">
        <v>41506</v>
      </c>
      <c r="H1583" s="6">
        <v>6599245</v>
      </c>
      <c r="I1583" s="6">
        <v>1622345</v>
      </c>
      <c r="J1583" s="5" t="s">
        <v>186</v>
      </c>
      <c r="K1583" s="1">
        <v>1</v>
      </c>
      <c r="L1583" s="1" t="str">
        <f t="shared" si="99"/>
        <v>Norrviken 1</v>
      </c>
      <c r="M1583" s="5" t="s">
        <v>211</v>
      </c>
      <c r="N1583" s="6">
        <v>1</v>
      </c>
      <c r="O1583" s="6">
        <v>1</v>
      </c>
      <c r="Q1583" s="6">
        <v>19.2</v>
      </c>
      <c r="R1583" s="6">
        <v>8.3000000000000007</v>
      </c>
      <c r="S1583" s="6">
        <v>90</v>
      </c>
    </row>
    <row r="1584" spans="1:81" x14ac:dyDescent="0.3">
      <c r="A1584" s="6">
        <v>23854</v>
      </c>
      <c r="B1584" s="5" t="s">
        <v>215</v>
      </c>
      <c r="C1584" s="5" t="s">
        <v>216</v>
      </c>
      <c r="D1584" s="2">
        <f t="shared" si="97"/>
        <v>2013</v>
      </c>
      <c r="E1584" s="2">
        <f t="shared" si="98"/>
        <v>8</v>
      </c>
      <c r="F1584" s="3" t="s">
        <v>179</v>
      </c>
      <c r="G1584" s="7">
        <v>41506</v>
      </c>
      <c r="H1584" s="6">
        <v>6599245</v>
      </c>
      <c r="I1584" s="6">
        <v>1622345</v>
      </c>
      <c r="J1584" s="5" t="s">
        <v>186</v>
      </c>
      <c r="K1584" s="1">
        <v>1</v>
      </c>
      <c r="L1584" s="1" t="str">
        <f t="shared" si="99"/>
        <v>Norrviken 1</v>
      </c>
      <c r="M1584" s="1" t="s">
        <v>184</v>
      </c>
      <c r="N1584" s="6">
        <v>2</v>
      </c>
      <c r="O1584" s="6">
        <v>2</v>
      </c>
      <c r="Q1584" s="6">
        <v>19.2</v>
      </c>
      <c r="R1584" s="6">
        <v>8.3000000000000007</v>
      </c>
      <c r="S1584" s="6">
        <v>89</v>
      </c>
      <c r="V1584" s="6">
        <v>2.53066666666667</v>
      </c>
      <c r="W1584" s="6">
        <v>3.2759999999999998</v>
      </c>
      <c r="X1584" s="1">
        <f>W1584 * (1/((10^((0.0901821 + (2729.92 /(273.15 + Q1584)))-AE1584)+1)))</f>
        <v>0.21750872218416603</v>
      </c>
      <c r="Y1584" s="6">
        <v>6.0999999999999999E-2</v>
      </c>
      <c r="Z1584" s="6">
        <v>22.77</v>
      </c>
      <c r="AA1584" s="6">
        <v>12.5</v>
      </c>
      <c r="AD1584" s="6">
        <v>0</v>
      </c>
      <c r="AE1584" s="6">
        <v>8.2799999999999994</v>
      </c>
      <c r="AK1584" s="6">
        <v>104.98</v>
      </c>
      <c r="AL1584" s="6">
        <v>1056.519</v>
      </c>
      <c r="AM1584" s="6"/>
      <c r="AN1584" s="6"/>
      <c r="AO1584" s="6"/>
      <c r="AP1584" s="6"/>
      <c r="AQ1584" s="6"/>
    </row>
    <row r="1585" spans="1:43" x14ac:dyDescent="0.3">
      <c r="A1585" s="6">
        <v>23855</v>
      </c>
      <c r="B1585" s="5" t="s">
        <v>215</v>
      </c>
      <c r="C1585" s="5" t="s">
        <v>216</v>
      </c>
      <c r="D1585" s="2">
        <f t="shared" si="97"/>
        <v>2013</v>
      </c>
      <c r="E1585" s="2">
        <f t="shared" si="98"/>
        <v>8</v>
      </c>
      <c r="F1585" s="3" t="s">
        <v>179</v>
      </c>
      <c r="G1585" s="7">
        <v>41506</v>
      </c>
      <c r="H1585" s="6">
        <v>6596620</v>
      </c>
      <c r="I1585" s="6">
        <v>1620350</v>
      </c>
      <c r="J1585" s="5" t="s">
        <v>186</v>
      </c>
      <c r="K1585" s="1">
        <v>2</v>
      </c>
      <c r="L1585" s="1" t="str">
        <f t="shared" si="99"/>
        <v>Norrviken 2</v>
      </c>
      <c r="M1585" s="1" t="s">
        <v>177</v>
      </c>
      <c r="N1585" s="6">
        <v>0.5</v>
      </c>
      <c r="O1585" s="6">
        <v>0.5</v>
      </c>
      <c r="P1585" s="6">
        <v>1.4</v>
      </c>
      <c r="Q1585" s="6">
        <v>19.600000000000001</v>
      </c>
      <c r="R1585" s="6">
        <v>8.8000000000000007</v>
      </c>
      <c r="S1585" s="6">
        <v>96</v>
      </c>
      <c r="V1585" s="6">
        <v>2.6280000000000001</v>
      </c>
      <c r="W1585" s="6">
        <v>5.2670000000000003</v>
      </c>
      <c r="X1585" s="1">
        <f>W1585 * (1/((10^((0.0901821 + (2729.92 /(273.15 + Q1585)))-AE1585)+1)))</f>
        <v>0.50418712577008895</v>
      </c>
      <c r="Y1585" s="6">
        <v>5.5E-2</v>
      </c>
      <c r="Z1585" s="6">
        <v>10.63</v>
      </c>
      <c r="AA1585" s="6">
        <v>5.5</v>
      </c>
      <c r="AB1585" s="6">
        <v>24.20514</v>
      </c>
      <c r="AD1585" s="6">
        <v>0</v>
      </c>
      <c r="AE1585" s="6">
        <v>8.44</v>
      </c>
      <c r="AK1585" s="6">
        <v>57.85</v>
      </c>
      <c r="AL1585" s="6">
        <v>817.37400000000002</v>
      </c>
      <c r="AM1585" s="6"/>
      <c r="AN1585" s="6"/>
      <c r="AO1585" s="6"/>
      <c r="AP1585" s="6"/>
      <c r="AQ1585" s="6"/>
    </row>
    <row r="1586" spans="1:43" x14ac:dyDescent="0.3">
      <c r="A1586" s="6">
        <v>23856</v>
      </c>
      <c r="B1586" s="5" t="s">
        <v>215</v>
      </c>
      <c r="C1586" s="5" t="s">
        <v>216</v>
      </c>
      <c r="D1586" s="2">
        <f t="shared" si="97"/>
        <v>2013</v>
      </c>
      <c r="E1586" s="2">
        <f t="shared" si="98"/>
        <v>8</v>
      </c>
      <c r="F1586" s="3" t="s">
        <v>179</v>
      </c>
      <c r="G1586" s="7">
        <v>41506</v>
      </c>
      <c r="H1586" s="6">
        <v>6596620</v>
      </c>
      <c r="I1586" s="6">
        <v>1620350</v>
      </c>
      <c r="J1586" s="5" t="s">
        <v>186</v>
      </c>
      <c r="K1586" s="1">
        <v>2</v>
      </c>
      <c r="L1586" s="1" t="str">
        <f t="shared" si="99"/>
        <v>Norrviken 2</v>
      </c>
      <c r="M1586" s="5" t="s">
        <v>211</v>
      </c>
      <c r="N1586" s="6">
        <v>1</v>
      </c>
      <c r="O1586" s="6">
        <v>1</v>
      </c>
      <c r="Q1586" s="6">
        <v>19.600000000000001</v>
      </c>
      <c r="R1586" s="6">
        <v>8.8000000000000007</v>
      </c>
      <c r="S1586" s="6">
        <v>95</v>
      </c>
    </row>
    <row r="1587" spans="1:43" x14ac:dyDescent="0.3">
      <c r="A1587" s="6">
        <v>23857</v>
      </c>
      <c r="B1587" s="5" t="s">
        <v>215</v>
      </c>
      <c r="C1587" s="5" t="s">
        <v>216</v>
      </c>
      <c r="D1587" s="2">
        <f t="shared" si="97"/>
        <v>2013</v>
      </c>
      <c r="E1587" s="2">
        <f t="shared" si="98"/>
        <v>8</v>
      </c>
      <c r="F1587" s="3" t="s">
        <v>179</v>
      </c>
      <c r="G1587" s="7">
        <v>41506</v>
      </c>
      <c r="H1587" s="6">
        <v>6596620</v>
      </c>
      <c r="I1587" s="6">
        <v>1620350</v>
      </c>
      <c r="J1587" s="5" t="s">
        <v>186</v>
      </c>
      <c r="K1587" s="1">
        <v>2</v>
      </c>
      <c r="L1587" s="1" t="str">
        <f t="shared" si="99"/>
        <v>Norrviken 2</v>
      </c>
      <c r="M1587" s="5" t="s">
        <v>212</v>
      </c>
      <c r="N1587" s="6">
        <v>2</v>
      </c>
      <c r="O1587" s="6">
        <v>2</v>
      </c>
      <c r="Q1587" s="6">
        <v>19.600000000000001</v>
      </c>
      <c r="R1587" s="6">
        <v>8.6999999999999993</v>
      </c>
      <c r="S1587" s="6">
        <v>94</v>
      </c>
    </row>
    <row r="1588" spans="1:43" x14ac:dyDescent="0.3">
      <c r="A1588" s="6">
        <v>23858</v>
      </c>
      <c r="B1588" s="5" t="s">
        <v>215</v>
      </c>
      <c r="C1588" s="5" t="s">
        <v>216</v>
      </c>
      <c r="D1588" s="2">
        <f t="shared" si="97"/>
        <v>2013</v>
      </c>
      <c r="E1588" s="2">
        <f t="shared" si="98"/>
        <v>8</v>
      </c>
      <c r="F1588" s="3" t="s">
        <v>179</v>
      </c>
      <c r="G1588" s="7">
        <v>41506</v>
      </c>
      <c r="H1588" s="6">
        <v>6596620</v>
      </c>
      <c r="I1588" s="6">
        <v>1620350</v>
      </c>
      <c r="J1588" s="5" t="s">
        <v>186</v>
      </c>
      <c r="K1588" s="1">
        <v>2</v>
      </c>
      <c r="L1588" s="1" t="str">
        <f t="shared" si="99"/>
        <v>Norrviken 2</v>
      </c>
      <c r="M1588" s="5" t="s">
        <v>213</v>
      </c>
      <c r="N1588" s="6">
        <v>3</v>
      </c>
      <c r="O1588" s="6">
        <v>3</v>
      </c>
      <c r="Q1588" s="6">
        <v>19.5</v>
      </c>
      <c r="R1588" s="6">
        <v>8.4</v>
      </c>
      <c r="S1588" s="6">
        <v>92</v>
      </c>
    </row>
    <row r="1589" spans="1:43" x14ac:dyDescent="0.3">
      <c r="A1589" s="6">
        <v>23859</v>
      </c>
      <c r="B1589" s="5" t="s">
        <v>215</v>
      </c>
      <c r="C1589" s="5" t="s">
        <v>216</v>
      </c>
      <c r="D1589" s="2">
        <f t="shared" si="97"/>
        <v>2013</v>
      </c>
      <c r="E1589" s="2">
        <f t="shared" si="98"/>
        <v>8</v>
      </c>
      <c r="F1589" s="3" t="s">
        <v>179</v>
      </c>
      <c r="G1589" s="7">
        <v>41506</v>
      </c>
      <c r="H1589" s="6">
        <v>6596620</v>
      </c>
      <c r="I1589" s="6">
        <v>1620350</v>
      </c>
      <c r="J1589" s="5" t="s">
        <v>186</v>
      </c>
      <c r="K1589" s="1">
        <v>2</v>
      </c>
      <c r="L1589" s="1" t="str">
        <f t="shared" si="99"/>
        <v>Norrviken 2</v>
      </c>
      <c r="M1589" s="5" t="s">
        <v>214</v>
      </c>
      <c r="N1589" s="6">
        <v>4</v>
      </c>
      <c r="O1589" s="6">
        <v>4</v>
      </c>
      <c r="Q1589" s="6">
        <v>19.5</v>
      </c>
      <c r="R1589" s="6">
        <v>8.1999999999999993</v>
      </c>
      <c r="S1589" s="6">
        <v>89</v>
      </c>
    </row>
    <row r="1590" spans="1:43" x14ac:dyDescent="0.3">
      <c r="A1590" s="6">
        <v>23860</v>
      </c>
      <c r="B1590" s="5" t="s">
        <v>215</v>
      </c>
      <c r="C1590" s="5" t="s">
        <v>216</v>
      </c>
      <c r="D1590" s="2">
        <f t="shared" si="97"/>
        <v>2013</v>
      </c>
      <c r="E1590" s="2">
        <f t="shared" si="98"/>
        <v>8</v>
      </c>
      <c r="F1590" s="3" t="s">
        <v>179</v>
      </c>
      <c r="G1590" s="7">
        <v>41506</v>
      </c>
      <c r="H1590" s="6">
        <v>6596620</v>
      </c>
      <c r="I1590" s="6">
        <v>1620350</v>
      </c>
      <c r="J1590" s="5" t="s">
        <v>186</v>
      </c>
      <c r="K1590" s="1">
        <v>2</v>
      </c>
      <c r="L1590" s="1" t="str">
        <f t="shared" si="99"/>
        <v>Norrviken 2</v>
      </c>
      <c r="M1590" s="5" t="s">
        <v>217</v>
      </c>
      <c r="N1590" s="6">
        <v>5</v>
      </c>
      <c r="O1590" s="6">
        <v>5</v>
      </c>
      <c r="Q1590" s="6">
        <v>19.5</v>
      </c>
      <c r="R1590" s="6">
        <v>8.1</v>
      </c>
      <c r="S1590" s="6">
        <v>88</v>
      </c>
    </row>
    <row r="1591" spans="1:43" x14ac:dyDescent="0.3">
      <c r="A1591" s="6">
        <v>23861</v>
      </c>
      <c r="B1591" s="5" t="s">
        <v>215</v>
      </c>
      <c r="C1591" s="5" t="s">
        <v>216</v>
      </c>
      <c r="D1591" s="2">
        <f t="shared" si="97"/>
        <v>2013</v>
      </c>
      <c r="E1591" s="2">
        <f t="shared" si="98"/>
        <v>8</v>
      </c>
      <c r="F1591" s="3" t="s">
        <v>179</v>
      </c>
      <c r="G1591" s="7">
        <v>41506</v>
      </c>
      <c r="H1591" s="6">
        <v>6596620</v>
      </c>
      <c r="I1591" s="6">
        <v>1620350</v>
      </c>
      <c r="J1591" s="5" t="s">
        <v>186</v>
      </c>
      <c r="K1591" s="1">
        <v>2</v>
      </c>
      <c r="L1591" s="1" t="str">
        <f t="shared" si="99"/>
        <v>Norrviken 2</v>
      </c>
      <c r="M1591" s="5" t="s">
        <v>218</v>
      </c>
      <c r="N1591" s="6">
        <v>6</v>
      </c>
      <c r="O1591" s="6">
        <v>6</v>
      </c>
      <c r="Q1591" s="6">
        <v>19.5</v>
      </c>
      <c r="R1591" s="6">
        <v>7.3</v>
      </c>
      <c r="S1591" s="6">
        <v>79</v>
      </c>
    </row>
    <row r="1592" spans="1:43" x14ac:dyDescent="0.3">
      <c r="A1592" s="6">
        <v>23862</v>
      </c>
      <c r="B1592" s="5" t="s">
        <v>215</v>
      </c>
      <c r="C1592" s="5" t="s">
        <v>216</v>
      </c>
      <c r="D1592" s="2">
        <f t="shared" si="97"/>
        <v>2013</v>
      </c>
      <c r="E1592" s="2">
        <f t="shared" si="98"/>
        <v>8</v>
      </c>
      <c r="F1592" s="3" t="s">
        <v>179</v>
      </c>
      <c r="G1592" s="7">
        <v>41506</v>
      </c>
      <c r="H1592" s="6">
        <v>6596620</v>
      </c>
      <c r="I1592" s="6">
        <v>1620350</v>
      </c>
      <c r="J1592" s="5" t="s">
        <v>186</v>
      </c>
      <c r="K1592" s="1">
        <v>2</v>
      </c>
      <c r="L1592" s="1" t="str">
        <f t="shared" si="99"/>
        <v>Norrviken 2</v>
      </c>
      <c r="M1592" s="5" t="s">
        <v>219</v>
      </c>
      <c r="N1592" s="6">
        <v>7</v>
      </c>
      <c r="O1592" s="6">
        <v>7</v>
      </c>
      <c r="Q1592" s="6">
        <v>18.7</v>
      </c>
      <c r="R1592" s="6">
        <v>1.4</v>
      </c>
      <c r="S1592" s="6">
        <v>15</v>
      </c>
    </row>
    <row r="1593" spans="1:43" x14ac:dyDescent="0.3">
      <c r="A1593" s="6">
        <v>23863</v>
      </c>
      <c r="B1593" s="5" t="s">
        <v>215</v>
      </c>
      <c r="C1593" s="5" t="s">
        <v>216</v>
      </c>
      <c r="D1593" s="2">
        <f t="shared" si="97"/>
        <v>2013</v>
      </c>
      <c r="E1593" s="2">
        <f t="shared" si="98"/>
        <v>8</v>
      </c>
      <c r="F1593" s="3" t="s">
        <v>179</v>
      </c>
      <c r="G1593" s="7">
        <v>41506</v>
      </c>
      <c r="H1593" s="6">
        <v>6596620</v>
      </c>
      <c r="I1593" s="6">
        <v>1620350</v>
      </c>
      <c r="J1593" s="5" t="s">
        <v>186</v>
      </c>
      <c r="K1593" s="1">
        <v>2</v>
      </c>
      <c r="L1593" s="1" t="str">
        <f t="shared" si="99"/>
        <v>Norrviken 2</v>
      </c>
      <c r="M1593" s="5" t="s">
        <v>220</v>
      </c>
      <c r="N1593" s="6">
        <v>8</v>
      </c>
      <c r="O1593" s="6">
        <v>8</v>
      </c>
      <c r="Q1593" s="6">
        <v>16.600000000000001</v>
      </c>
      <c r="R1593" s="6">
        <v>0.1</v>
      </c>
      <c r="S1593" s="6">
        <v>1</v>
      </c>
    </row>
    <row r="1594" spans="1:43" x14ac:dyDescent="0.3">
      <c r="A1594" s="6">
        <v>23864</v>
      </c>
      <c r="B1594" s="5" t="s">
        <v>215</v>
      </c>
      <c r="C1594" s="5" t="s">
        <v>216</v>
      </c>
      <c r="D1594" s="2">
        <f t="shared" si="97"/>
        <v>2013</v>
      </c>
      <c r="E1594" s="2">
        <f t="shared" si="98"/>
        <v>8</v>
      </c>
      <c r="F1594" s="3" t="s">
        <v>179</v>
      </c>
      <c r="G1594" s="7">
        <v>41506</v>
      </c>
      <c r="H1594" s="6">
        <v>6596620</v>
      </c>
      <c r="I1594" s="6">
        <v>1620350</v>
      </c>
      <c r="J1594" s="5" t="s">
        <v>186</v>
      </c>
      <c r="K1594" s="1">
        <v>2</v>
      </c>
      <c r="L1594" s="1" t="str">
        <f t="shared" si="99"/>
        <v>Norrviken 2</v>
      </c>
      <c r="M1594" s="1" t="s">
        <v>184</v>
      </c>
      <c r="N1594" s="6">
        <v>8.9</v>
      </c>
      <c r="O1594" s="6">
        <v>8.9</v>
      </c>
      <c r="Q1594" s="6">
        <v>15.4</v>
      </c>
      <c r="R1594" s="6">
        <v>0.1</v>
      </c>
      <c r="S1594" s="6">
        <v>1</v>
      </c>
      <c r="V1594" s="6">
        <v>2.7837333333333403</v>
      </c>
      <c r="W1594" s="6">
        <v>139.06100000000001</v>
      </c>
      <c r="X1594" s="1">
        <f>W1594 * (1/((10^((0.0901821 + (2729.92 /(273.15 + Q1594)))-AE1594)+1)))</f>
        <v>1.4709019778289893</v>
      </c>
      <c r="Y1594" s="6">
        <v>6.0999999999999999E-2</v>
      </c>
      <c r="Z1594" s="6">
        <v>117.65</v>
      </c>
      <c r="AA1594" s="6">
        <v>10.199999999999999</v>
      </c>
      <c r="AD1594" s="6">
        <v>0</v>
      </c>
      <c r="AE1594" s="6">
        <v>7.58</v>
      </c>
      <c r="AK1594" s="6">
        <v>168.29</v>
      </c>
      <c r="AL1594" s="6">
        <v>889.553</v>
      </c>
      <c r="AM1594" s="6"/>
      <c r="AN1594" s="6"/>
      <c r="AO1594" s="6"/>
      <c r="AP1594" s="6"/>
      <c r="AQ1594" s="6"/>
    </row>
    <row r="1595" spans="1:43" x14ac:dyDescent="0.3">
      <c r="A1595" s="6">
        <v>23865</v>
      </c>
      <c r="B1595" s="5" t="s">
        <v>215</v>
      </c>
      <c r="C1595" s="5" t="s">
        <v>216</v>
      </c>
      <c r="D1595" s="2">
        <f t="shared" si="97"/>
        <v>2013</v>
      </c>
      <c r="E1595" s="2">
        <f t="shared" si="98"/>
        <v>8</v>
      </c>
      <c r="F1595" s="3" t="s">
        <v>179</v>
      </c>
      <c r="G1595" s="7">
        <v>41506</v>
      </c>
      <c r="H1595" s="6">
        <v>6594885</v>
      </c>
      <c r="I1595" s="6">
        <v>1620750</v>
      </c>
      <c r="J1595" s="5" t="s">
        <v>186</v>
      </c>
      <c r="K1595" s="1">
        <v>3</v>
      </c>
      <c r="L1595" s="1" t="str">
        <f t="shared" si="99"/>
        <v>Norrviken 3</v>
      </c>
      <c r="M1595" s="1" t="s">
        <v>177</v>
      </c>
      <c r="N1595" s="6">
        <v>0.5</v>
      </c>
      <c r="O1595" s="6">
        <v>0.5</v>
      </c>
      <c r="P1595" s="6">
        <v>1.9</v>
      </c>
      <c r="Q1595" s="6">
        <v>19.5</v>
      </c>
      <c r="R1595" s="6">
        <v>8.3000000000000007</v>
      </c>
      <c r="S1595" s="6">
        <v>90</v>
      </c>
      <c r="V1595" s="6">
        <v>2.6280000000000001</v>
      </c>
      <c r="W1595" s="6">
        <v>6.0190000000000001</v>
      </c>
      <c r="X1595" s="1">
        <f>W1595 * (1/((10^((0.0901821 + (2729.92 /(273.15 + Q1595)))-AE1595)+1)))</f>
        <v>0.44438243196359273</v>
      </c>
      <c r="Y1595" s="6">
        <v>0.05</v>
      </c>
      <c r="Z1595" s="6">
        <v>13.35</v>
      </c>
      <c r="AA1595" s="6">
        <v>3.4</v>
      </c>
      <c r="AB1595" s="6">
        <v>16.484045999999999</v>
      </c>
      <c r="AD1595" s="6">
        <v>0</v>
      </c>
      <c r="AE1595" s="6">
        <v>8.32</v>
      </c>
      <c r="AK1595" s="6">
        <v>47.68</v>
      </c>
      <c r="AL1595" s="6">
        <v>770.88800000000003</v>
      </c>
      <c r="AM1595" s="6"/>
      <c r="AN1595" s="6"/>
      <c r="AO1595" s="6"/>
      <c r="AP1595" s="6"/>
      <c r="AQ1595" s="6"/>
    </row>
    <row r="1596" spans="1:43" x14ac:dyDescent="0.3">
      <c r="A1596" s="6">
        <v>23866</v>
      </c>
      <c r="B1596" s="5" t="s">
        <v>215</v>
      </c>
      <c r="C1596" s="5" t="s">
        <v>216</v>
      </c>
      <c r="D1596" s="2">
        <f t="shared" si="97"/>
        <v>2013</v>
      </c>
      <c r="E1596" s="2">
        <f t="shared" si="98"/>
        <v>8</v>
      </c>
      <c r="F1596" s="3" t="s">
        <v>179</v>
      </c>
      <c r="G1596" s="7">
        <v>41506</v>
      </c>
      <c r="H1596" s="6">
        <v>6594885</v>
      </c>
      <c r="I1596" s="6">
        <v>1620750</v>
      </c>
      <c r="J1596" s="5" t="s">
        <v>186</v>
      </c>
      <c r="K1596" s="1">
        <v>3</v>
      </c>
      <c r="L1596" s="1" t="str">
        <f t="shared" si="99"/>
        <v>Norrviken 3</v>
      </c>
      <c r="M1596" s="5" t="s">
        <v>211</v>
      </c>
      <c r="N1596" s="6">
        <v>1</v>
      </c>
      <c r="O1596" s="6">
        <v>1</v>
      </c>
      <c r="Q1596" s="6">
        <v>19.5</v>
      </c>
      <c r="R1596" s="6">
        <v>8.1</v>
      </c>
      <c r="S1596" s="6">
        <v>88</v>
      </c>
    </row>
    <row r="1597" spans="1:43" x14ac:dyDescent="0.3">
      <c r="A1597" s="6">
        <v>23867</v>
      </c>
      <c r="B1597" s="5" t="s">
        <v>215</v>
      </c>
      <c r="C1597" s="5" t="s">
        <v>216</v>
      </c>
      <c r="D1597" s="2">
        <f t="shared" si="97"/>
        <v>2013</v>
      </c>
      <c r="E1597" s="2">
        <f t="shared" si="98"/>
        <v>8</v>
      </c>
      <c r="F1597" s="3" t="s">
        <v>179</v>
      </c>
      <c r="G1597" s="7">
        <v>41506</v>
      </c>
      <c r="H1597" s="6">
        <v>6594885</v>
      </c>
      <c r="I1597" s="6">
        <v>1620750</v>
      </c>
      <c r="J1597" s="5" t="s">
        <v>186</v>
      </c>
      <c r="K1597" s="1">
        <v>3</v>
      </c>
      <c r="L1597" s="1" t="str">
        <f t="shared" si="99"/>
        <v>Norrviken 3</v>
      </c>
      <c r="M1597" s="5" t="s">
        <v>212</v>
      </c>
      <c r="N1597" s="6">
        <v>2</v>
      </c>
      <c r="O1597" s="6">
        <v>2</v>
      </c>
      <c r="Q1597" s="6">
        <v>19.5</v>
      </c>
      <c r="R1597" s="6">
        <v>8</v>
      </c>
      <c r="S1597" s="6">
        <v>87</v>
      </c>
    </row>
    <row r="1598" spans="1:43" x14ac:dyDescent="0.3">
      <c r="A1598" s="6">
        <v>23868</v>
      </c>
      <c r="B1598" s="5" t="s">
        <v>215</v>
      </c>
      <c r="C1598" s="5" t="s">
        <v>216</v>
      </c>
      <c r="D1598" s="2">
        <f t="shared" si="97"/>
        <v>2013</v>
      </c>
      <c r="E1598" s="2">
        <f t="shared" si="98"/>
        <v>8</v>
      </c>
      <c r="F1598" s="3" t="s">
        <v>179</v>
      </c>
      <c r="G1598" s="7">
        <v>41506</v>
      </c>
      <c r="H1598" s="6">
        <v>6594885</v>
      </c>
      <c r="I1598" s="6">
        <v>1620750</v>
      </c>
      <c r="J1598" s="5" t="s">
        <v>186</v>
      </c>
      <c r="K1598" s="1">
        <v>3</v>
      </c>
      <c r="L1598" s="1" t="str">
        <f t="shared" si="99"/>
        <v>Norrviken 3</v>
      </c>
      <c r="M1598" s="5" t="s">
        <v>213</v>
      </c>
      <c r="N1598" s="6">
        <v>3</v>
      </c>
      <c r="O1598" s="6">
        <v>3</v>
      </c>
      <c r="Q1598" s="6">
        <v>19.5</v>
      </c>
      <c r="R1598" s="6">
        <v>7.9</v>
      </c>
      <c r="S1598" s="6">
        <v>85</v>
      </c>
    </row>
    <row r="1599" spans="1:43" x14ac:dyDescent="0.3">
      <c r="A1599" s="6">
        <v>23869</v>
      </c>
      <c r="B1599" s="5" t="s">
        <v>215</v>
      </c>
      <c r="C1599" s="5" t="s">
        <v>216</v>
      </c>
      <c r="D1599" s="2">
        <f t="shared" si="97"/>
        <v>2013</v>
      </c>
      <c r="E1599" s="2">
        <f t="shared" si="98"/>
        <v>8</v>
      </c>
      <c r="F1599" s="3" t="s">
        <v>179</v>
      </c>
      <c r="G1599" s="7">
        <v>41506</v>
      </c>
      <c r="H1599" s="6">
        <v>6594885</v>
      </c>
      <c r="I1599" s="6">
        <v>1620750</v>
      </c>
      <c r="J1599" s="5" t="s">
        <v>186</v>
      </c>
      <c r="K1599" s="1">
        <v>3</v>
      </c>
      <c r="L1599" s="1" t="str">
        <f t="shared" si="99"/>
        <v>Norrviken 3</v>
      </c>
      <c r="M1599" s="5" t="s">
        <v>214</v>
      </c>
      <c r="N1599" s="6">
        <v>4</v>
      </c>
      <c r="O1599" s="6">
        <v>4</v>
      </c>
      <c r="Q1599" s="6">
        <v>19.5</v>
      </c>
      <c r="R1599" s="6">
        <v>7.8</v>
      </c>
      <c r="S1599" s="6">
        <v>84</v>
      </c>
    </row>
    <row r="1600" spans="1:43" x14ac:dyDescent="0.3">
      <c r="A1600" s="6">
        <v>23870</v>
      </c>
      <c r="B1600" s="5" t="s">
        <v>215</v>
      </c>
      <c r="C1600" s="5" t="s">
        <v>216</v>
      </c>
      <c r="D1600" s="2">
        <f t="shared" si="97"/>
        <v>2013</v>
      </c>
      <c r="E1600" s="2">
        <f t="shared" si="98"/>
        <v>8</v>
      </c>
      <c r="F1600" s="3" t="s">
        <v>179</v>
      </c>
      <c r="G1600" s="7">
        <v>41506</v>
      </c>
      <c r="H1600" s="6">
        <v>6594885</v>
      </c>
      <c r="I1600" s="6">
        <v>1620750</v>
      </c>
      <c r="J1600" s="5" t="s">
        <v>186</v>
      </c>
      <c r="K1600" s="1">
        <v>3</v>
      </c>
      <c r="L1600" s="1" t="str">
        <f t="shared" si="99"/>
        <v>Norrviken 3</v>
      </c>
      <c r="M1600" s="5" t="s">
        <v>217</v>
      </c>
      <c r="N1600" s="6">
        <v>5</v>
      </c>
      <c r="O1600" s="6">
        <v>5</v>
      </c>
      <c r="Q1600" s="6">
        <v>19.399999999999999</v>
      </c>
      <c r="R1600" s="6">
        <v>7.8</v>
      </c>
      <c r="S1600" s="6">
        <v>84</v>
      </c>
    </row>
    <row r="1601" spans="1:43" x14ac:dyDescent="0.3">
      <c r="A1601" s="6">
        <v>23871</v>
      </c>
      <c r="B1601" s="5" t="s">
        <v>215</v>
      </c>
      <c r="C1601" s="5" t="s">
        <v>216</v>
      </c>
      <c r="D1601" s="2">
        <f t="shared" si="97"/>
        <v>2013</v>
      </c>
      <c r="E1601" s="2">
        <f t="shared" si="98"/>
        <v>8</v>
      </c>
      <c r="F1601" s="3" t="s">
        <v>179</v>
      </c>
      <c r="G1601" s="7">
        <v>41506</v>
      </c>
      <c r="H1601" s="6">
        <v>6594885</v>
      </c>
      <c r="I1601" s="6">
        <v>1620750</v>
      </c>
      <c r="J1601" s="5" t="s">
        <v>186</v>
      </c>
      <c r="K1601" s="1">
        <v>3</v>
      </c>
      <c r="L1601" s="1" t="str">
        <f t="shared" si="99"/>
        <v>Norrviken 3</v>
      </c>
      <c r="M1601" s="5" t="s">
        <v>218</v>
      </c>
      <c r="N1601" s="6">
        <v>6</v>
      </c>
      <c r="O1601" s="6">
        <v>6</v>
      </c>
      <c r="Q1601" s="6">
        <v>19.399999999999999</v>
      </c>
      <c r="R1601" s="6">
        <v>7.6</v>
      </c>
      <c r="S1601" s="6">
        <v>82</v>
      </c>
    </row>
    <row r="1602" spans="1:43" x14ac:dyDescent="0.3">
      <c r="A1602" s="6">
        <v>23872</v>
      </c>
      <c r="B1602" s="5" t="s">
        <v>215</v>
      </c>
      <c r="C1602" s="5" t="s">
        <v>216</v>
      </c>
      <c r="D1602" s="2">
        <f t="shared" ref="D1602:D1665" si="100">YEAR(G1602)</f>
        <v>2013</v>
      </c>
      <c r="E1602" s="2">
        <f t="shared" ref="E1602:E1665" si="101">MONTH(G1602)</f>
        <v>8</v>
      </c>
      <c r="F1602" s="3" t="s">
        <v>179</v>
      </c>
      <c r="G1602" s="7">
        <v>41506</v>
      </c>
      <c r="H1602" s="6">
        <v>6594885</v>
      </c>
      <c r="I1602" s="6">
        <v>1620750</v>
      </c>
      <c r="J1602" s="5" t="s">
        <v>186</v>
      </c>
      <c r="K1602" s="1">
        <v>3</v>
      </c>
      <c r="L1602" s="1" t="str">
        <f t="shared" ref="L1602:L1665" si="102">CONCATENATE(J1602," ",K1602)</f>
        <v>Norrviken 3</v>
      </c>
      <c r="M1602" s="5" t="s">
        <v>219</v>
      </c>
      <c r="N1602" s="6">
        <v>7</v>
      </c>
      <c r="O1602" s="6">
        <v>7</v>
      </c>
      <c r="Q1602" s="6">
        <v>18.899999999999999</v>
      </c>
      <c r="R1602" s="6">
        <v>2.1</v>
      </c>
      <c r="S1602" s="6">
        <v>23</v>
      </c>
    </row>
    <row r="1603" spans="1:43" x14ac:dyDescent="0.3">
      <c r="A1603" s="6">
        <v>23873</v>
      </c>
      <c r="B1603" s="5" t="s">
        <v>215</v>
      </c>
      <c r="C1603" s="5" t="s">
        <v>216</v>
      </c>
      <c r="D1603" s="2">
        <f t="shared" si="100"/>
        <v>2013</v>
      </c>
      <c r="E1603" s="2">
        <f t="shared" si="101"/>
        <v>8</v>
      </c>
      <c r="F1603" s="3" t="s">
        <v>179</v>
      </c>
      <c r="G1603" s="7">
        <v>41506</v>
      </c>
      <c r="H1603" s="6">
        <v>6594885</v>
      </c>
      <c r="I1603" s="6">
        <v>1620750</v>
      </c>
      <c r="J1603" s="5" t="s">
        <v>186</v>
      </c>
      <c r="K1603" s="1">
        <v>3</v>
      </c>
      <c r="L1603" s="1" t="str">
        <f t="shared" si="102"/>
        <v>Norrviken 3</v>
      </c>
      <c r="M1603" s="5" t="s">
        <v>220</v>
      </c>
      <c r="N1603" s="6">
        <v>8</v>
      </c>
      <c r="O1603" s="6">
        <v>8</v>
      </c>
      <c r="Q1603" s="6">
        <v>16.5</v>
      </c>
      <c r="R1603" s="6">
        <v>0.1</v>
      </c>
      <c r="S1603" s="6">
        <v>1</v>
      </c>
    </row>
    <row r="1604" spans="1:43" x14ac:dyDescent="0.3">
      <c r="A1604" s="6">
        <v>23874</v>
      </c>
      <c r="B1604" s="5" t="s">
        <v>215</v>
      </c>
      <c r="C1604" s="5" t="s">
        <v>216</v>
      </c>
      <c r="D1604" s="2">
        <f t="shared" si="100"/>
        <v>2013</v>
      </c>
      <c r="E1604" s="2">
        <f t="shared" si="101"/>
        <v>8</v>
      </c>
      <c r="F1604" s="3" t="s">
        <v>179</v>
      </c>
      <c r="G1604" s="7">
        <v>41506</v>
      </c>
      <c r="H1604" s="6">
        <v>6594885</v>
      </c>
      <c r="I1604" s="6">
        <v>1620750</v>
      </c>
      <c r="J1604" s="5" t="s">
        <v>186</v>
      </c>
      <c r="K1604" s="1">
        <v>3</v>
      </c>
      <c r="L1604" s="1" t="str">
        <f t="shared" si="102"/>
        <v>Norrviken 3</v>
      </c>
      <c r="M1604" s="5" t="s">
        <v>221</v>
      </c>
      <c r="N1604" s="6">
        <v>9</v>
      </c>
      <c r="O1604" s="6">
        <v>9</v>
      </c>
      <c r="Q1604" s="6">
        <v>14.2</v>
      </c>
      <c r="R1604" s="6">
        <v>0.1</v>
      </c>
      <c r="S1604" s="6">
        <v>1</v>
      </c>
    </row>
    <row r="1605" spans="1:43" x14ac:dyDescent="0.3">
      <c r="A1605" s="6">
        <v>23875</v>
      </c>
      <c r="B1605" s="5" t="s">
        <v>215</v>
      </c>
      <c r="C1605" s="5" t="s">
        <v>216</v>
      </c>
      <c r="D1605" s="2">
        <f t="shared" si="100"/>
        <v>2013</v>
      </c>
      <c r="E1605" s="2">
        <f t="shared" si="101"/>
        <v>8</v>
      </c>
      <c r="F1605" s="3" t="s">
        <v>179</v>
      </c>
      <c r="G1605" s="7">
        <v>41506</v>
      </c>
      <c r="H1605" s="6">
        <v>6594885</v>
      </c>
      <c r="I1605" s="6">
        <v>1620750</v>
      </c>
      <c r="J1605" s="5" t="s">
        <v>186</v>
      </c>
      <c r="K1605" s="1">
        <v>3</v>
      </c>
      <c r="L1605" s="1" t="str">
        <f t="shared" si="102"/>
        <v>Norrviken 3</v>
      </c>
      <c r="M1605" s="5" t="s">
        <v>222</v>
      </c>
      <c r="N1605" s="6">
        <v>10</v>
      </c>
      <c r="O1605" s="6">
        <v>10</v>
      </c>
      <c r="Q1605" s="6">
        <v>11.4</v>
      </c>
      <c r="R1605" s="6">
        <v>0.1</v>
      </c>
      <c r="S1605" s="6">
        <v>1</v>
      </c>
    </row>
    <row r="1606" spans="1:43" x14ac:dyDescent="0.3">
      <c r="A1606" s="6">
        <v>23876</v>
      </c>
      <c r="B1606" s="5" t="s">
        <v>215</v>
      </c>
      <c r="C1606" s="5" t="s">
        <v>216</v>
      </c>
      <c r="D1606" s="2">
        <f t="shared" si="100"/>
        <v>2013</v>
      </c>
      <c r="E1606" s="2">
        <f t="shared" si="101"/>
        <v>8</v>
      </c>
      <c r="F1606" s="3" t="s">
        <v>179</v>
      </c>
      <c r="G1606" s="7">
        <v>41506</v>
      </c>
      <c r="H1606" s="6">
        <v>6594885</v>
      </c>
      <c r="I1606" s="6">
        <v>1620750</v>
      </c>
      <c r="J1606" s="5" t="s">
        <v>186</v>
      </c>
      <c r="K1606" s="1">
        <v>3</v>
      </c>
      <c r="L1606" s="1" t="str">
        <f t="shared" si="102"/>
        <v>Norrviken 3</v>
      </c>
      <c r="M1606" s="5" t="s">
        <v>223</v>
      </c>
      <c r="N1606" s="6">
        <v>11</v>
      </c>
      <c r="O1606" s="6">
        <v>11</v>
      </c>
      <c r="Q1606" s="6">
        <v>9.9</v>
      </c>
      <c r="R1606" s="6">
        <v>0.1</v>
      </c>
      <c r="S1606" s="6">
        <v>1</v>
      </c>
    </row>
    <row r="1607" spans="1:43" x14ac:dyDescent="0.3">
      <c r="A1607" s="6">
        <v>23877</v>
      </c>
      <c r="B1607" s="5" t="s">
        <v>215</v>
      </c>
      <c r="C1607" s="5" t="s">
        <v>216</v>
      </c>
      <c r="D1607" s="2">
        <f t="shared" si="100"/>
        <v>2013</v>
      </c>
      <c r="E1607" s="2">
        <f t="shared" si="101"/>
        <v>8</v>
      </c>
      <c r="F1607" s="3" t="s">
        <v>179</v>
      </c>
      <c r="G1607" s="7">
        <v>41506</v>
      </c>
      <c r="H1607" s="6">
        <v>6594885</v>
      </c>
      <c r="I1607" s="6">
        <v>1620750</v>
      </c>
      <c r="J1607" s="5" t="s">
        <v>186</v>
      </c>
      <c r="K1607" s="1">
        <v>3</v>
      </c>
      <c r="L1607" s="1" t="str">
        <f t="shared" si="102"/>
        <v>Norrviken 3</v>
      </c>
      <c r="M1607" s="1" t="s">
        <v>184</v>
      </c>
      <c r="N1607" s="6">
        <v>11.5</v>
      </c>
      <c r="O1607" s="6">
        <v>11.5</v>
      </c>
      <c r="Q1607" s="6">
        <v>9.8000000000000007</v>
      </c>
      <c r="R1607" s="6">
        <v>0.1</v>
      </c>
      <c r="S1607" s="6">
        <v>1</v>
      </c>
      <c r="V1607" s="6">
        <v>3.56240000000001</v>
      </c>
      <c r="W1607" s="6">
        <v>1994</v>
      </c>
      <c r="X1607" s="1">
        <f>W1607 * (1/((10^((0.0901821 + (2729.92 /(273.15 + Q1607)))-AE1607)+1)))</f>
        <v>10.215212992299264</v>
      </c>
      <c r="Y1607" s="6">
        <v>9.8000000000000004E-2</v>
      </c>
      <c r="Z1607" s="6">
        <v>838.25</v>
      </c>
      <c r="AA1607" s="6">
        <v>18.2</v>
      </c>
      <c r="AD1607" s="6">
        <v>0</v>
      </c>
      <c r="AE1607" s="6">
        <v>7.45</v>
      </c>
      <c r="AK1607" s="6">
        <v>849.66</v>
      </c>
      <c r="AL1607" s="6">
        <v>2925.5</v>
      </c>
      <c r="AM1607" s="6"/>
      <c r="AN1607" s="6"/>
      <c r="AO1607" s="6"/>
      <c r="AP1607" s="6"/>
      <c r="AQ1607" s="6"/>
    </row>
    <row r="1608" spans="1:43" x14ac:dyDescent="0.3">
      <c r="A1608" s="6">
        <v>23878</v>
      </c>
      <c r="B1608" s="5" t="s">
        <v>215</v>
      </c>
      <c r="C1608" s="5" t="s">
        <v>216</v>
      </c>
      <c r="D1608" s="2">
        <f t="shared" si="100"/>
        <v>2013</v>
      </c>
      <c r="E1608" s="2">
        <f t="shared" si="101"/>
        <v>8</v>
      </c>
      <c r="F1608" s="3" t="s">
        <v>179</v>
      </c>
      <c r="G1608" s="7">
        <v>41506</v>
      </c>
      <c r="H1608" s="6">
        <v>6597300</v>
      </c>
      <c r="I1608" s="6">
        <v>1619975</v>
      </c>
      <c r="J1608" s="5" t="s">
        <v>186</v>
      </c>
      <c r="K1608" s="1">
        <v>4</v>
      </c>
      <c r="L1608" s="1" t="str">
        <f t="shared" si="102"/>
        <v>Norrviken 4</v>
      </c>
      <c r="M1608" s="1" t="s">
        <v>177</v>
      </c>
      <c r="N1608" s="6">
        <v>0.5</v>
      </c>
      <c r="O1608" s="6">
        <v>0.5</v>
      </c>
      <c r="P1608" s="6">
        <v>1.8</v>
      </c>
      <c r="Q1608" s="6">
        <v>19.2</v>
      </c>
      <c r="R1608" s="6">
        <v>9</v>
      </c>
      <c r="S1608" s="6">
        <v>97</v>
      </c>
      <c r="V1608" s="6">
        <v>2.6280000000000001</v>
      </c>
      <c r="W1608" s="6">
        <v>6.1870000000000003</v>
      </c>
      <c r="X1608" s="1">
        <f>W1608 * (1/((10^((0.0901821 + (2729.92 /(273.15 + Q1608)))-AE1608)+1)))</f>
        <v>0.54158349359574864</v>
      </c>
      <c r="Y1608" s="6">
        <v>4.9000000000000002E-2</v>
      </c>
      <c r="Z1608" s="6">
        <v>5.31</v>
      </c>
      <c r="AA1608" s="6">
        <v>3.1</v>
      </c>
      <c r="AB1608" s="6">
        <v>10.07694</v>
      </c>
      <c r="AD1608" s="6">
        <v>0</v>
      </c>
      <c r="AE1608" s="6">
        <v>8.41</v>
      </c>
      <c r="AK1608" s="6">
        <v>36.549999999999997</v>
      </c>
      <c r="AL1608" s="6">
        <v>748.00800000000004</v>
      </c>
      <c r="AM1608" s="6"/>
      <c r="AN1608" s="6"/>
      <c r="AO1608" s="6"/>
      <c r="AP1608" s="6"/>
      <c r="AQ1608" s="6"/>
    </row>
    <row r="1609" spans="1:43" x14ac:dyDescent="0.3">
      <c r="A1609" s="6">
        <v>23879</v>
      </c>
      <c r="B1609" s="5" t="s">
        <v>215</v>
      </c>
      <c r="C1609" s="5" t="s">
        <v>216</v>
      </c>
      <c r="D1609" s="2">
        <f t="shared" si="100"/>
        <v>2013</v>
      </c>
      <c r="E1609" s="2">
        <f t="shared" si="101"/>
        <v>8</v>
      </c>
      <c r="F1609" s="3" t="s">
        <v>179</v>
      </c>
      <c r="G1609" s="7">
        <v>41506</v>
      </c>
      <c r="H1609" s="6">
        <v>6597300</v>
      </c>
      <c r="I1609" s="6">
        <v>1619975</v>
      </c>
      <c r="J1609" s="5" t="s">
        <v>186</v>
      </c>
      <c r="K1609" s="1">
        <v>4</v>
      </c>
      <c r="L1609" s="1" t="str">
        <f t="shared" si="102"/>
        <v>Norrviken 4</v>
      </c>
      <c r="M1609" s="5" t="s">
        <v>211</v>
      </c>
      <c r="N1609" s="6">
        <v>1</v>
      </c>
      <c r="O1609" s="6">
        <v>1</v>
      </c>
      <c r="Q1609" s="6">
        <v>19.2</v>
      </c>
      <c r="R1609" s="6">
        <v>8.9</v>
      </c>
      <c r="S1609" s="6">
        <v>96</v>
      </c>
    </row>
    <row r="1610" spans="1:43" x14ac:dyDescent="0.3">
      <c r="A1610" s="6">
        <v>23880</v>
      </c>
      <c r="B1610" s="5" t="s">
        <v>215</v>
      </c>
      <c r="C1610" s="5" t="s">
        <v>216</v>
      </c>
      <c r="D1610" s="2">
        <f t="shared" si="100"/>
        <v>2013</v>
      </c>
      <c r="E1610" s="2">
        <f t="shared" si="101"/>
        <v>8</v>
      </c>
      <c r="F1610" s="3" t="s">
        <v>179</v>
      </c>
      <c r="G1610" s="7">
        <v>41506</v>
      </c>
      <c r="H1610" s="6">
        <v>6597300</v>
      </c>
      <c r="I1610" s="6">
        <v>1619975</v>
      </c>
      <c r="J1610" s="5" t="s">
        <v>186</v>
      </c>
      <c r="K1610" s="1">
        <v>4</v>
      </c>
      <c r="L1610" s="1" t="str">
        <f t="shared" si="102"/>
        <v>Norrviken 4</v>
      </c>
      <c r="M1610" s="1" t="s">
        <v>184</v>
      </c>
      <c r="N1610" s="6">
        <v>1.8</v>
      </c>
      <c r="O1610" s="6">
        <v>1.8</v>
      </c>
      <c r="Q1610" s="6">
        <v>19.2</v>
      </c>
      <c r="R1610" s="6">
        <v>8.9</v>
      </c>
      <c r="S1610" s="6">
        <v>95</v>
      </c>
      <c r="V1610" s="6">
        <v>2.5890666666666702</v>
      </c>
      <c r="W1610" s="6">
        <v>19.84</v>
      </c>
      <c r="X1610" s="1">
        <f>W1610 * (1/((10^((0.0901821 + (2729.92 /(273.15 + Q1610)))-AE1610)+1)))</f>
        <v>1.7367086654177553</v>
      </c>
      <c r="Y1610" s="6">
        <v>0.05</v>
      </c>
      <c r="Z1610" s="6">
        <v>5.15</v>
      </c>
      <c r="AA1610" s="6">
        <v>3.3</v>
      </c>
      <c r="AD1610" s="6">
        <v>0</v>
      </c>
      <c r="AE1610" s="6">
        <v>8.41</v>
      </c>
      <c r="AK1610" s="6">
        <v>41.34</v>
      </c>
      <c r="AL1610" s="6">
        <v>755.26199999999994</v>
      </c>
      <c r="AM1610" s="6"/>
      <c r="AN1610" s="6"/>
      <c r="AO1610" s="6"/>
      <c r="AP1610" s="6"/>
      <c r="AQ1610" s="6"/>
    </row>
    <row r="1611" spans="1:43" x14ac:dyDescent="0.3">
      <c r="A1611" s="1">
        <v>23884</v>
      </c>
      <c r="B1611" s="1" t="s">
        <v>208</v>
      </c>
      <c r="C1611" s="1" t="s">
        <v>209</v>
      </c>
      <c r="D1611" s="2">
        <f t="shared" si="100"/>
        <v>2013</v>
      </c>
      <c r="E1611" s="2">
        <f t="shared" si="101"/>
        <v>8</v>
      </c>
      <c r="F1611" s="3" t="s">
        <v>179</v>
      </c>
      <c r="G1611" s="4">
        <v>41506</v>
      </c>
      <c r="H1611" s="1">
        <v>6600935</v>
      </c>
      <c r="I1611" s="1">
        <v>1626764</v>
      </c>
      <c r="J1611" s="1" t="s">
        <v>191</v>
      </c>
      <c r="K1611" s="1" t="s">
        <v>210</v>
      </c>
      <c r="L1611" s="1" t="str">
        <f t="shared" si="102"/>
        <v>Vallentunasjön Va2</v>
      </c>
      <c r="M1611" s="1" t="s">
        <v>177</v>
      </c>
      <c r="N1611" s="1">
        <v>0.5</v>
      </c>
      <c r="O1611" s="1">
        <v>0.5</v>
      </c>
      <c r="P1611" s="1">
        <v>0.4</v>
      </c>
      <c r="Q1611" s="1">
        <v>19.100000000000001</v>
      </c>
      <c r="R1611" s="1">
        <v>9</v>
      </c>
      <c r="S1611" s="1">
        <v>104</v>
      </c>
      <c r="W1611" s="1">
        <v>83.799000000000007</v>
      </c>
      <c r="Z1611" s="1">
        <v>71.09</v>
      </c>
      <c r="AD1611" s="1">
        <v>336.23</v>
      </c>
      <c r="AK1611" s="1">
        <v>89.71</v>
      </c>
      <c r="AL1611" s="1">
        <v>983.26800000000003</v>
      </c>
    </row>
    <row r="1612" spans="1:43" x14ac:dyDescent="0.3">
      <c r="A1612" s="1">
        <v>23885</v>
      </c>
      <c r="B1612" s="1" t="s">
        <v>208</v>
      </c>
      <c r="C1612" s="1" t="s">
        <v>209</v>
      </c>
      <c r="D1612" s="2">
        <f t="shared" si="100"/>
        <v>2013</v>
      </c>
      <c r="E1612" s="2">
        <f t="shared" si="101"/>
        <v>8</v>
      </c>
      <c r="F1612" s="3" t="s">
        <v>179</v>
      </c>
      <c r="G1612" s="4">
        <v>41506</v>
      </c>
      <c r="H1612" s="1">
        <v>6600935</v>
      </c>
      <c r="I1612" s="1">
        <v>1626764</v>
      </c>
      <c r="J1612" s="1" t="s">
        <v>191</v>
      </c>
      <c r="K1612" s="1" t="s">
        <v>210</v>
      </c>
      <c r="L1612" s="1" t="str">
        <f t="shared" si="102"/>
        <v>Vallentunasjön Va2</v>
      </c>
      <c r="M1612" s="1" t="s">
        <v>211</v>
      </c>
      <c r="N1612" s="1">
        <v>1</v>
      </c>
      <c r="O1612" s="1">
        <v>1</v>
      </c>
      <c r="Q1612" s="1">
        <v>19.100000000000001</v>
      </c>
      <c r="R1612" s="1">
        <v>9.6999999999999993</v>
      </c>
      <c r="S1612" s="1">
        <v>104</v>
      </c>
    </row>
    <row r="1613" spans="1:43" x14ac:dyDescent="0.3">
      <c r="A1613" s="1">
        <v>23886</v>
      </c>
      <c r="B1613" s="1" t="s">
        <v>208</v>
      </c>
      <c r="C1613" s="1" t="s">
        <v>209</v>
      </c>
      <c r="D1613" s="2">
        <f t="shared" si="100"/>
        <v>2013</v>
      </c>
      <c r="E1613" s="2">
        <f t="shared" si="101"/>
        <v>8</v>
      </c>
      <c r="F1613" s="3" t="s">
        <v>179</v>
      </c>
      <c r="G1613" s="4">
        <v>41506</v>
      </c>
      <c r="H1613" s="1">
        <v>6600935</v>
      </c>
      <c r="I1613" s="1">
        <v>1626764</v>
      </c>
      <c r="J1613" s="1" t="s">
        <v>191</v>
      </c>
      <c r="K1613" s="1" t="s">
        <v>210</v>
      </c>
      <c r="L1613" s="1" t="str">
        <f t="shared" si="102"/>
        <v>Vallentunasjön Va2</v>
      </c>
      <c r="M1613" s="1" t="s">
        <v>212</v>
      </c>
      <c r="N1613" s="1">
        <v>2</v>
      </c>
      <c r="O1613" s="1">
        <v>2</v>
      </c>
      <c r="Q1613" s="1">
        <v>19</v>
      </c>
      <c r="R1613" s="1">
        <v>9.6</v>
      </c>
      <c r="S1613" s="1">
        <v>103</v>
      </c>
    </row>
    <row r="1614" spans="1:43" x14ac:dyDescent="0.3">
      <c r="A1614" s="1">
        <v>23887</v>
      </c>
      <c r="B1614" s="1" t="s">
        <v>208</v>
      </c>
      <c r="C1614" s="1" t="s">
        <v>209</v>
      </c>
      <c r="D1614" s="2">
        <f t="shared" si="100"/>
        <v>2013</v>
      </c>
      <c r="E1614" s="2">
        <f t="shared" si="101"/>
        <v>8</v>
      </c>
      <c r="F1614" s="3" t="s">
        <v>179</v>
      </c>
      <c r="G1614" s="4">
        <v>41506</v>
      </c>
      <c r="H1614" s="1">
        <v>6600935</v>
      </c>
      <c r="I1614" s="1">
        <v>1626764</v>
      </c>
      <c r="J1614" s="1" t="s">
        <v>191</v>
      </c>
      <c r="K1614" s="1" t="s">
        <v>210</v>
      </c>
      <c r="L1614" s="1" t="str">
        <f t="shared" si="102"/>
        <v>Vallentunasjön Va2</v>
      </c>
      <c r="M1614" s="1" t="s">
        <v>213</v>
      </c>
      <c r="N1614" s="1">
        <v>3</v>
      </c>
      <c r="O1614" s="1">
        <v>3</v>
      </c>
      <c r="Q1614" s="1">
        <v>18.899999999999999</v>
      </c>
      <c r="R1614" s="1">
        <v>9.3000000000000007</v>
      </c>
      <c r="S1614" s="1">
        <v>100</v>
      </c>
    </row>
    <row r="1615" spans="1:43" x14ac:dyDescent="0.3">
      <c r="A1615" s="1">
        <v>23888</v>
      </c>
      <c r="B1615" s="1" t="s">
        <v>208</v>
      </c>
      <c r="C1615" s="1" t="s">
        <v>209</v>
      </c>
      <c r="D1615" s="2">
        <f t="shared" si="100"/>
        <v>2013</v>
      </c>
      <c r="E1615" s="2">
        <f t="shared" si="101"/>
        <v>8</v>
      </c>
      <c r="F1615" s="3" t="s">
        <v>179</v>
      </c>
      <c r="G1615" s="4">
        <v>41506</v>
      </c>
      <c r="H1615" s="1">
        <v>6600935</v>
      </c>
      <c r="I1615" s="1">
        <v>1626764</v>
      </c>
      <c r="J1615" s="1" t="s">
        <v>191</v>
      </c>
      <c r="K1615" s="1" t="s">
        <v>210</v>
      </c>
      <c r="L1615" s="1" t="str">
        <f t="shared" si="102"/>
        <v>Vallentunasjön Va2</v>
      </c>
      <c r="M1615" s="1" t="s">
        <v>214</v>
      </c>
      <c r="N1615" s="1">
        <v>4</v>
      </c>
      <c r="O1615" s="1">
        <v>4</v>
      </c>
      <c r="Q1615" s="1">
        <v>18.8</v>
      </c>
      <c r="R1615" s="1">
        <v>9</v>
      </c>
      <c r="S1615" s="1">
        <v>95</v>
      </c>
    </row>
    <row r="1616" spans="1:43" x14ac:dyDescent="0.3">
      <c r="A1616" s="1">
        <v>23889</v>
      </c>
      <c r="B1616" s="1" t="s">
        <v>208</v>
      </c>
      <c r="C1616" s="1" t="s">
        <v>209</v>
      </c>
      <c r="D1616" s="2">
        <f t="shared" si="100"/>
        <v>2013</v>
      </c>
      <c r="E1616" s="2">
        <f t="shared" si="101"/>
        <v>8</v>
      </c>
      <c r="F1616" s="3" t="s">
        <v>179</v>
      </c>
      <c r="G1616" s="4">
        <v>41506</v>
      </c>
      <c r="J1616" s="1" t="s">
        <v>191</v>
      </c>
      <c r="K1616" s="1" t="s">
        <v>206</v>
      </c>
      <c r="L1616" s="1" t="str">
        <f t="shared" si="102"/>
        <v>Vallentunasjön Blandprov</v>
      </c>
      <c r="M1616" s="1" t="s">
        <v>177</v>
      </c>
      <c r="W1616" s="1">
        <v>3.3490000000000002</v>
      </c>
      <c r="Z1616" s="1">
        <v>5.9</v>
      </c>
      <c r="AB1616" s="1">
        <v>54.127540000000003</v>
      </c>
      <c r="AD1616" s="6">
        <v>0</v>
      </c>
      <c r="AG1616" s="1">
        <v>35.999999999999901</v>
      </c>
      <c r="AK1616" s="1">
        <v>93.98</v>
      </c>
      <c r="AL1616" s="1">
        <v>1840.193</v>
      </c>
    </row>
    <row r="1617" spans="1:43" x14ac:dyDescent="0.3">
      <c r="A1617" s="6">
        <v>23967</v>
      </c>
      <c r="B1617" s="5" t="s">
        <v>215</v>
      </c>
      <c r="C1617" s="5" t="s">
        <v>216</v>
      </c>
      <c r="D1617" s="2">
        <f t="shared" si="100"/>
        <v>2013</v>
      </c>
      <c r="E1617" s="2">
        <f t="shared" si="101"/>
        <v>8</v>
      </c>
      <c r="F1617" s="3" t="s">
        <v>179</v>
      </c>
      <c r="G1617" s="7">
        <v>41507</v>
      </c>
      <c r="H1617" s="6">
        <v>6606035</v>
      </c>
      <c r="I1617" s="6">
        <v>1615620</v>
      </c>
      <c r="J1617" s="5" t="s">
        <v>187</v>
      </c>
      <c r="K1617" s="1"/>
      <c r="L1617" s="1" t="str">
        <f t="shared" si="102"/>
        <v xml:space="preserve">Oxundasjön </v>
      </c>
      <c r="M1617" s="1" t="s">
        <v>177</v>
      </c>
      <c r="N1617" s="6">
        <v>0.5</v>
      </c>
      <c r="O1617" s="6">
        <v>0.5</v>
      </c>
      <c r="P1617" s="6">
        <v>1.7</v>
      </c>
      <c r="Q1617" s="6">
        <v>19.8</v>
      </c>
      <c r="R1617" s="6">
        <v>7.1</v>
      </c>
      <c r="S1617" s="6">
        <v>77</v>
      </c>
      <c r="V1617" s="6">
        <v>2.4625721115537802</v>
      </c>
      <c r="W1617" s="6">
        <v>15.352</v>
      </c>
      <c r="X1617" s="1">
        <f>W1617 * (1/((10^((0.0901821 + (2729.92 /(273.15 + Q1617)))-AE1617)+1)))</f>
        <v>0.38566482946637598</v>
      </c>
      <c r="Y1617" s="6">
        <v>5.2999999999999999E-2</v>
      </c>
      <c r="Z1617" s="6">
        <v>62.02</v>
      </c>
      <c r="AA1617" s="6">
        <v>4.8</v>
      </c>
      <c r="AB1617" s="6">
        <v>14.199374000000001</v>
      </c>
      <c r="AD1617" s="6">
        <v>0.36499999999999999</v>
      </c>
      <c r="AE1617" s="6">
        <v>7.82</v>
      </c>
      <c r="AK1617" s="6">
        <v>102.95</v>
      </c>
      <c r="AL1617" s="6">
        <v>837.21900000000005</v>
      </c>
      <c r="AM1617" s="6"/>
      <c r="AN1617" s="6"/>
      <c r="AO1617" s="6"/>
      <c r="AP1617" s="6"/>
      <c r="AQ1617" s="6"/>
    </row>
    <row r="1618" spans="1:43" x14ac:dyDescent="0.3">
      <c r="A1618" s="6">
        <v>23968</v>
      </c>
      <c r="B1618" s="5" t="s">
        <v>215</v>
      </c>
      <c r="C1618" s="5" t="s">
        <v>216</v>
      </c>
      <c r="D1618" s="2">
        <f t="shared" si="100"/>
        <v>2013</v>
      </c>
      <c r="E1618" s="2">
        <f t="shared" si="101"/>
        <v>8</v>
      </c>
      <c r="F1618" s="3" t="s">
        <v>179</v>
      </c>
      <c r="G1618" s="7">
        <v>41507</v>
      </c>
      <c r="H1618" s="6">
        <v>6606035</v>
      </c>
      <c r="I1618" s="6">
        <v>1615620</v>
      </c>
      <c r="J1618" s="5" t="s">
        <v>187</v>
      </c>
      <c r="K1618" s="1"/>
      <c r="L1618" s="1" t="str">
        <f t="shared" si="102"/>
        <v xml:space="preserve">Oxundasjön </v>
      </c>
      <c r="M1618" s="5" t="s">
        <v>211</v>
      </c>
      <c r="N1618" s="6">
        <v>1</v>
      </c>
      <c r="O1618" s="6">
        <v>1</v>
      </c>
      <c r="Q1618" s="6">
        <v>19.600000000000001</v>
      </c>
      <c r="R1618" s="6">
        <v>7</v>
      </c>
      <c r="S1618" s="6">
        <v>76</v>
      </c>
    </row>
    <row r="1619" spans="1:43" x14ac:dyDescent="0.3">
      <c r="A1619" s="6">
        <v>23969</v>
      </c>
      <c r="B1619" s="5" t="s">
        <v>215</v>
      </c>
      <c r="C1619" s="5" t="s">
        <v>216</v>
      </c>
      <c r="D1619" s="2">
        <f t="shared" si="100"/>
        <v>2013</v>
      </c>
      <c r="E1619" s="2">
        <f t="shared" si="101"/>
        <v>8</v>
      </c>
      <c r="F1619" s="3" t="s">
        <v>179</v>
      </c>
      <c r="G1619" s="7">
        <v>41507</v>
      </c>
      <c r="H1619" s="6">
        <v>6606035</v>
      </c>
      <c r="I1619" s="6">
        <v>1615620</v>
      </c>
      <c r="J1619" s="5" t="s">
        <v>187</v>
      </c>
      <c r="K1619" s="1"/>
      <c r="L1619" s="1" t="str">
        <f t="shared" si="102"/>
        <v xml:space="preserve">Oxundasjön </v>
      </c>
      <c r="M1619" s="5" t="s">
        <v>212</v>
      </c>
      <c r="N1619" s="6">
        <v>2</v>
      </c>
      <c r="O1619" s="6">
        <v>2</v>
      </c>
      <c r="Q1619" s="6">
        <v>19.600000000000001</v>
      </c>
      <c r="R1619" s="6">
        <v>7.1</v>
      </c>
      <c r="S1619" s="6">
        <v>77</v>
      </c>
    </row>
    <row r="1620" spans="1:43" x14ac:dyDescent="0.3">
      <c r="A1620" s="6">
        <v>23970</v>
      </c>
      <c r="B1620" s="5" t="s">
        <v>215</v>
      </c>
      <c r="C1620" s="5" t="s">
        <v>216</v>
      </c>
      <c r="D1620" s="2">
        <f t="shared" si="100"/>
        <v>2013</v>
      </c>
      <c r="E1620" s="2">
        <f t="shared" si="101"/>
        <v>8</v>
      </c>
      <c r="F1620" s="3" t="s">
        <v>179</v>
      </c>
      <c r="G1620" s="7">
        <v>41507</v>
      </c>
      <c r="H1620" s="6">
        <v>6606035</v>
      </c>
      <c r="I1620" s="6">
        <v>1615620</v>
      </c>
      <c r="J1620" s="5" t="s">
        <v>187</v>
      </c>
      <c r="K1620" s="1"/>
      <c r="L1620" s="1" t="str">
        <f t="shared" si="102"/>
        <v xml:space="preserve">Oxundasjön </v>
      </c>
      <c r="M1620" s="5" t="s">
        <v>213</v>
      </c>
      <c r="N1620" s="6">
        <v>3</v>
      </c>
      <c r="O1620" s="6">
        <v>3</v>
      </c>
      <c r="Q1620" s="6">
        <v>19.600000000000001</v>
      </c>
      <c r="R1620" s="6">
        <v>7</v>
      </c>
      <c r="S1620" s="6">
        <v>76</v>
      </c>
    </row>
    <row r="1621" spans="1:43" x14ac:dyDescent="0.3">
      <c r="A1621" s="6">
        <v>23971</v>
      </c>
      <c r="B1621" s="5" t="s">
        <v>215</v>
      </c>
      <c r="C1621" s="5" t="s">
        <v>216</v>
      </c>
      <c r="D1621" s="2">
        <f t="shared" si="100"/>
        <v>2013</v>
      </c>
      <c r="E1621" s="2">
        <f t="shared" si="101"/>
        <v>8</v>
      </c>
      <c r="F1621" s="3" t="s">
        <v>179</v>
      </c>
      <c r="G1621" s="7">
        <v>41507</v>
      </c>
      <c r="H1621" s="6">
        <v>6606035</v>
      </c>
      <c r="I1621" s="6">
        <v>1615620</v>
      </c>
      <c r="J1621" s="5" t="s">
        <v>187</v>
      </c>
      <c r="K1621" s="1"/>
      <c r="L1621" s="1" t="str">
        <f t="shared" si="102"/>
        <v xml:space="preserve">Oxundasjön </v>
      </c>
      <c r="M1621" s="5" t="s">
        <v>214</v>
      </c>
      <c r="N1621" s="6">
        <v>4</v>
      </c>
      <c r="O1621" s="6">
        <v>4</v>
      </c>
      <c r="Q1621" s="6">
        <v>19.600000000000001</v>
      </c>
      <c r="R1621" s="6">
        <v>6.9</v>
      </c>
      <c r="S1621" s="6">
        <v>75</v>
      </c>
    </row>
    <row r="1622" spans="1:43" x14ac:dyDescent="0.3">
      <c r="A1622" s="6">
        <v>23972</v>
      </c>
      <c r="B1622" s="5" t="s">
        <v>215</v>
      </c>
      <c r="C1622" s="5" t="s">
        <v>216</v>
      </c>
      <c r="D1622" s="2">
        <f t="shared" si="100"/>
        <v>2013</v>
      </c>
      <c r="E1622" s="2">
        <f t="shared" si="101"/>
        <v>8</v>
      </c>
      <c r="F1622" s="3" t="s">
        <v>179</v>
      </c>
      <c r="G1622" s="7">
        <v>41507</v>
      </c>
      <c r="H1622" s="6">
        <v>6606035</v>
      </c>
      <c r="I1622" s="6">
        <v>1615620</v>
      </c>
      <c r="J1622" s="5" t="s">
        <v>187</v>
      </c>
      <c r="K1622" s="1"/>
      <c r="L1622" s="1" t="str">
        <f t="shared" si="102"/>
        <v xml:space="preserve">Oxundasjön </v>
      </c>
      <c r="M1622" s="5" t="s">
        <v>217</v>
      </c>
      <c r="N1622" s="6">
        <v>5</v>
      </c>
      <c r="O1622" s="6">
        <v>5</v>
      </c>
      <c r="Q1622" s="6">
        <v>19.600000000000001</v>
      </c>
      <c r="R1622" s="6">
        <v>6.9</v>
      </c>
      <c r="S1622" s="6">
        <v>75</v>
      </c>
    </row>
    <row r="1623" spans="1:43" x14ac:dyDescent="0.3">
      <c r="A1623" s="6">
        <v>23973</v>
      </c>
      <c r="B1623" s="5" t="s">
        <v>215</v>
      </c>
      <c r="C1623" s="5" t="s">
        <v>216</v>
      </c>
      <c r="D1623" s="2">
        <f t="shared" si="100"/>
        <v>2013</v>
      </c>
      <c r="E1623" s="2">
        <f t="shared" si="101"/>
        <v>8</v>
      </c>
      <c r="F1623" s="3" t="s">
        <v>179</v>
      </c>
      <c r="G1623" s="7">
        <v>41507</v>
      </c>
      <c r="H1623" s="6">
        <v>6606035</v>
      </c>
      <c r="I1623" s="6">
        <v>1615620</v>
      </c>
      <c r="J1623" s="5" t="s">
        <v>187</v>
      </c>
      <c r="K1623" s="1"/>
      <c r="L1623" s="1" t="str">
        <f t="shared" si="102"/>
        <v xml:space="preserve">Oxundasjön </v>
      </c>
      <c r="M1623" s="1" t="s">
        <v>184</v>
      </c>
      <c r="N1623" s="6">
        <v>5.7</v>
      </c>
      <c r="O1623" s="6">
        <v>5.7</v>
      </c>
      <c r="Q1623" s="6">
        <v>19.600000000000001</v>
      </c>
      <c r="R1623" s="6">
        <v>6.3</v>
      </c>
      <c r="S1623" s="6">
        <v>68</v>
      </c>
      <c r="V1623" s="6">
        <v>2.4821163346613502</v>
      </c>
      <c r="W1623" s="6">
        <v>26.393000000000001</v>
      </c>
      <c r="X1623" s="1">
        <f>W1623 * (1/((10^((0.0901821 + (2729.92 /(273.15 + Q1623)))-AE1623)+1)))</f>
        <v>0.63910347577432636</v>
      </c>
      <c r="Y1623" s="6">
        <v>5.2999999999999999E-2</v>
      </c>
      <c r="Z1623" s="6">
        <v>71.63</v>
      </c>
      <c r="AA1623" s="6">
        <v>6.4</v>
      </c>
      <c r="AD1623" s="6">
        <v>1.05</v>
      </c>
      <c r="AE1623" s="6">
        <v>7.8100000000000005</v>
      </c>
      <c r="AK1623" s="6">
        <v>114.43</v>
      </c>
      <c r="AL1623" s="6">
        <v>811.13400000000001</v>
      </c>
      <c r="AM1623" s="6"/>
      <c r="AN1623" s="6"/>
      <c r="AO1623" s="6"/>
      <c r="AP1623" s="6"/>
      <c r="AQ1623" s="6"/>
    </row>
    <row r="1624" spans="1:43" x14ac:dyDescent="0.3">
      <c r="A1624" s="6">
        <v>23974</v>
      </c>
      <c r="B1624" s="5" t="s">
        <v>215</v>
      </c>
      <c r="C1624" s="5" t="s">
        <v>216</v>
      </c>
      <c r="D1624" s="2">
        <f t="shared" si="100"/>
        <v>2013</v>
      </c>
      <c r="E1624" s="2">
        <f t="shared" si="101"/>
        <v>8</v>
      </c>
      <c r="F1624" s="3" t="s">
        <v>179</v>
      </c>
      <c r="G1624" s="7">
        <v>41507</v>
      </c>
      <c r="H1624" s="6">
        <v>6599695</v>
      </c>
      <c r="I1624" s="6">
        <v>1617290</v>
      </c>
      <c r="J1624" s="5" t="s">
        <v>182</v>
      </c>
      <c r="K1624" s="1"/>
      <c r="L1624" s="1" t="str">
        <f t="shared" si="102"/>
        <v xml:space="preserve">Edssjön </v>
      </c>
      <c r="M1624" s="1" t="s">
        <v>177</v>
      </c>
      <c r="N1624" s="6">
        <v>0.5</v>
      </c>
      <c r="O1624" s="6">
        <v>0.5</v>
      </c>
      <c r="P1624" s="6">
        <v>1.1000000000000001</v>
      </c>
      <c r="Q1624" s="6">
        <v>19.2</v>
      </c>
      <c r="R1624" s="6">
        <v>10</v>
      </c>
      <c r="S1624" s="6">
        <v>107</v>
      </c>
      <c r="V1624" s="6">
        <v>2.5016605577689202</v>
      </c>
      <c r="W1624" s="6">
        <v>5.6079999999999997</v>
      </c>
      <c r="X1624" s="1">
        <f>W1624 * (1/((10^((0.0901821 + (2729.92 /(273.15 + Q1624)))-AE1624)+1)))</f>
        <v>1.0104138804482343</v>
      </c>
      <c r="Y1624" s="6">
        <v>6.4000000000000001E-2</v>
      </c>
      <c r="Z1624" s="6">
        <v>32.700000000000003</v>
      </c>
      <c r="AA1624" s="6">
        <v>9.3000000000000007</v>
      </c>
      <c r="AB1624" s="6">
        <v>16.973618571428599</v>
      </c>
      <c r="AD1624" s="6">
        <v>0</v>
      </c>
      <c r="AE1624" s="6">
        <v>8.77</v>
      </c>
      <c r="AK1624" s="6">
        <v>132.19999999999999</v>
      </c>
      <c r="AL1624" s="6">
        <v>1313.588</v>
      </c>
      <c r="AM1624" s="6"/>
      <c r="AN1624" s="6"/>
      <c r="AO1624" s="6"/>
      <c r="AP1624" s="6"/>
      <c r="AQ1624" s="6"/>
    </row>
    <row r="1625" spans="1:43" x14ac:dyDescent="0.3">
      <c r="A1625" s="6">
        <v>23975</v>
      </c>
      <c r="B1625" s="5" t="s">
        <v>215</v>
      </c>
      <c r="C1625" s="5" t="s">
        <v>216</v>
      </c>
      <c r="D1625" s="2">
        <f t="shared" si="100"/>
        <v>2013</v>
      </c>
      <c r="E1625" s="2">
        <f t="shared" si="101"/>
        <v>8</v>
      </c>
      <c r="F1625" s="3" t="s">
        <v>179</v>
      </c>
      <c r="G1625" s="7">
        <v>41507</v>
      </c>
      <c r="H1625" s="6">
        <v>6599695</v>
      </c>
      <c r="I1625" s="6">
        <v>1617290</v>
      </c>
      <c r="J1625" s="5" t="s">
        <v>182</v>
      </c>
      <c r="K1625" s="1"/>
      <c r="L1625" s="1" t="str">
        <f t="shared" si="102"/>
        <v xml:space="preserve">Edssjön </v>
      </c>
      <c r="M1625" s="5" t="s">
        <v>211</v>
      </c>
      <c r="N1625" s="6">
        <v>1</v>
      </c>
      <c r="O1625" s="6">
        <v>1</v>
      </c>
      <c r="Q1625" s="6">
        <v>19.2</v>
      </c>
      <c r="R1625" s="6">
        <v>9.6999999999999993</v>
      </c>
      <c r="S1625" s="6">
        <v>105</v>
      </c>
    </row>
    <row r="1626" spans="1:43" x14ac:dyDescent="0.3">
      <c r="A1626" s="6">
        <v>23976</v>
      </c>
      <c r="B1626" s="5" t="s">
        <v>215</v>
      </c>
      <c r="C1626" s="5" t="s">
        <v>216</v>
      </c>
      <c r="D1626" s="2">
        <f t="shared" si="100"/>
        <v>2013</v>
      </c>
      <c r="E1626" s="2">
        <f t="shared" si="101"/>
        <v>8</v>
      </c>
      <c r="F1626" s="3" t="s">
        <v>179</v>
      </c>
      <c r="G1626" s="7">
        <v>41507</v>
      </c>
      <c r="H1626" s="6">
        <v>6599695</v>
      </c>
      <c r="I1626" s="6">
        <v>1617290</v>
      </c>
      <c r="J1626" s="5" t="s">
        <v>182</v>
      </c>
      <c r="K1626" s="1"/>
      <c r="L1626" s="1" t="str">
        <f t="shared" si="102"/>
        <v xml:space="preserve">Edssjön </v>
      </c>
      <c r="M1626" s="5" t="s">
        <v>212</v>
      </c>
      <c r="N1626" s="6">
        <v>2</v>
      </c>
      <c r="O1626" s="6">
        <v>2</v>
      </c>
      <c r="Q1626" s="6">
        <v>19.2</v>
      </c>
      <c r="R1626" s="6">
        <v>9.4</v>
      </c>
      <c r="S1626" s="6">
        <v>101</v>
      </c>
    </row>
    <row r="1627" spans="1:43" x14ac:dyDescent="0.3">
      <c r="A1627" s="6">
        <v>23977</v>
      </c>
      <c r="B1627" s="5" t="s">
        <v>215</v>
      </c>
      <c r="C1627" s="5" t="s">
        <v>216</v>
      </c>
      <c r="D1627" s="2">
        <f t="shared" si="100"/>
        <v>2013</v>
      </c>
      <c r="E1627" s="2">
        <f t="shared" si="101"/>
        <v>8</v>
      </c>
      <c r="F1627" s="3" t="s">
        <v>179</v>
      </c>
      <c r="G1627" s="7">
        <v>41507</v>
      </c>
      <c r="H1627" s="6">
        <v>6599695</v>
      </c>
      <c r="I1627" s="6">
        <v>1617290</v>
      </c>
      <c r="J1627" s="5" t="s">
        <v>182</v>
      </c>
      <c r="K1627" s="1"/>
      <c r="L1627" s="1" t="str">
        <f t="shared" si="102"/>
        <v xml:space="preserve">Edssjön </v>
      </c>
      <c r="M1627" s="5" t="s">
        <v>213</v>
      </c>
      <c r="N1627" s="6">
        <v>3</v>
      </c>
      <c r="O1627" s="6">
        <v>3</v>
      </c>
      <c r="Q1627" s="6">
        <v>19.2</v>
      </c>
      <c r="R1627" s="6">
        <v>8.9</v>
      </c>
      <c r="S1627" s="6">
        <v>96</v>
      </c>
    </row>
    <row r="1628" spans="1:43" x14ac:dyDescent="0.3">
      <c r="A1628" s="6">
        <v>23978</v>
      </c>
      <c r="B1628" s="5" t="s">
        <v>215</v>
      </c>
      <c r="C1628" s="5" t="s">
        <v>216</v>
      </c>
      <c r="D1628" s="2">
        <f t="shared" si="100"/>
        <v>2013</v>
      </c>
      <c r="E1628" s="2">
        <f t="shared" si="101"/>
        <v>8</v>
      </c>
      <c r="F1628" s="3" t="s">
        <v>179</v>
      </c>
      <c r="G1628" s="7">
        <v>41507</v>
      </c>
      <c r="H1628" s="6">
        <v>6599695</v>
      </c>
      <c r="I1628" s="6">
        <v>1617290</v>
      </c>
      <c r="J1628" s="5" t="s">
        <v>182</v>
      </c>
      <c r="K1628" s="1"/>
      <c r="L1628" s="1" t="str">
        <f t="shared" si="102"/>
        <v xml:space="preserve">Edssjön </v>
      </c>
      <c r="M1628" s="5" t="s">
        <v>214</v>
      </c>
      <c r="N1628" s="6">
        <v>4</v>
      </c>
      <c r="O1628" s="6">
        <v>4</v>
      </c>
      <c r="Q1628" s="6">
        <v>19.2</v>
      </c>
      <c r="R1628" s="6">
        <v>8.1</v>
      </c>
      <c r="S1628" s="6">
        <v>87</v>
      </c>
    </row>
    <row r="1629" spans="1:43" x14ac:dyDescent="0.3">
      <c r="A1629" s="6">
        <v>23979</v>
      </c>
      <c r="B1629" s="5" t="s">
        <v>215</v>
      </c>
      <c r="C1629" s="5" t="s">
        <v>216</v>
      </c>
      <c r="D1629" s="2">
        <f t="shared" si="100"/>
        <v>2013</v>
      </c>
      <c r="E1629" s="2">
        <f t="shared" si="101"/>
        <v>8</v>
      </c>
      <c r="F1629" s="3" t="s">
        <v>179</v>
      </c>
      <c r="G1629" s="7">
        <v>41507</v>
      </c>
      <c r="H1629" s="6">
        <v>6599695</v>
      </c>
      <c r="I1629" s="6">
        <v>1617290</v>
      </c>
      <c r="J1629" s="5" t="s">
        <v>182</v>
      </c>
      <c r="K1629" s="1"/>
      <c r="L1629" s="1" t="str">
        <f t="shared" si="102"/>
        <v xml:space="preserve">Edssjön </v>
      </c>
      <c r="M1629" s="1" t="s">
        <v>184</v>
      </c>
      <c r="N1629" s="6">
        <v>4.7</v>
      </c>
      <c r="O1629" s="6">
        <v>4.7</v>
      </c>
      <c r="Q1629" s="6">
        <v>19</v>
      </c>
      <c r="R1629" s="6">
        <v>3</v>
      </c>
      <c r="S1629" s="6">
        <v>32</v>
      </c>
      <c r="V1629" s="6">
        <v>2.4821163346613502</v>
      </c>
      <c r="W1629" s="6">
        <v>29.974</v>
      </c>
      <c r="X1629" s="1">
        <f>W1629 * (1/((10^((0.0901821 + (2729.92 /(273.15 + Q1629)))-AE1629)+1)))</f>
        <v>3.0589483590288511</v>
      </c>
      <c r="Y1629" s="6">
        <v>6.4000000000000001E-2</v>
      </c>
      <c r="Z1629" s="6">
        <v>47.56</v>
      </c>
      <c r="AA1629" s="6">
        <v>9.1</v>
      </c>
      <c r="AD1629" s="6">
        <v>0.77600000000000002</v>
      </c>
      <c r="AE1629" s="6">
        <v>8.49</v>
      </c>
      <c r="AK1629" s="6">
        <v>141.13</v>
      </c>
      <c r="AL1629" s="6">
        <v>1360.5989999999999</v>
      </c>
      <c r="AM1629" s="6"/>
      <c r="AN1629" s="6"/>
      <c r="AO1629" s="6"/>
      <c r="AP1629" s="6"/>
      <c r="AQ1629" s="6"/>
    </row>
    <row r="1630" spans="1:43" x14ac:dyDescent="0.3">
      <c r="A1630" s="6">
        <v>23980</v>
      </c>
      <c r="B1630" s="5" t="s">
        <v>215</v>
      </c>
      <c r="C1630" s="5" t="s">
        <v>216</v>
      </c>
      <c r="D1630" s="2">
        <f t="shared" si="100"/>
        <v>2013</v>
      </c>
      <c r="E1630" s="2">
        <f t="shared" si="101"/>
        <v>8</v>
      </c>
      <c r="F1630" s="3" t="s">
        <v>179</v>
      </c>
      <c r="G1630" s="7">
        <v>41507</v>
      </c>
      <c r="H1630" s="6">
        <v>6593820</v>
      </c>
      <c r="I1630" s="6">
        <v>1619360</v>
      </c>
      <c r="J1630" s="5" t="s">
        <v>188</v>
      </c>
      <c r="K1630" s="1"/>
      <c r="L1630" s="1" t="str">
        <f t="shared" si="102"/>
        <v xml:space="preserve">Ravalen </v>
      </c>
      <c r="M1630" s="1" t="s">
        <v>177</v>
      </c>
      <c r="N1630" s="6">
        <v>0.5</v>
      </c>
      <c r="O1630" s="6">
        <v>0.5</v>
      </c>
      <c r="P1630" s="6">
        <v>1.6</v>
      </c>
      <c r="Q1630" s="6">
        <v>20.6</v>
      </c>
      <c r="R1630" s="6">
        <v>12.3</v>
      </c>
      <c r="S1630" s="6">
        <v>136</v>
      </c>
      <c r="V1630" s="6">
        <v>1.56353784860558</v>
      </c>
      <c r="W1630" s="6">
        <v>11.298</v>
      </c>
      <c r="X1630" s="1">
        <f>W1630 * (1/((10^((0.0901821 + (2729.92 /(273.15 + Q1630)))-AE1630)+1)))</f>
        <v>3.0938890952893927</v>
      </c>
      <c r="Y1630" s="6">
        <v>0.06</v>
      </c>
      <c r="Z1630" s="6">
        <v>1.77</v>
      </c>
      <c r="AA1630" s="6">
        <v>0.61</v>
      </c>
      <c r="AB1630" s="6">
        <v>1.525272</v>
      </c>
      <c r="AD1630" s="6">
        <v>0.19800000000000001</v>
      </c>
      <c r="AE1630" s="6">
        <v>8.9600000000000009</v>
      </c>
      <c r="AK1630" s="6">
        <v>18.93</v>
      </c>
      <c r="AL1630" s="6">
        <v>755.34100000000001</v>
      </c>
      <c r="AM1630" s="6"/>
      <c r="AN1630" s="6"/>
      <c r="AO1630" s="6"/>
      <c r="AP1630" s="6"/>
      <c r="AQ1630" s="6"/>
    </row>
    <row r="1631" spans="1:43" x14ac:dyDescent="0.3">
      <c r="A1631" s="6">
        <v>23981</v>
      </c>
      <c r="B1631" s="5" t="s">
        <v>215</v>
      </c>
      <c r="C1631" s="5" t="s">
        <v>216</v>
      </c>
      <c r="D1631" s="2">
        <f t="shared" si="100"/>
        <v>2013</v>
      </c>
      <c r="E1631" s="2">
        <f t="shared" si="101"/>
        <v>8</v>
      </c>
      <c r="F1631" s="3" t="s">
        <v>179</v>
      </c>
      <c r="G1631" s="7">
        <v>41507</v>
      </c>
      <c r="H1631" s="6">
        <v>6593820</v>
      </c>
      <c r="I1631" s="6">
        <v>1619360</v>
      </c>
      <c r="J1631" s="5" t="s">
        <v>188</v>
      </c>
      <c r="K1631" s="1"/>
      <c r="L1631" s="1" t="str">
        <f t="shared" si="102"/>
        <v xml:space="preserve">Ravalen </v>
      </c>
      <c r="M1631" s="5" t="s">
        <v>211</v>
      </c>
      <c r="N1631" s="6">
        <v>1</v>
      </c>
      <c r="O1631" s="6">
        <v>1</v>
      </c>
      <c r="Q1631" s="6">
        <v>20.399999999999999</v>
      </c>
      <c r="R1631" s="6">
        <v>12.9</v>
      </c>
      <c r="S1631" s="6">
        <v>143</v>
      </c>
    </row>
    <row r="1632" spans="1:43" x14ac:dyDescent="0.3">
      <c r="A1632" s="6">
        <v>23982</v>
      </c>
      <c r="B1632" s="5" t="s">
        <v>215</v>
      </c>
      <c r="C1632" s="5" t="s">
        <v>216</v>
      </c>
      <c r="D1632" s="2">
        <f t="shared" si="100"/>
        <v>2013</v>
      </c>
      <c r="E1632" s="2">
        <f t="shared" si="101"/>
        <v>8</v>
      </c>
      <c r="F1632" s="3" t="s">
        <v>179</v>
      </c>
      <c r="G1632" s="7">
        <v>41507</v>
      </c>
      <c r="H1632" s="6">
        <v>6593820</v>
      </c>
      <c r="I1632" s="6">
        <v>1619360</v>
      </c>
      <c r="J1632" s="5" t="s">
        <v>188</v>
      </c>
      <c r="K1632" s="1"/>
      <c r="L1632" s="1" t="str">
        <f t="shared" si="102"/>
        <v xml:space="preserve">Ravalen </v>
      </c>
      <c r="M1632" s="1" t="s">
        <v>184</v>
      </c>
      <c r="N1632" s="6">
        <v>1.6</v>
      </c>
      <c r="O1632" s="6">
        <v>1.6</v>
      </c>
      <c r="Q1632" s="6">
        <v>20</v>
      </c>
      <c r="R1632" s="6">
        <v>12.5</v>
      </c>
      <c r="S1632" s="6">
        <v>137</v>
      </c>
      <c r="V1632" s="6">
        <v>1.50490517928287</v>
      </c>
      <c r="W1632" s="6">
        <v>7.875</v>
      </c>
      <c r="X1632" s="1">
        <f>W1632 * (1/((10^((0.0901821 + (2729.92 /(273.15 + Q1632)))-AE1632)+1)))</f>
        <v>2.2700073535102732</v>
      </c>
      <c r="Y1632" s="6">
        <v>5.5E-2</v>
      </c>
      <c r="Z1632" s="6">
        <v>1.5699999999999998</v>
      </c>
      <c r="AA1632" s="6">
        <v>0.5</v>
      </c>
      <c r="AD1632" s="6">
        <v>0.84899999999999998</v>
      </c>
      <c r="AE1632" s="6">
        <v>9.01</v>
      </c>
      <c r="AK1632" s="6">
        <v>16.48</v>
      </c>
      <c r="AL1632" s="6">
        <v>739.86199999999997</v>
      </c>
      <c r="AM1632" s="6"/>
      <c r="AN1632" s="6"/>
      <c r="AO1632" s="6"/>
      <c r="AP1632" s="6"/>
      <c r="AQ1632" s="6"/>
    </row>
    <row r="1633" spans="1:43" x14ac:dyDescent="0.3">
      <c r="A1633" s="6">
        <v>23983</v>
      </c>
      <c r="B1633" s="5" t="s">
        <v>215</v>
      </c>
      <c r="C1633" s="5" t="s">
        <v>216</v>
      </c>
      <c r="D1633" s="2">
        <f t="shared" si="100"/>
        <v>2013</v>
      </c>
      <c r="E1633" s="2">
        <f t="shared" si="101"/>
        <v>8</v>
      </c>
      <c r="F1633" s="3" t="s">
        <v>179</v>
      </c>
      <c r="G1633" s="7">
        <v>41507</v>
      </c>
      <c r="H1633" s="6">
        <v>6594420</v>
      </c>
      <c r="I1633" s="6">
        <v>1615795</v>
      </c>
      <c r="J1633" s="5" t="s">
        <v>193</v>
      </c>
      <c r="K1633" s="1"/>
      <c r="L1633" s="1" t="str">
        <f t="shared" si="102"/>
        <v xml:space="preserve">Översjön </v>
      </c>
      <c r="M1633" s="1" t="s">
        <v>177</v>
      </c>
      <c r="N1633" s="6">
        <v>0.5</v>
      </c>
      <c r="O1633" s="6">
        <v>0.5</v>
      </c>
      <c r="P1633" s="6">
        <v>1.7</v>
      </c>
      <c r="Q1633" s="6">
        <v>20.2</v>
      </c>
      <c r="R1633" s="6">
        <v>9.3000000000000007</v>
      </c>
      <c r="S1633" s="6">
        <v>102</v>
      </c>
      <c r="V1633" s="6">
        <v>1.9348780876494001</v>
      </c>
      <c r="W1633" s="6">
        <v>5.39</v>
      </c>
      <c r="X1633" s="1">
        <f>W1633 * (1/((10^((0.0901821 + (2729.92 /(273.15 + Q1633)))-AE1633)+1)))</f>
        <v>0.26514461503572206</v>
      </c>
      <c r="Y1633" s="6">
        <v>4.7E-2</v>
      </c>
      <c r="Z1633" s="6">
        <v>2.73</v>
      </c>
      <c r="AA1633" s="6">
        <v>2.2999999999999998</v>
      </c>
      <c r="AB1633" s="6">
        <v>2.9122699999999999</v>
      </c>
      <c r="AD1633" s="6">
        <v>0</v>
      </c>
      <c r="AE1633" s="6">
        <v>8.11</v>
      </c>
      <c r="AK1633" s="6">
        <v>27.5</v>
      </c>
      <c r="AL1633" s="6">
        <v>875.57899999999995</v>
      </c>
      <c r="AM1633" s="6"/>
      <c r="AN1633" s="6"/>
      <c r="AO1633" s="6"/>
      <c r="AP1633" s="6"/>
      <c r="AQ1633" s="6"/>
    </row>
    <row r="1634" spans="1:43" x14ac:dyDescent="0.3">
      <c r="A1634" s="6">
        <v>23984</v>
      </c>
      <c r="B1634" s="5" t="s">
        <v>215</v>
      </c>
      <c r="C1634" s="5" t="s">
        <v>216</v>
      </c>
      <c r="D1634" s="2">
        <f t="shared" si="100"/>
        <v>2013</v>
      </c>
      <c r="E1634" s="2">
        <f t="shared" si="101"/>
        <v>8</v>
      </c>
      <c r="F1634" s="3" t="s">
        <v>179</v>
      </c>
      <c r="G1634" s="7">
        <v>41507</v>
      </c>
      <c r="H1634" s="6">
        <v>6594420</v>
      </c>
      <c r="I1634" s="6">
        <v>1615795</v>
      </c>
      <c r="J1634" s="5" t="s">
        <v>193</v>
      </c>
      <c r="K1634" s="1"/>
      <c r="L1634" s="1" t="str">
        <f t="shared" si="102"/>
        <v xml:space="preserve">Översjön </v>
      </c>
      <c r="M1634" s="5" t="s">
        <v>211</v>
      </c>
      <c r="N1634" s="6">
        <v>1</v>
      </c>
      <c r="O1634" s="6">
        <v>1</v>
      </c>
      <c r="Q1634" s="6">
        <v>20.100000000000001</v>
      </c>
      <c r="R1634" s="6">
        <v>9.1999999999999993</v>
      </c>
      <c r="S1634" s="6">
        <v>101</v>
      </c>
    </row>
    <row r="1635" spans="1:43" x14ac:dyDescent="0.3">
      <c r="A1635" s="6">
        <v>23985</v>
      </c>
      <c r="B1635" s="5" t="s">
        <v>215</v>
      </c>
      <c r="C1635" s="5" t="s">
        <v>216</v>
      </c>
      <c r="D1635" s="2">
        <f t="shared" si="100"/>
        <v>2013</v>
      </c>
      <c r="E1635" s="2">
        <f t="shared" si="101"/>
        <v>8</v>
      </c>
      <c r="F1635" s="3" t="s">
        <v>179</v>
      </c>
      <c r="G1635" s="7">
        <v>41507</v>
      </c>
      <c r="H1635" s="6">
        <v>6594420</v>
      </c>
      <c r="I1635" s="6">
        <v>1615795</v>
      </c>
      <c r="J1635" s="5" t="s">
        <v>193</v>
      </c>
      <c r="K1635" s="1"/>
      <c r="L1635" s="1" t="str">
        <f t="shared" si="102"/>
        <v xml:space="preserve">Översjön </v>
      </c>
      <c r="M1635" s="5" t="s">
        <v>212</v>
      </c>
      <c r="N1635" s="6">
        <v>2</v>
      </c>
      <c r="O1635" s="6">
        <v>2</v>
      </c>
      <c r="Q1635" s="6">
        <v>19.8</v>
      </c>
      <c r="R1635" s="6">
        <v>9.1</v>
      </c>
      <c r="S1635" s="6">
        <v>99</v>
      </c>
    </row>
    <row r="1636" spans="1:43" x14ac:dyDescent="0.3">
      <c r="A1636" s="6">
        <v>23986</v>
      </c>
      <c r="B1636" s="5" t="s">
        <v>215</v>
      </c>
      <c r="C1636" s="5" t="s">
        <v>216</v>
      </c>
      <c r="D1636" s="2">
        <f t="shared" si="100"/>
        <v>2013</v>
      </c>
      <c r="E1636" s="2">
        <f t="shared" si="101"/>
        <v>8</v>
      </c>
      <c r="F1636" s="3" t="s">
        <v>179</v>
      </c>
      <c r="G1636" s="7">
        <v>41507</v>
      </c>
      <c r="H1636" s="6">
        <v>6594420</v>
      </c>
      <c r="I1636" s="6">
        <v>1615795</v>
      </c>
      <c r="J1636" s="5" t="s">
        <v>193</v>
      </c>
      <c r="K1636" s="1"/>
      <c r="L1636" s="1" t="str">
        <f t="shared" si="102"/>
        <v xml:space="preserve">Översjön </v>
      </c>
      <c r="M1636" s="5" t="s">
        <v>213</v>
      </c>
      <c r="N1636" s="6">
        <v>3</v>
      </c>
      <c r="O1636" s="6">
        <v>3</v>
      </c>
      <c r="Q1636" s="6">
        <v>19.5</v>
      </c>
      <c r="R1636" s="6">
        <v>9</v>
      </c>
      <c r="S1636" s="6">
        <v>98</v>
      </c>
    </row>
    <row r="1637" spans="1:43" x14ac:dyDescent="0.3">
      <c r="A1637" s="6">
        <v>23987</v>
      </c>
      <c r="B1637" s="5" t="s">
        <v>215</v>
      </c>
      <c r="C1637" s="5" t="s">
        <v>216</v>
      </c>
      <c r="D1637" s="2">
        <f t="shared" si="100"/>
        <v>2013</v>
      </c>
      <c r="E1637" s="2">
        <f t="shared" si="101"/>
        <v>8</v>
      </c>
      <c r="F1637" s="3" t="s">
        <v>179</v>
      </c>
      <c r="G1637" s="7">
        <v>41507</v>
      </c>
      <c r="H1637" s="6">
        <v>6594420</v>
      </c>
      <c r="I1637" s="6">
        <v>1615795</v>
      </c>
      <c r="J1637" s="5" t="s">
        <v>193</v>
      </c>
      <c r="K1637" s="1"/>
      <c r="L1637" s="1" t="str">
        <f t="shared" si="102"/>
        <v xml:space="preserve">Översjön </v>
      </c>
      <c r="M1637" s="1" t="s">
        <v>184</v>
      </c>
      <c r="N1637" s="6">
        <v>3.5</v>
      </c>
      <c r="O1637" s="6">
        <v>3.5</v>
      </c>
      <c r="Q1637" s="6">
        <v>19.399999999999999</v>
      </c>
      <c r="R1637" s="6">
        <v>8.1999999999999993</v>
      </c>
      <c r="S1637" s="6">
        <v>89</v>
      </c>
      <c r="V1637" s="6">
        <v>1.8957896414342601</v>
      </c>
      <c r="W1637" s="6">
        <v>3.2330000000000001</v>
      </c>
      <c r="X1637" s="1">
        <f>W1637 * (1/((10^((0.0901821 + (2729.92 /(273.15 + Q1637)))-AE1637)+1)))</f>
        <v>0.12609034075980191</v>
      </c>
      <c r="Y1637" s="6">
        <v>4.3999999999999997E-2</v>
      </c>
      <c r="Z1637" s="6">
        <v>2.85</v>
      </c>
      <c r="AA1637" s="6">
        <v>2.8</v>
      </c>
      <c r="AD1637" s="6">
        <v>0</v>
      </c>
      <c r="AE1637" s="6">
        <v>8.0299999999999994</v>
      </c>
      <c r="AK1637" s="6">
        <v>29.1</v>
      </c>
      <c r="AL1637" s="6">
        <v>860.92</v>
      </c>
      <c r="AM1637" s="6"/>
      <c r="AN1637" s="6"/>
      <c r="AO1637" s="6"/>
      <c r="AP1637" s="6"/>
      <c r="AQ1637" s="6"/>
    </row>
    <row r="1638" spans="1:43" x14ac:dyDescent="0.3">
      <c r="A1638" s="6">
        <v>23988</v>
      </c>
      <c r="B1638" s="5" t="s">
        <v>215</v>
      </c>
      <c r="C1638" s="5" t="s">
        <v>216</v>
      </c>
      <c r="D1638" s="2">
        <f t="shared" si="100"/>
        <v>2013</v>
      </c>
      <c r="E1638" s="2">
        <f t="shared" si="101"/>
        <v>8</v>
      </c>
      <c r="F1638" s="3" t="s">
        <v>179</v>
      </c>
      <c r="G1638" s="7">
        <v>41507</v>
      </c>
      <c r="H1638" s="6">
        <v>6593820</v>
      </c>
      <c r="I1638" s="6">
        <v>1624215</v>
      </c>
      <c r="J1638" s="5" t="s">
        <v>189</v>
      </c>
      <c r="K1638" s="1"/>
      <c r="L1638" s="1" t="str">
        <f t="shared" si="102"/>
        <v xml:space="preserve">Rösjön </v>
      </c>
      <c r="M1638" s="1" t="s">
        <v>177</v>
      </c>
      <c r="N1638" s="6">
        <v>0.5</v>
      </c>
      <c r="O1638" s="6">
        <v>0.5</v>
      </c>
      <c r="P1638" s="6">
        <v>3.5</v>
      </c>
      <c r="Q1638" s="6">
        <v>21</v>
      </c>
      <c r="R1638" s="6">
        <v>8.8000000000000007</v>
      </c>
      <c r="S1638" s="6">
        <v>98</v>
      </c>
      <c r="V1638" s="6">
        <v>1.6808031872509899</v>
      </c>
      <c r="W1638" s="6">
        <v>5.5910000000000002</v>
      </c>
      <c r="X1638" s="1">
        <f>W1638 * (1/((10^((0.0901821 + (2729.92 /(273.15 + Q1638)))-AE1638)+1)))</f>
        <v>0.2439092832698023</v>
      </c>
      <c r="Y1638" s="6">
        <v>3.5999999999999997E-2</v>
      </c>
      <c r="Z1638" s="6">
        <v>2.0299999999999998</v>
      </c>
      <c r="AA1638" s="6">
        <v>1.28</v>
      </c>
      <c r="AB1638" s="6">
        <v>17.518543999999999</v>
      </c>
      <c r="AD1638" s="6">
        <v>0.61899999999999999</v>
      </c>
      <c r="AE1638" s="6">
        <v>8.0299999999999994</v>
      </c>
      <c r="AK1638" s="6">
        <v>18.52</v>
      </c>
      <c r="AL1638" s="6">
        <v>514.21900000000005</v>
      </c>
      <c r="AM1638" s="6"/>
      <c r="AN1638" s="6"/>
      <c r="AO1638" s="6"/>
      <c r="AP1638" s="6"/>
      <c r="AQ1638" s="6"/>
    </row>
    <row r="1639" spans="1:43" x14ac:dyDescent="0.3">
      <c r="A1639" s="6">
        <v>23989</v>
      </c>
      <c r="B1639" s="5" t="s">
        <v>215</v>
      </c>
      <c r="C1639" s="5" t="s">
        <v>216</v>
      </c>
      <c r="D1639" s="2">
        <f t="shared" si="100"/>
        <v>2013</v>
      </c>
      <c r="E1639" s="2">
        <f t="shared" si="101"/>
        <v>8</v>
      </c>
      <c r="F1639" s="3" t="s">
        <v>179</v>
      </c>
      <c r="G1639" s="7">
        <v>41507</v>
      </c>
      <c r="H1639" s="6">
        <v>6593820</v>
      </c>
      <c r="I1639" s="6">
        <v>1624215</v>
      </c>
      <c r="J1639" s="5" t="s">
        <v>189</v>
      </c>
      <c r="K1639" s="1"/>
      <c r="L1639" s="1" t="str">
        <f t="shared" si="102"/>
        <v xml:space="preserve">Rösjön </v>
      </c>
      <c r="M1639" s="5" t="s">
        <v>211</v>
      </c>
      <c r="N1639" s="6">
        <v>1</v>
      </c>
      <c r="O1639" s="6">
        <v>1</v>
      </c>
      <c r="Q1639" s="6">
        <v>20.9</v>
      </c>
      <c r="R1639" s="6">
        <v>8.6999999999999993</v>
      </c>
      <c r="S1639" s="6">
        <v>97</v>
      </c>
    </row>
    <row r="1640" spans="1:43" x14ac:dyDescent="0.3">
      <c r="A1640" s="6">
        <v>23990</v>
      </c>
      <c r="B1640" s="5" t="s">
        <v>215</v>
      </c>
      <c r="C1640" s="5" t="s">
        <v>216</v>
      </c>
      <c r="D1640" s="2">
        <f t="shared" si="100"/>
        <v>2013</v>
      </c>
      <c r="E1640" s="2">
        <f t="shared" si="101"/>
        <v>8</v>
      </c>
      <c r="F1640" s="3" t="s">
        <v>179</v>
      </c>
      <c r="G1640" s="7">
        <v>41507</v>
      </c>
      <c r="H1640" s="6">
        <v>6593820</v>
      </c>
      <c r="I1640" s="6">
        <v>1624215</v>
      </c>
      <c r="J1640" s="5" t="s">
        <v>189</v>
      </c>
      <c r="K1640" s="1"/>
      <c r="L1640" s="1" t="str">
        <f t="shared" si="102"/>
        <v xml:space="preserve">Rösjön </v>
      </c>
      <c r="M1640" s="5" t="s">
        <v>212</v>
      </c>
      <c r="N1640" s="6">
        <v>2</v>
      </c>
      <c r="O1640" s="6">
        <v>2</v>
      </c>
      <c r="Q1640" s="6">
        <v>20.3</v>
      </c>
      <c r="R1640" s="6">
        <v>8.6999999999999993</v>
      </c>
      <c r="S1640" s="6">
        <v>95</v>
      </c>
    </row>
    <row r="1641" spans="1:43" x14ac:dyDescent="0.3">
      <c r="A1641" s="6">
        <v>23991</v>
      </c>
      <c r="B1641" s="5" t="s">
        <v>215</v>
      </c>
      <c r="C1641" s="5" t="s">
        <v>216</v>
      </c>
      <c r="D1641" s="2">
        <f t="shared" si="100"/>
        <v>2013</v>
      </c>
      <c r="E1641" s="2">
        <f t="shared" si="101"/>
        <v>8</v>
      </c>
      <c r="F1641" s="3" t="s">
        <v>179</v>
      </c>
      <c r="G1641" s="7">
        <v>41507</v>
      </c>
      <c r="H1641" s="6">
        <v>6593820</v>
      </c>
      <c r="I1641" s="6">
        <v>1624215</v>
      </c>
      <c r="J1641" s="5" t="s">
        <v>189</v>
      </c>
      <c r="K1641" s="1"/>
      <c r="L1641" s="1" t="str">
        <f t="shared" si="102"/>
        <v xml:space="preserve">Rösjön </v>
      </c>
      <c r="M1641" s="5" t="s">
        <v>213</v>
      </c>
      <c r="N1641" s="6">
        <v>3</v>
      </c>
      <c r="O1641" s="6">
        <v>3</v>
      </c>
      <c r="Q1641" s="6">
        <v>19.8</v>
      </c>
      <c r="R1641" s="6">
        <v>8.4</v>
      </c>
      <c r="S1641" s="6">
        <v>91</v>
      </c>
    </row>
    <row r="1642" spans="1:43" x14ac:dyDescent="0.3">
      <c r="A1642" s="6">
        <v>23992</v>
      </c>
      <c r="B1642" s="5" t="s">
        <v>215</v>
      </c>
      <c r="C1642" s="5" t="s">
        <v>216</v>
      </c>
      <c r="D1642" s="2">
        <f t="shared" si="100"/>
        <v>2013</v>
      </c>
      <c r="E1642" s="2">
        <f t="shared" si="101"/>
        <v>8</v>
      </c>
      <c r="F1642" s="3" t="s">
        <v>179</v>
      </c>
      <c r="G1642" s="7">
        <v>41507</v>
      </c>
      <c r="H1642" s="6">
        <v>6593820</v>
      </c>
      <c r="I1642" s="6">
        <v>1624215</v>
      </c>
      <c r="J1642" s="5" t="s">
        <v>189</v>
      </c>
      <c r="K1642" s="1"/>
      <c r="L1642" s="1" t="str">
        <f t="shared" si="102"/>
        <v xml:space="preserve">Rösjön </v>
      </c>
      <c r="M1642" s="5" t="s">
        <v>214</v>
      </c>
      <c r="N1642" s="6">
        <v>4</v>
      </c>
      <c r="O1642" s="6">
        <v>4</v>
      </c>
      <c r="Q1642" s="6">
        <v>19.7</v>
      </c>
      <c r="R1642" s="6">
        <v>7.7</v>
      </c>
      <c r="S1642" s="6">
        <v>83</v>
      </c>
    </row>
    <row r="1643" spans="1:43" x14ac:dyDescent="0.3">
      <c r="A1643" s="6">
        <v>23993</v>
      </c>
      <c r="B1643" s="5" t="s">
        <v>215</v>
      </c>
      <c r="C1643" s="5" t="s">
        <v>216</v>
      </c>
      <c r="D1643" s="2">
        <f t="shared" si="100"/>
        <v>2013</v>
      </c>
      <c r="E1643" s="2">
        <f t="shared" si="101"/>
        <v>8</v>
      </c>
      <c r="F1643" s="3" t="s">
        <v>179</v>
      </c>
      <c r="G1643" s="7">
        <v>41507</v>
      </c>
      <c r="H1643" s="6">
        <v>6593820</v>
      </c>
      <c r="I1643" s="6">
        <v>1624215</v>
      </c>
      <c r="J1643" s="5" t="s">
        <v>189</v>
      </c>
      <c r="K1643" s="1"/>
      <c r="L1643" s="1" t="str">
        <f t="shared" si="102"/>
        <v xml:space="preserve">Rösjön </v>
      </c>
      <c r="M1643" s="5" t="s">
        <v>217</v>
      </c>
      <c r="N1643" s="6">
        <v>5</v>
      </c>
      <c r="O1643" s="6">
        <v>5</v>
      </c>
      <c r="Q1643" s="6">
        <v>19.600000000000001</v>
      </c>
      <c r="R1643" s="6">
        <v>6.2</v>
      </c>
      <c r="S1643" s="6">
        <v>68</v>
      </c>
    </row>
    <row r="1644" spans="1:43" x14ac:dyDescent="0.3">
      <c r="A1644" s="6">
        <v>23994</v>
      </c>
      <c r="B1644" s="5" t="s">
        <v>215</v>
      </c>
      <c r="C1644" s="5" t="s">
        <v>216</v>
      </c>
      <c r="D1644" s="2">
        <f t="shared" si="100"/>
        <v>2013</v>
      </c>
      <c r="E1644" s="2">
        <f t="shared" si="101"/>
        <v>8</v>
      </c>
      <c r="F1644" s="3" t="s">
        <v>179</v>
      </c>
      <c r="G1644" s="7">
        <v>41507</v>
      </c>
      <c r="H1644" s="6">
        <v>6593820</v>
      </c>
      <c r="I1644" s="6">
        <v>1624215</v>
      </c>
      <c r="J1644" s="5" t="s">
        <v>189</v>
      </c>
      <c r="K1644" s="1"/>
      <c r="L1644" s="1" t="str">
        <f t="shared" si="102"/>
        <v xml:space="preserve">Rösjön </v>
      </c>
      <c r="M1644" s="5" t="s">
        <v>218</v>
      </c>
      <c r="N1644" s="6">
        <v>6</v>
      </c>
      <c r="O1644" s="6">
        <v>6</v>
      </c>
      <c r="Q1644" s="6">
        <v>19.100000000000001</v>
      </c>
      <c r="R1644" s="6">
        <v>1</v>
      </c>
      <c r="S1644" s="6">
        <v>11</v>
      </c>
    </row>
    <row r="1645" spans="1:43" x14ac:dyDescent="0.3">
      <c r="A1645" s="6">
        <v>23995</v>
      </c>
      <c r="B1645" s="5" t="s">
        <v>215</v>
      </c>
      <c r="C1645" s="5" t="s">
        <v>216</v>
      </c>
      <c r="D1645" s="2">
        <f t="shared" si="100"/>
        <v>2013</v>
      </c>
      <c r="E1645" s="2">
        <f t="shared" si="101"/>
        <v>8</v>
      </c>
      <c r="F1645" s="3" t="s">
        <v>179</v>
      </c>
      <c r="G1645" s="7">
        <v>41507</v>
      </c>
      <c r="H1645" s="6">
        <v>6593820</v>
      </c>
      <c r="I1645" s="6">
        <v>1624215</v>
      </c>
      <c r="J1645" s="5" t="s">
        <v>189</v>
      </c>
      <c r="K1645" s="1"/>
      <c r="L1645" s="1" t="str">
        <f t="shared" si="102"/>
        <v xml:space="preserve">Rösjön </v>
      </c>
      <c r="M1645" s="1" t="s">
        <v>184</v>
      </c>
      <c r="N1645" s="6">
        <v>6.5</v>
      </c>
      <c r="O1645" s="6">
        <v>6.5</v>
      </c>
      <c r="Q1645" s="6">
        <v>19</v>
      </c>
      <c r="R1645" s="6">
        <v>0.7</v>
      </c>
      <c r="S1645" s="6">
        <v>8</v>
      </c>
      <c r="V1645" s="6">
        <v>1.6026262948207202</v>
      </c>
      <c r="W1645" s="6">
        <v>44.991</v>
      </c>
      <c r="X1645" s="1">
        <f>W1645 * (1/((10^((0.0901821 + (2729.92 /(273.15 + Q1645)))-AE1645)+1)))</f>
        <v>0.79606661575685278</v>
      </c>
      <c r="Y1645" s="6">
        <v>3.5999999999999997E-2</v>
      </c>
      <c r="Z1645" s="6">
        <v>3.96</v>
      </c>
      <c r="AA1645" s="6">
        <v>2.1</v>
      </c>
      <c r="AD1645" s="6">
        <v>0.66400000000000003</v>
      </c>
      <c r="AE1645" s="6">
        <v>7.6899999999999995</v>
      </c>
      <c r="AK1645" s="6">
        <v>26.37</v>
      </c>
      <c r="AL1645" s="6">
        <v>599.846</v>
      </c>
      <c r="AM1645" s="6"/>
      <c r="AN1645" s="6"/>
      <c r="AO1645" s="6"/>
      <c r="AP1645" s="6"/>
      <c r="AQ1645" s="6"/>
    </row>
    <row r="1646" spans="1:43" x14ac:dyDescent="0.3">
      <c r="A1646" s="6">
        <v>23996</v>
      </c>
      <c r="B1646" s="5" t="s">
        <v>215</v>
      </c>
      <c r="C1646" s="5" t="s">
        <v>216</v>
      </c>
      <c r="D1646" s="2">
        <f t="shared" si="100"/>
        <v>2013</v>
      </c>
      <c r="E1646" s="2">
        <f t="shared" si="101"/>
        <v>8</v>
      </c>
      <c r="F1646" s="3" t="s">
        <v>179</v>
      </c>
      <c r="G1646" s="7">
        <v>41508</v>
      </c>
      <c r="H1646" s="6">
        <v>6594430</v>
      </c>
      <c r="I1646" s="6">
        <v>1625370</v>
      </c>
      <c r="J1646" s="5" t="s">
        <v>201</v>
      </c>
      <c r="K1646" s="1"/>
      <c r="L1646" s="1" t="str">
        <f t="shared" si="102"/>
        <v xml:space="preserve">Mörtsjön </v>
      </c>
      <c r="M1646" s="1" t="s">
        <v>177</v>
      </c>
      <c r="N1646" s="6">
        <v>0.5</v>
      </c>
      <c r="O1646" s="6">
        <v>0.5</v>
      </c>
      <c r="P1646" s="6">
        <v>2.1</v>
      </c>
      <c r="Q1646" s="6">
        <v>19.2</v>
      </c>
      <c r="R1646" s="6">
        <v>8.1999999999999993</v>
      </c>
      <c r="S1646" s="6">
        <v>88</v>
      </c>
      <c r="V1646" s="6">
        <v>2.2173311999999998</v>
      </c>
      <c r="W1646" s="6">
        <v>4.8419999999999996</v>
      </c>
      <c r="X1646" s="1">
        <f>W1646 * (1/((10^((0.0901821 + (2729.92 /(273.15 + Q1646)))-AE1646)+1)))</f>
        <v>0.13035917604151137</v>
      </c>
      <c r="Y1646" s="6">
        <v>0.189</v>
      </c>
      <c r="Z1646" s="6">
        <v>1.55</v>
      </c>
      <c r="AA1646" s="6">
        <v>2.2000000000000002</v>
      </c>
      <c r="AB1646" s="6">
        <v>8.7598371428571404</v>
      </c>
      <c r="AD1646" s="6">
        <v>0</v>
      </c>
      <c r="AE1646" s="6">
        <v>7.87</v>
      </c>
      <c r="AK1646" s="6">
        <v>25.54</v>
      </c>
      <c r="AL1646" s="6">
        <v>739.34199999999998</v>
      </c>
      <c r="AM1646" s="6"/>
      <c r="AN1646" s="6"/>
      <c r="AO1646" s="6"/>
      <c r="AP1646" s="6"/>
      <c r="AQ1646" s="6"/>
    </row>
    <row r="1647" spans="1:43" x14ac:dyDescent="0.3">
      <c r="A1647" s="6">
        <v>23997</v>
      </c>
      <c r="B1647" s="5" t="s">
        <v>215</v>
      </c>
      <c r="C1647" s="5" t="s">
        <v>216</v>
      </c>
      <c r="D1647" s="2">
        <f t="shared" si="100"/>
        <v>2013</v>
      </c>
      <c r="E1647" s="2">
        <f t="shared" si="101"/>
        <v>8</v>
      </c>
      <c r="F1647" s="3" t="s">
        <v>179</v>
      </c>
      <c r="G1647" s="7">
        <v>41508</v>
      </c>
      <c r="H1647" s="6">
        <v>6594430</v>
      </c>
      <c r="I1647" s="6">
        <v>1625370</v>
      </c>
      <c r="J1647" s="5" t="s">
        <v>201</v>
      </c>
      <c r="K1647" s="1"/>
      <c r="L1647" s="1" t="str">
        <f t="shared" si="102"/>
        <v xml:space="preserve">Mörtsjön </v>
      </c>
      <c r="M1647" s="5" t="s">
        <v>211</v>
      </c>
      <c r="N1647" s="6">
        <v>1</v>
      </c>
      <c r="O1647" s="6">
        <v>1</v>
      </c>
      <c r="Q1647" s="6">
        <v>19.2</v>
      </c>
      <c r="R1647" s="6">
        <v>8.3000000000000007</v>
      </c>
      <c r="S1647" s="6">
        <v>89</v>
      </c>
    </row>
    <row r="1648" spans="1:43" x14ac:dyDescent="0.3">
      <c r="A1648" s="6">
        <v>23998</v>
      </c>
      <c r="B1648" s="5" t="s">
        <v>215</v>
      </c>
      <c r="C1648" s="5" t="s">
        <v>216</v>
      </c>
      <c r="D1648" s="2">
        <f t="shared" si="100"/>
        <v>2013</v>
      </c>
      <c r="E1648" s="2">
        <f t="shared" si="101"/>
        <v>8</v>
      </c>
      <c r="F1648" s="3" t="s">
        <v>179</v>
      </c>
      <c r="G1648" s="7">
        <v>41508</v>
      </c>
      <c r="H1648" s="6">
        <v>6594430</v>
      </c>
      <c r="I1648" s="6">
        <v>1625370</v>
      </c>
      <c r="J1648" s="5" t="s">
        <v>201</v>
      </c>
      <c r="K1648" s="1"/>
      <c r="L1648" s="1" t="str">
        <f t="shared" si="102"/>
        <v xml:space="preserve">Mörtsjön </v>
      </c>
      <c r="M1648" s="5" t="s">
        <v>212</v>
      </c>
      <c r="N1648" s="6">
        <v>2</v>
      </c>
      <c r="O1648" s="6">
        <v>2</v>
      </c>
      <c r="Q1648" s="6">
        <v>19.2</v>
      </c>
      <c r="R1648" s="6">
        <v>7.9</v>
      </c>
      <c r="S1648" s="6">
        <v>86</v>
      </c>
    </row>
    <row r="1649" spans="1:50" x14ac:dyDescent="0.3">
      <c r="A1649" s="6">
        <v>23999</v>
      </c>
      <c r="B1649" s="5" t="s">
        <v>215</v>
      </c>
      <c r="C1649" s="5" t="s">
        <v>216</v>
      </c>
      <c r="D1649" s="2">
        <f t="shared" si="100"/>
        <v>2013</v>
      </c>
      <c r="E1649" s="2">
        <f t="shared" si="101"/>
        <v>8</v>
      </c>
      <c r="F1649" s="3" t="s">
        <v>179</v>
      </c>
      <c r="G1649" s="7">
        <v>41508</v>
      </c>
      <c r="H1649" s="6">
        <v>6594430</v>
      </c>
      <c r="I1649" s="6">
        <v>1625370</v>
      </c>
      <c r="J1649" s="5" t="s">
        <v>201</v>
      </c>
      <c r="K1649" s="1"/>
      <c r="L1649" s="1" t="str">
        <f t="shared" si="102"/>
        <v xml:space="preserve">Mörtsjön </v>
      </c>
      <c r="M1649" s="5" t="s">
        <v>213</v>
      </c>
      <c r="N1649" s="6">
        <v>3</v>
      </c>
      <c r="O1649" s="6">
        <v>3</v>
      </c>
      <c r="Q1649" s="6">
        <v>17.5</v>
      </c>
      <c r="R1649" s="6">
        <v>0.2</v>
      </c>
      <c r="S1649" s="6">
        <v>2</v>
      </c>
    </row>
    <row r="1650" spans="1:50" x14ac:dyDescent="0.3">
      <c r="A1650" s="6">
        <v>24000</v>
      </c>
      <c r="B1650" s="5" t="s">
        <v>215</v>
      </c>
      <c r="C1650" s="5" t="s">
        <v>216</v>
      </c>
      <c r="D1650" s="2">
        <f t="shared" si="100"/>
        <v>2013</v>
      </c>
      <c r="E1650" s="2">
        <f t="shared" si="101"/>
        <v>8</v>
      </c>
      <c r="F1650" s="3" t="s">
        <v>179</v>
      </c>
      <c r="G1650" s="7">
        <v>41508</v>
      </c>
      <c r="H1650" s="6">
        <v>6594430</v>
      </c>
      <c r="I1650" s="6">
        <v>1625370</v>
      </c>
      <c r="J1650" s="5" t="s">
        <v>201</v>
      </c>
      <c r="K1650" s="1"/>
      <c r="L1650" s="1" t="str">
        <f t="shared" si="102"/>
        <v xml:space="preserve">Mörtsjön </v>
      </c>
      <c r="M1650" s="1" t="s">
        <v>184</v>
      </c>
      <c r="N1650" s="6">
        <v>4</v>
      </c>
      <c r="O1650" s="6">
        <v>4</v>
      </c>
      <c r="Q1650" s="6">
        <v>12.3</v>
      </c>
      <c r="R1650" s="6">
        <v>0.1</v>
      </c>
      <c r="S1650" s="6">
        <v>1</v>
      </c>
      <c r="V1650" s="6">
        <v>2.5116671999999998</v>
      </c>
      <c r="W1650" s="6">
        <v>453</v>
      </c>
      <c r="X1650" s="1">
        <f>W1650 * (1/((10^((0.0901821 + (2729.92 /(273.15 + Q1650)))-AE1650)+1)))</f>
        <v>1.5166777420197179</v>
      </c>
      <c r="Y1650" s="6">
        <v>0.13900000000000001</v>
      </c>
      <c r="Z1650" s="6">
        <v>38.44</v>
      </c>
      <c r="AA1650" s="6">
        <v>8</v>
      </c>
      <c r="AD1650" s="6">
        <v>0</v>
      </c>
      <c r="AE1650" s="6">
        <v>7.18</v>
      </c>
      <c r="AK1650" s="6">
        <v>129.47999999999999</v>
      </c>
      <c r="AL1650" s="6">
        <v>1513.366</v>
      </c>
      <c r="AM1650" s="6"/>
      <c r="AN1650" s="6"/>
      <c r="AO1650" s="6"/>
      <c r="AP1650" s="6"/>
      <c r="AQ1650" s="6"/>
    </row>
    <row r="1651" spans="1:50" x14ac:dyDescent="0.3">
      <c r="A1651" s="6">
        <v>24001</v>
      </c>
      <c r="B1651" s="5" t="s">
        <v>215</v>
      </c>
      <c r="C1651" s="5" t="s">
        <v>216</v>
      </c>
      <c r="D1651" s="2">
        <f t="shared" si="100"/>
        <v>2013</v>
      </c>
      <c r="E1651" s="2">
        <f t="shared" si="101"/>
        <v>8</v>
      </c>
      <c r="F1651" s="3" t="s">
        <v>179</v>
      </c>
      <c r="G1651" s="7">
        <v>41508</v>
      </c>
      <c r="H1651" s="6">
        <v>6597555</v>
      </c>
      <c r="I1651" s="6">
        <v>1629125</v>
      </c>
      <c r="J1651" s="5" t="s">
        <v>185</v>
      </c>
      <c r="K1651" s="1"/>
      <c r="L1651" s="1" t="str">
        <f t="shared" si="102"/>
        <v xml:space="preserve">Gullsjön </v>
      </c>
      <c r="M1651" s="1" t="s">
        <v>177</v>
      </c>
      <c r="N1651" s="6">
        <v>0.5</v>
      </c>
      <c r="O1651" s="6">
        <v>0.5</v>
      </c>
      <c r="P1651" s="6">
        <v>2</v>
      </c>
      <c r="Q1651" s="6">
        <v>20.3</v>
      </c>
      <c r="R1651" s="6">
        <v>6.8</v>
      </c>
      <c r="S1651" s="6">
        <v>75</v>
      </c>
      <c r="V1651" s="6">
        <v>1.7071488000000001</v>
      </c>
      <c r="W1651" s="6">
        <v>3.59</v>
      </c>
      <c r="X1651" s="1">
        <f>W1651 * (1/((10^((0.0901821 + (2729.92 /(273.15 + Q1651)))-AE1651)+1)))</f>
        <v>3.2965564005788879E-2</v>
      </c>
      <c r="Y1651" s="6">
        <v>0.16200000000000001</v>
      </c>
      <c r="Z1651" s="6">
        <v>1.78</v>
      </c>
      <c r="AA1651" s="6">
        <v>0.68</v>
      </c>
      <c r="AB1651" s="6">
        <v>2.780484</v>
      </c>
      <c r="AD1651" s="6">
        <v>0</v>
      </c>
      <c r="AE1651" s="6">
        <v>7.36</v>
      </c>
      <c r="AK1651" s="6">
        <v>16.829999999999998</v>
      </c>
      <c r="AL1651" s="6">
        <v>678.18100000000004</v>
      </c>
      <c r="AM1651" s="6"/>
      <c r="AN1651" s="6"/>
      <c r="AO1651" s="6"/>
      <c r="AP1651" s="6"/>
      <c r="AQ1651" s="6"/>
    </row>
    <row r="1652" spans="1:50" x14ac:dyDescent="0.3">
      <c r="A1652" s="6">
        <v>24002</v>
      </c>
      <c r="B1652" s="5" t="s">
        <v>215</v>
      </c>
      <c r="C1652" s="5" t="s">
        <v>216</v>
      </c>
      <c r="D1652" s="2">
        <f t="shared" si="100"/>
        <v>2013</v>
      </c>
      <c r="E1652" s="2">
        <f t="shared" si="101"/>
        <v>8</v>
      </c>
      <c r="F1652" s="3" t="s">
        <v>179</v>
      </c>
      <c r="G1652" s="7">
        <v>41508</v>
      </c>
      <c r="H1652" s="6">
        <v>6597555</v>
      </c>
      <c r="I1652" s="6">
        <v>1629125</v>
      </c>
      <c r="J1652" s="5" t="s">
        <v>185</v>
      </c>
      <c r="K1652" s="1"/>
      <c r="L1652" s="1" t="str">
        <f t="shared" si="102"/>
        <v xml:space="preserve">Gullsjön </v>
      </c>
      <c r="M1652" s="5" t="s">
        <v>211</v>
      </c>
      <c r="N1652" s="6">
        <v>1</v>
      </c>
      <c r="O1652" s="6">
        <v>1</v>
      </c>
      <c r="Q1652" s="6">
        <v>18.399999999999999</v>
      </c>
      <c r="R1652" s="6">
        <v>5.2</v>
      </c>
      <c r="S1652" s="6">
        <v>55</v>
      </c>
    </row>
    <row r="1653" spans="1:50" x14ac:dyDescent="0.3">
      <c r="A1653" s="6">
        <v>24003</v>
      </c>
      <c r="B1653" s="5" t="s">
        <v>215</v>
      </c>
      <c r="C1653" s="5" t="s">
        <v>216</v>
      </c>
      <c r="D1653" s="2">
        <f t="shared" si="100"/>
        <v>2013</v>
      </c>
      <c r="E1653" s="2">
        <f t="shared" si="101"/>
        <v>8</v>
      </c>
      <c r="F1653" s="3" t="s">
        <v>179</v>
      </c>
      <c r="G1653" s="7">
        <v>41508</v>
      </c>
      <c r="H1653" s="6">
        <v>6597555</v>
      </c>
      <c r="I1653" s="6">
        <v>1629125</v>
      </c>
      <c r="J1653" s="5" t="s">
        <v>185</v>
      </c>
      <c r="K1653" s="1"/>
      <c r="L1653" s="1" t="str">
        <f t="shared" si="102"/>
        <v xml:space="preserve">Gullsjön </v>
      </c>
      <c r="M1653" s="1" t="s">
        <v>184</v>
      </c>
      <c r="N1653" s="6">
        <v>2</v>
      </c>
      <c r="O1653" s="6">
        <v>2</v>
      </c>
      <c r="Q1653" s="6">
        <v>16.899999999999999</v>
      </c>
      <c r="R1653" s="6">
        <v>0.3</v>
      </c>
      <c r="S1653" s="6">
        <v>3</v>
      </c>
      <c r="V1653" s="6">
        <v>1.7463936</v>
      </c>
      <c r="W1653" s="6">
        <v>3.2170000000000001</v>
      </c>
      <c r="X1653" s="1">
        <f>W1653 * (1/((10^((0.0901821 + (2729.92 /(273.15 + Q1653)))-AE1653)+1)))</f>
        <v>8.7939835315901105E-3</v>
      </c>
      <c r="Y1653" s="6">
        <v>0.17299999999999999</v>
      </c>
      <c r="Z1653" s="6">
        <v>1.8199999999999998</v>
      </c>
      <c r="AA1653" s="6">
        <v>0.86</v>
      </c>
      <c r="AD1653" s="6">
        <v>0</v>
      </c>
      <c r="AE1653" s="6">
        <v>6.9399999999999995</v>
      </c>
      <c r="AK1653" s="6">
        <v>17.309999999999999</v>
      </c>
      <c r="AL1653" s="6">
        <v>681.66800000000001</v>
      </c>
      <c r="AM1653" s="6"/>
      <c r="AN1653" s="6"/>
      <c r="AO1653" s="6"/>
      <c r="AP1653" s="6"/>
      <c r="AQ1653" s="6"/>
    </row>
    <row r="1654" spans="1:50" x14ac:dyDescent="0.3">
      <c r="A1654" s="6">
        <v>24019</v>
      </c>
      <c r="B1654" s="5" t="s">
        <v>215</v>
      </c>
      <c r="C1654" s="5" t="s">
        <v>216</v>
      </c>
      <c r="D1654" s="2">
        <f t="shared" si="100"/>
        <v>2013</v>
      </c>
      <c r="E1654" s="2">
        <f t="shared" si="101"/>
        <v>8</v>
      </c>
      <c r="F1654" s="3" t="s">
        <v>179</v>
      </c>
      <c r="G1654" s="7">
        <v>41508</v>
      </c>
      <c r="H1654" s="6">
        <v>6595470</v>
      </c>
      <c r="I1654" s="6">
        <v>1622370</v>
      </c>
      <c r="J1654" s="5" t="s">
        <v>190</v>
      </c>
      <c r="K1654" s="1"/>
      <c r="L1654" s="1" t="str">
        <f t="shared" si="102"/>
        <v xml:space="preserve">Snuggan </v>
      </c>
      <c r="M1654" s="1" t="s">
        <v>177</v>
      </c>
      <c r="N1654" s="6">
        <v>0.5</v>
      </c>
      <c r="O1654" s="6">
        <v>0.5</v>
      </c>
      <c r="P1654" s="6">
        <v>1.1000000000000001</v>
      </c>
      <c r="Q1654" s="6">
        <v>19.5</v>
      </c>
      <c r="R1654" s="6">
        <v>8.3000000000000007</v>
      </c>
      <c r="S1654" s="6">
        <v>90</v>
      </c>
      <c r="V1654" s="6">
        <v>2.3546879999999999E-2</v>
      </c>
      <c r="W1654" s="6">
        <v>3.0990000000000002</v>
      </c>
      <c r="X1654" s="1">
        <f>W1654 * (1/((10^((0.0901821 + (2729.92 /(273.15 + Q1654)))-AE1654)+1)))</f>
        <v>6.4963935782697143E-4</v>
      </c>
      <c r="Y1654" s="6">
        <v>0.67</v>
      </c>
      <c r="Z1654" s="6">
        <v>2.12</v>
      </c>
      <c r="AA1654" s="6">
        <v>2.9</v>
      </c>
      <c r="AB1654" s="6">
        <v>33.390124999999998</v>
      </c>
      <c r="AD1654" s="6">
        <v>0</v>
      </c>
      <c r="AE1654" s="6">
        <v>5.74</v>
      </c>
      <c r="AI1654" s="6">
        <v>32.32</v>
      </c>
      <c r="AK1654" s="6">
        <v>39.159999999999997</v>
      </c>
      <c r="AL1654" s="6">
        <v>1186.5050000000001</v>
      </c>
      <c r="AM1654" s="6"/>
      <c r="AN1654" s="6"/>
      <c r="AO1654" s="6"/>
      <c r="AP1654" s="6"/>
      <c r="AQ1654" s="6"/>
      <c r="AR1654" s="6">
        <v>2.95</v>
      </c>
      <c r="AT1654" s="6">
        <v>4</v>
      </c>
      <c r="AU1654" s="6">
        <v>0.82399999999999896</v>
      </c>
      <c r="AV1654" s="6">
        <v>5.25</v>
      </c>
      <c r="AW1654" s="6">
        <v>4.93</v>
      </c>
      <c r="AX1654" s="6">
        <v>2.5</v>
      </c>
    </row>
    <row r="1655" spans="1:50" x14ac:dyDescent="0.3">
      <c r="A1655" s="6">
        <v>24020</v>
      </c>
      <c r="B1655" s="5" t="s">
        <v>215</v>
      </c>
      <c r="C1655" s="5" t="s">
        <v>216</v>
      </c>
      <c r="D1655" s="2">
        <f t="shared" si="100"/>
        <v>2013</v>
      </c>
      <c r="E1655" s="2">
        <f t="shared" si="101"/>
        <v>8</v>
      </c>
      <c r="F1655" s="3" t="s">
        <v>179</v>
      </c>
      <c r="G1655" s="7">
        <v>41508</v>
      </c>
      <c r="H1655" s="6">
        <v>6595470</v>
      </c>
      <c r="I1655" s="6">
        <v>1622370</v>
      </c>
      <c r="J1655" s="5" t="s">
        <v>190</v>
      </c>
      <c r="K1655" s="1"/>
      <c r="L1655" s="1" t="str">
        <f t="shared" si="102"/>
        <v xml:space="preserve">Snuggan </v>
      </c>
      <c r="M1655" s="5" t="s">
        <v>211</v>
      </c>
      <c r="N1655" s="6">
        <v>1</v>
      </c>
      <c r="O1655" s="6">
        <v>1</v>
      </c>
      <c r="Q1655" s="6">
        <v>18.399999999999999</v>
      </c>
      <c r="R1655" s="6">
        <v>5.4</v>
      </c>
      <c r="S1655" s="6">
        <v>57</v>
      </c>
    </row>
    <row r="1656" spans="1:50" x14ac:dyDescent="0.3">
      <c r="A1656" s="6">
        <v>24021</v>
      </c>
      <c r="B1656" s="5" t="s">
        <v>215</v>
      </c>
      <c r="C1656" s="5" t="s">
        <v>216</v>
      </c>
      <c r="D1656" s="2">
        <f t="shared" si="100"/>
        <v>2013</v>
      </c>
      <c r="E1656" s="2">
        <f t="shared" si="101"/>
        <v>8</v>
      </c>
      <c r="F1656" s="3" t="s">
        <v>179</v>
      </c>
      <c r="G1656" s="7">
        <v>41508</v>
      </c>
      <c r="H1656" s="6">
        <v>6595470</v>
      </c>
      <c r="I1656" s="6">
        <v>1622370</v>
      </c>
      <c r="J1656" s="5" t="s">
        <v>190</v>
      </c>
      <c r="K1656" s="1"/>
      <c r="L1656" s="1" t="str">
        <f t="shared" si="102"/>
        <v xml:space="preserve">Snuggan </v>
      </c>
      <c r="M1656" s="5" t="s">
        <v>212</v>
      </c>
      <c r="N1656" s="6">
        <v>2</v>
      </c>
      <c r="O1656" s="6">
        <v>2</v>
      </c>
      <c r="Q1656" s="6">
        <v>14.2</v>
      </c>
      <c r="R1656" s="6">
        <v>0.1</v>
      </c>
      <c r="S1656" s="6">
        <v>1</v>
      </c>
    </row>
    <row r="1657" spans="1:50" x14ac:dyDescent="0.3">
      <c r="A1657" s="6">
        <v>24022</v>
      </c>
      <c r="B1657" s="5" t="s">
        <v>215</v>
      </c>
      <c r="C1657" s="5" t="s">
        <v>216</v>
      </c>
      <c r="D1657" s="2">
        <f t="shared" si="100"/>
        <v>2013</v>
      </c>
      <c r="E1657" s="2">
        <f t="shared" si="101"/>
        <v>8</v>
      </c>
      <c r="F1657" s="3" t="s">
        <v>179</v>
      </c>
      <c r="G1657" s="7">
        <v>41508</v>
      </c>
      <c r="H1657" s="6">
        <v>6595470</v>
      </c>
      <c r="I1657" s="6">
        <v>1622370</v>
      </c>
      <c r="J1657" s="5" t="s">
        <v>190</v>
      </c>
      <c r="K1657" s="1"/>
      <c r="L1657" s="1" t="str">
        <f t="shared" si="102"/>
        <v xml:space="preserve">Snuggan </v>
      </c>
      <c r="M1657" s="1" t="s">
        <v>184</v>
      </c>
      <c r="N1657" s="6">
        <v>2.6</v>
      </c>
      <c r="O1657" s="6">
        <v>2.6</v>
      </c>
      <c r="Q1657" s="6">
        <v>12.5</v>
      </c>
      <c r="R1657" s="6">
        <v>0.1</v>
      </c>
      <c r="S1657" s="6">
        <v>1</v>
      </c>
      <c r="V1657" s="6">
        <v>0.17267711999999999</v>
      </c>
      <c r="W1657" s="6">
        <v>9.359</v>
      </c>
      <c r="X1657" s="1">
        <f>W1657 * (1/((10^((0.0901821 + (2729.92 /(273.15 + Q1657)))-AE1657)+1)))</f>
        <v>1.1591062858713093E-3</v>
      </c>
      <c r="Y1657" s="6">
        <v>0.86</v>
      </c>
      <c r="Z1657" s="6">
        <v>3.6</v>
      </c>
      <c r="AA1657" s="6">
        <v>6.2</v>
      </c>
      <c r="AD1657" s="6">
        <v>0</v>
      </c>
      <c r="AE1657" s="6">
        <v>5.74</v>
      </c>
      <c r="AK1657" s="6">
        <v>47.97</v>
      </c>
      <c r="AL1657" s="6">
        <v>1217.6089999999999</v>
      </c>
      <c r="AM1657" s="6"/>
      <c r="AN1657" s="6"/>
      <c r="AO1657" s="6"/>
      <c r="AP1657" s="6"/>
      <c r="AQ1657" s="6"/>
    </row>
    <row r="1658" spans="1:50" x14ac:dyDescent="0.3">
      <c r="A1658" s="6">
        <v>24023</v>
      </c>
      <c r="B1658" s="5" t="s">
        <v>215</v>
      </c>
      <c r="C1658" s="5" t="s">
        <v>216</v>
      </c>
      <c r="D1658" s="2">
        <f t="shared" si="100"/>
        <v>2013</v>
      </c>
      <c r="E1658" s="2">
        <f t="shared" si="101"/>
        <v>8</v>
      </c>
      <c r="F1658" s="3" t="s">
        <v>179</v>
      </c>
      <c r="G1658" s="7">
        <v>41508</v>
      </c>
      <c r="H1658" s="6">
        <v>6594980</v>
      </c>
      <c r="I1658" s="6">
        <v>1622960</v>
      </c>
      <c r="J1658" s="5" t="s">
        <v>192</v>
      </c>
      <c r="K1658" s="1"/>
      <c r="L1658" s="1" t="str">
        <f t="shared" si="102"/>
        <v xml:space="preserve">Väsjön </v>
      </c>
      <c r="M1658" s="1" t="s">
        <v>177</v>
      </c>
      <c r="N1658" s="6">
        <v>0.5</v>
      </c>
      <c r="O1658" s="6">
        <v>0.5</v>
      </c>
      <c r="P1658" s="6">
        <v>2.5</v>
      </c>
      <c r="Q1658" s="6">
        <v>19.8</v>
      </c>
      <c r="R1658" s="6">
        <v>7.3</v>
      </c>
      <c r="S1658" s="6">
        <v>79</v>
      </c>
      <c r="V1658" s="6">
        <v>3.0414720000000002</v>
      </c>
      <c r="W1658" s="6">
        <v>6.1029999999999998</v>
      </c>
      <c r="X1658" s="1">
        <f>W1658 * (1/((10^((0.0901821 + (2729.92 /(273.15 + Q1658)))-AE1658)+1)))</f>
        <v>0.13701765553207201</v>
      </c>
      <c r="Y1658" s="6">
        <v>0.06</v>
      </c>
      <c r="Z1658" s="6">
        <v>1.38</v>
      </c>
      <c r="AA1658" s="6">
        <v>1.6</v>
      </c>
      <c r="AB1658" s="6">
        <v>3.7755039999999997</v>
      </c>
      <c r="AD1658" s="6">
        <v>0</v>
      </c>
      <c r="AE1658" s="6">
        <v>7.77</v>
      </c>
      <c r="AK1658" s="6">
        <v>21.31</v>
      </c>
      <c r="AL1658" s="6">
        <v>655.7</v>
      </c>
      <c r="AM1658" s="6"/>
      <c r="AN1658" s="6"/>
      <c r="AO1658" s="6"/>
      <c r="AP1658" s="6"/>
      <c r="AQ1658" s="6"/>
    </row>
    <row r="1659" spans="1:50" x14ac:dyDescent="0.3">
      <c r="A1659" s="6">
        <v>24024</v>
      </c>
      <c r="B1659" s="5" t="s">
        <v>215</v>
      </c>
      <c r="C1659" s="5" t="s">
        <v>216</v>
      </c>
      <c r="D1659" s="2">
        <f t="shared" si="100"/>
        <v>2013</v>
      </c>
      <c r="E1659" s="2">
        <f t="shared" si="101"/>
        <v>8</v>
      </c>
      <c r="F1659" s="3" t="s">
        <v>179</v>
      </c>
      <c r="G1659" s="7">
        <v>41508</v>
      </c>
      <c r="H1659" s="6">
        <v>6594980</v>
      </c>
      <c r="I1659" s="6">
        <v>1622960</v>
      </c>
      <c r="J1659" s="5" t="s">
        <v>192</v>
      </c>
      <c r="K1659" s="1"/>
      <c r="L1659" s="1" t="str">
        <f t="shared" si="102"/>
        <v xml:space="preserve">Väsjön </v>
      </c>
      <c r="M1659" s="5" t="s">
        <v>211</v>
      </c>
      <c r="N1659" s="6">
        <v>1</v>
      </c>
      <c r="O1659" s="6">
        <v>1</v>
      </c>
      <c r="Q1659" s="6">
        <v>19.2</v>
      </c>
      <c r="R1659" s="6">
        <v>7.4</v>
      </c>
      <c r="S1659" s="6">
        <v>80</v>
      </c>
    </row>
    <row r="1660" spans="1:50" x14ac:dyDescent="0.3">
      <c r="A1660" s="6">
        <v>24025</v>
      </c>
      <c r="B1660" s="5" t="s">
        <v>215</v>
      </c>
      <c r="C1660" s="5" t="s">
        <v>216</v>
      </c>
      <c r="D1660" s="2">
        <f t="shared" si="100"/>
        <v>2013</v>
      </c>
      <c r="E1660" s="2">
        <f t="shared" si="101"/>
        <v>8</v>
      </c>
      <c r="F1660" s="3" t="s">
        <v>179</v>
      </c>
      <c r="G1660" s="7">
        <v>41508</v>
      </c>
      <c r="H1660" s="6">
        <v>6594980</v>
      </c>
      <c r="I1660" s="6">
        <v>1622960</v>
      </c>
      <c r="J1660" s="5" t="s">
        <v>192</v>
      </c>
      <c r="K1660" s="1"/>
      <c r="L1660" s="1" t="str">
        <f t="shared" si="102"/>
        <v xml:space="preserve">Väsjön </v>
      </c>
      <c r="M1660" s="5" t="s">
        <v>212</v>
      </c>
      <c r="N1660" s="6">
        <v>2</v>
      </c>
      <c r="O1660" s="6">
        <v>2</v>
      </c>
      <c r="Q1660" s="6">
        <v>19.2</v>
      </c>
      <c r="R1660" s="6">
        <v>7.6</v>
      </c>
      <c r="S1660" s="6">
        <v>81</v>
      </c>
    </row>
    <row r="1661" spans="1:50" x14ac:dyDescent="0.3">
      <c r="A1661" s="6">
        <v>24026</v>
      </c>
      <c r="B1661" s="5" t="s">
        <v>215</v>
      </c>
      <c r="C1661" s="5" t="s">
        <v>216</v>
      </c>
      <c r="D1661" s="2">
        <f t="shared" si="100"/>
        <v>2013</v>
      </c>
      <c r="E1661" s="2">
        <f t="shared" si="101"/>
        <v>8</v>
      </c>
      <c r="F1661" s="3" t="s">
        <v>179</v>
      </c>
      <c r="G1661" s="7">
        <v>41508</v>
      </c>
      <c r="H1661" s="6">
        <v>6594980</v>
      </c>
      <c r="I1661" s="6">
        <v>1622960</v>
      </c>
      <c r="J1661" s="5" t="s">
        <v>192</v>
      </c>
      <c r="K1661" s="1"/>
      <c r="L1661" s="1" t="str">
        <f t="shared" si="102"/>
        <v xml:space="preserve">Väsjön </v>
      </c>
      <c r="M1661" s="1" t="s">
        <v>184</v>
      </c>
      <c r="N1661" s="6">
        <v>2.5</v>
      </c>
      <c r="O1661" s="6">
        <v>2.5</v>
      </c>
      <c r="Q1661" s="6">
        <v>19.2</v>
      </c>
      <c r="R1661" s="6">
        <v>7.6</v>
      </c>
      <c r="S1661" s="6">
        <v>82</v>
      </c>
      <c r="V1661" s="6">
        <v>2.9629824</v>
      </c>
      <c r="W1661" s="6">
        <v>5.6779999999999999</v>
      </c>
      <c r="X1661" s="1">
        <f>W1661 * (1/((10^((0.0901821 + (2729.92 /(273.15 + Q1661)))-AE1661)+1)))</f>
        <v>0.13360526511001339</v>
      </c>
      <c r="Y1661" s="6">
        <v>5.8999999999999997E-2</v>
      </c>
      <c r="Z1661" s="6">
        <v>1.6600000000000001</v>
      </c>
      <c r="AA1661" s="6">
        <v>1.75</v>
      </c>
      <c r="AD1661" s="6">
        <v>0</v>
      </c>
      <c r="AE1661" s="6">
        <v>7.8100000000000005</v>
      </c>
      <c r="AK1661" s="6">
        <v>24.78</v>
      </c>
      <c r="AL1661" s="6">
        <v>643.94100000000003</v>
      </c>
      <c r="AM1661" s="6"/>
      <c r="AN1661" s="6"/>
      <c r="AO1661" s="6"/>
      <c r="AP1661" s="6"/>
      <c r="AQ1661" s="6"/>
    </row>
    <row r="1662" spans="1:50" x14ac:dyDescent="0.3">
      <c r="A1662" s="6">
        <v>24027</v>
      </c>
      <c r="B1662" s="5" t="s">
        <v>215</v>
      </c>
      <c r="C1662" s="5" t="s">
        <v>216</v>
      </c>
      <c r="D1662" s="2">
        <f t="shared" si="100"/>
        <v>2013</v>
      </c>
      <c r="E1662" s="2">
        <f t="shared" si="101"/>
        <v>8</v>
      </c>
      <c r="F1662" s="3" t="s">
        <v>179</v>
      </c>
      <c r="G1662" s="7">
        <v>41508</v>
      </c>
      <c r="H1662" s="6">
        <v>6595400</v>
      </c>
      <c r="I1662" s="6">
        <v>1624045</v>
      </c>
      <c r="J1662" s="5" t="s">
        <v>183</v>
      </c>
      <c r="K1662" s="1"/>
      <c r="L1662" s="1" t="str">
        <f t="shared" si="102"/>
        <v xml:space="preserve">Fjäturen </v>
      </c>
      <c r="M1662" s="1" t="s">
        <v>177</v>
      </c>
      <c r="N1662" s="6">
        <v>0.5</v>
      </c>
      <c r="O1662" s="6">
        <v>0.5</v>
      </c>
      <c r="P1662" s="6">
        <v>3.1</v>
      </c>
      <c r="Q1662" s="6">
        <v>19.5</v>
      </c>
      <c r="R1662" s="6">
        <v>8</v>
      </c>
      <c r="S1662" s="6">
        <v>87</v>
      </c>
      <c r="V1662" s="6">
        <v>1.9426176000000002</v>
      </c>
      <c r="W1662" s="6">
        <v>6.0090000000000003</v>
      </c>
      <c r="X1662" s="1">
        <f>W1662 * (1/((10^((0.0901821 + (2729.92 /(273.15 + Q1662)))-AE1662)+1)))</f>
        <v>0.17284956085342243</v>
      </c>
      <c r="Y1662" s="6">
        <v>6.2E-2</v>
      </c>
      <c r="Z1662" s="6">
        <v>2.06</v>
      </c>
      <c r="AA1662" s="6">
        <v>1.95</v>
      </c>
      <c r="AB1662" s="6">
        <v>6.1018949999999998</v>
      </c>
      <c r="AD1662" s="6">
        <v>0</v>
      </c>
      <c r="AE1662" s="6">
        <v>7.89</v>
      </c>
      <c r="AK1662" s="6">
        <v>21.91</v>
      </c>
      <c r="AL1662" s="6">
        <v>573.59500000000003</v>
      </c>
      <c r="AM1662" s="6"/>
      <c r="AN1662" s="6"/>
      <c r="AO1662" s="6"/>
      <c r="AP1662" s="6"/>
      <c r="AQ1662" s="6"/>
    </row>
    <row r="1663" spans="1:50" x14ac:dyDescent="0.3">
      <c r="A1663" s="6">
        <v>24028</v>
      </c>
      <c r="B1663" s="5" t="s">
        <v>215</v>
      </c>
      <c r="C1663" s="5" t="s">
        <v>216</v>
      </c>
      <c r="D1663" s="2">
        <f t="shared" si="100"/>
        <v>2013</v>
      </c>
      <c r="E1663" s="2">
        <f t="shared" si="101"/>
        <v>8</v>
      </c>
      <c r="F1663" s="3" t="s">
        <v>179</v>
      </c>
      <c r="G1663" s="7">
        <v>41508</v>
      </c>
      <c r="H1663" s="6">
        <v>6595400</v>
      </c>
      <c r="I1663" s="6">
        <v>1624045</v>
      </c>
      <c r="J1663" s="5" t="s">
        <v>183</v>
      </c>
      <c r="K1663" s="1"/>
      <c r="L1663" s="1" t="str">
        <f t="shared" si="102"/>
        <v xml:space="preserve">Fjäturen </v>
      </c>
      <c r="M1663" s="5" t="s">
        <v>211</v>
      </c>
      <c r="N1663" s="6">
        <v>1</v>
      </c>
      <c r="O1663" s="6">
        <v>1</v>
      </c>
      <c r="Q1663" s="6">
        <v>19.5</v>
      </c>
      <c r="R1663" s="6">
        <v>7.9</v>
      </c>
      <c r="S1663" s="6">
        <v>86</v>
      </c>
    </row>
    <row r="1664" spans="1:50" x14ac:dyDescent="0.3">
      <c r="A1664" s="6">
        <v>24029</v>
      </c>
      <c r="B1664" s="5" t="s">
        <v>215</v>
      </c>
      <c r="C1664" s="5" t="s">
        <v>216</v>
      </c>
      <c r="D1664" s="2">
        <f t="shared" si="100"/>
        <v>2013</v>
      </c>
      <c r="E1664" s="2">
        <f t="shared" si="101"/>
        <v>8</v>
      </c>
      <c r="F1664" s="3" t="s">
        <v>179</v>
      </c>
      <c r="G1664" s="7">
        <v>41508</v>
      </c>
      <c r="H1664" s="6">
        <v>6595400</v>
      </c>
      <c r="I1664" s="6">
        <v>1624045</v>
      </c>
      <c r="J1664" s="5" t="s">
        <v>183</v>
      </c>
      <c r="K1664" s="1"/>
      <c r="L1664" s="1" t="str">
        <f t="shared" si="102"/>
        <v xml:space="preserve">Fjäturen </v>
      </c>
      <c r="M1664" s="5" t="s">
        <v>212</v>
      </c>
      <c r="N1664" s="6">
        <v>2</v>
      </c>
      <c r="O1664" s="6">
        <v>2</v>
      </c>
      <c r="Q1664" s="6">
        <v>19.5</v>
      </c>
      <c r="R1664" s="6">
        <v>8</v>
      </c>
      <c r="S1664" s="6">
        <v>86</v>
      </c>
    </row>
    <row r="1665" spans="1:43" x14ac:dyDescent="0.3">
      <c r="A1665" s="6">
        <v>24030</v>
      </c>
      <c r="B1665" s="5" t="s">
        <v>215</v>
      </c>
      <c r="C1665" s="5" t="s">
        <v>216</v>
      </c>
      <c r="D1665" s="2">
        <f t="shared" si="100"/>
        <v>2013</v>
      </c>
      <c r="E1665" s="2">
        <f t="shared" si="101"/>
        <v>8</v>
      </c>
      <c r="F1665" s="3" t="s">
        <v>179</v>
      </c>
      <c r="G1665" s="7">
        <v>41508</v>
      </c>
      <c r="H1665" s="6">
        <v>6595400</v>
      </c>
      <c r="I1665" s="6">
        <v>1624045</v>
      </c>
      <c r="J1665" s="5" t="s">
        <v>183</v>
      </c>
      <c r="K1665" s="1"/>
      <c r="L1665" s="1" t="str">
        <f t="shared" si="102"/>
        <v xml:space="preserve">Fjäturen </v>
      </c>
      <c r="M1665" s="5" t="s">
        <v>213</v>
      </c>
      <c r="N1665" s="6">
        <v>3</v>
      </c>
      <c r="O1665" s="6">
        <v>3</v>
      </c>
      <c r="Q1665" s="6">
        <v>19.5</v>
      </c>
      <c r="R1665" s="6">
        <v>7.9</v>
      </c>
      <c r="S1665" s="6">
        <v>85</v>
      </c>
    </row>
    <row r="1666" spans="1:43" x14ac:dyDescent="0.3">
      <c r="A1666" s="6">
        <v>24031</v>
      </c>
      <c r="B1666" s="5" t="s">
        <v>215</v>
      </c>
      <c r="C1666" s="5" t="s">
        <v>216</v>
      </c>
      <c r="D1666" s="2">
        <f t="shared" ref="D1666:D1729" si="103">YEAR(G1666)</f>
        <v>2013</v>
      </c>
      <c r="E1666" s="2">
        <f t="shared" ref="E1666:E1729" si="104">MONTH(G1666)</f>
        <v>8</v>
      </c>
      <c r="F1666" s="3" t="s">
        <v>179</v>
      </c>
      <c r="G1666" s="7">
        <v>41508</v>
      </c>
      <c r="H1666" s="6">
        <v>6595400</v>
      </c>
      <c r="I1666" s="6">
        <v>1624045</v>
      </c>
      <c r="J1666" s="5" t="s">
        <v>183</v>
      </c>
      <c r="K1666" s="1"/>
      <c r="L1666" s="1" t="str">
        <f t="shared" ref="L1666:L1729" si="105">CONCATENATE(J1666," ",K1666)</f>
        <v xml:space="preserve">Fjäturen </v>
      </c>
      <c r="M1666" s="5" t="s">
        <v>214</v>
      </c>
      <c r="N1666" s="6">
        <v>4</v>
      </c>
      <c r="O1666" s="6">
        <v>4</v>
      </c>
      <c r="Q1666" s="6">
        <v>19.399999999999999</v>
      </c>
      <c r="R1666" s="6">
        <v>7.8</v>
      </c>
      <c r="S1666" s="6">
        <v>84</v>
      </c>
    </row>
    <row r="1667" spans="1:43" x14ac:dyDescent="0.3">
      <c r="A1667" s="6">
        <v>24032</v>
      </c>
      <c r="B1667" s="5" t="s">
        <v>215</v>
      </c>
      <c r="C1667" s="5" t="s">
        <v>216</v>
      </c>
      <c r="D1667" s="2">
        <f t="shared" si="103"/>
        <v>2013</v>
      </c>
      <c r="E1667" s="2">
        <f t="shared" si="104"/>
        <v>8</v>
      </c>
      <c r="F1667" s="3" t="s">
        <v>179</v>
      </c>
      <c r="G1667" s="7">
        <v>41508</v>
      </c>
      <c r="H1667" s="6">
        <v>6595400</v>
      </c>
      <c r="I1667" s="6">
        <v>1624045</v>
      </c>
      <c r="J1667" s="5" t="s">
        <v>183</v>
      </c>
      <c r="K1667" s="1"/>
      <c r="L1667" s="1" t="str">
        <f t="shared" si="105"/>
        <v xml:space="preserve">Fjäturen </v>
      </c>
      <c r="M1667" s="5" t="s">
        <v>217</v>
      </c>
      <c r="N1667" s="6">
        <v>5</v>
      </c>
      <c r="O1667" s="6">
        <v>5</v>
      </c>
      <c r="Q1667" s="6">
        <v>17.3</v>
      </c>
      <c r="R1667" s="6">
        <v>0.8</v>
      </c>
      <c r="S1667" s="6">
        <v>8</v>
      </c>
    </row>
    <row r="1668" spans="1:43" x14ac:dyDescent="0.3">
      <c r="A1668" s="6">
        <v>24033</v>
      </c>
      <c r="B1668" s="5" t="s">
        <v>215</v>
      </c>
      <c r="C1668" s="5" t="s">
        <v>216</v>
      </c>
      <c r="D1668" s="2">
        <f t="shared" si="103"/>
        <v>2013</v>
      </c>
      <c r="E1668" s="2">
        <f t="shared" si="104"/>
        <v>8</v>
      </c>
      <c r="F1668" s="3" t="s">
        <v>179</v>
      </c>
      <c r="G1668" s="7">
        <v>41508</v>
      </c>
      <c r="H1668" s="6">
        <v>6595400</v>
      </c>
      <c r="I1668" s="6">
        <v>1624045</v>
      </c>
      <c r="J1668" s="5" t="s">
        <v>183</v>
      </c>
      <c r="K1668" s="1"/>
      <c r="L1668" s="1" t="str">
        <f t="shared" si="105"/>
        <v xml:space="preserve">Fjäturen </v>
      </c>
      <c r="M1668" s="5" t="s">
        <v>218</v>
      </c>
      <c r="N1668" s="6">
        <v>6</v>
      </c>
      <c r="O1668" s="6">
        <v>6</v>
      </c>
      <c r="Q1668" s="6">
        <v>14.1</v>
      </c>
      <c r="R1668" s="6">
        <v>0.1</v>
      </c>
      <c r="S1668" s="6">
        <v>1</v>
      </c>
    </row>
    <row r="1669" spans="1:43" x14ac:dyDescent="0.3">
      <c r="A1669" s="6">
        <v>24034</v>
      </c>
      <c r="B1669" s="5" t="s">
        <v>215</v>
      </c>
      <c r="C1669" s="5" t="s">
        <v>216</v>
      </c>
      <c r="D1669" s="2">
        <f t="shared" si="103"/>
        <v>2013</v>
      </c>
      <c r="E1669" s="2">
        <f t="shared" si="104"/>
        <v>8</v>
      </c>
      <c r="F1669" s="3" t="s">
        <v>179</v>
      </c>
      <c r="G1669" s="7">
        <v>41508</v>
      </c>
      <c r="H1669" s="6">
        <v>6595400</v>
      </c>
      <c r="I1669" s="6">
        <v>1624045</v>
      </c>
      <c r="J1669" s="5" t="s">
        <v>183</v>
      </c>
      <c r="K1669" s="1"/>
      <c r="L1669" s="1" t="str">
        <f t="shared" si="105"/>
        <v xml:space="preserve">Fjäturen </v>
      </c>
      <c r="M1669" s="1" t="s">
        <v>184</v>
      </c>
      <c r="N1669" s="6">
        <v>6.8</v>
      </c>
      <c r="O1669" s="6">
        <v>6.8</v>
      </c>
      <c r="Q1669" s="6">
        <v>13.2</v>
      </c>
      <c r="R1669" s="6">
        <v>0.1</v>
      </c>
      <c r="S1669" s="6">
        <v>1</v>
      </c>
      <c r="V1669" s="6">
        <v>1.9033728000000001</v>
      </c>
      <c r="W1669" s="6">
        <v>52.39</v>
      </c>
      <c r="X1669" s="1">
        <f>W1669 * (1/((10^((0.0901821 + (2729.92 /(273.15 + Q1669)))-AE1669)+1)))</f>
        <v>0.34097501224190502</v>
      </c>
      <c r="Y1669" s="6">
        <v>6.6000000000000003E-2</v>
      </c>
      <c r="Z1669" s="6">
        <v>23.43</v>
      </c>
      <c r="AA1669" s="6">
        <v>4.8</v>
      </c>
      <c r="AD1669" s="6">
        <v>0</v>
      </c>
      <c r="AE1669" s="6">
        <v>7.44</v>
      </c>
      <c r="AK1669" s="6">
        <v>56.71</v>
      </c>
      <c r="AL1669" s="6">
        <v>717.81399999999996</v>
      </c>
      <c r="AM1669" s="6"/>
      <c r="AN1669" s="6"/>
      <c r="AO1669" s="6"/>
      <c r="AP1669" s="6"/>
      <c r="AQ1669" s="6"/>
    </row>
    <row r="1670" spans="1:43" x14ac:dyDescent="0.3">
      <c r="A1670" s="1">
        <v>24195</v>
      </c>
      <c r="B1670" s="1" t="s">
        <v>208</v>
      </c>
      <c r="C1670" s="1" t="s">
        <v>209</v>
      </c>
      <c r="D1670" s="2">
        <f t="shared" si="103"/>
        <v>2013</v>
      </c>
      <c r="E1670" s="2">
        <f t="shared" si="104"/>
        <v>8</v>
      </c>
      <c r="F1670" s="3" t="s">
        <v>179</v>
      </c>
      <c r="G1670" s="4">
        <v>41513</v>
      </c>
      <c r="H1670" s="1">
        <v>6600935</v>
      </c>
      <c r="I1670" s="1">
        <v>1626764</v>
      </c>
      <c r="J1670" s="1" t="s">
        <v>191</v>
      </c>
      <c r="K1670" s="1" t="s">
        <v>210</v>
      </c>
      <c r="L1670" s="1" t="str">
        <f t="shared" si="105"/>
        <v>Vallentunasjön Va2</v>
      </c>
      <c r="M1670" s="1" t="s">
        <v>177</v>
      </c>
      <c r="N1670" s="1">
        <v>0.5</v>
      </c>
      <c r="O1670" s="1">
        <v>0.5</v>
      </c>
      <c r="P1670" s="1">
        <v>0.4</v>
      </c>
      <c r="Q1670" s="1">
        <v>19.3</v>
      </c>
      <c r="R1670" s="1">
        <v>11</v>
      </c>
      <c r="S1670" s="1">
        <v>119</v>
      </c>
    </row>
    <row r="1671" spans="1:43" x14ac:dyDescent="0.3">
      <c r="A1671" s="1">
        <v>24196</v>
      </c>
      <c r="B1671" s="1" t="s">
        <v>208</v>
      </c>
      <c r="C1671" s="1" t="s">
        <v>209</v>
      </c>
      <c r="D1671" s="2">
        <f t="shared" si="103"/>
        <v>2013</v>
      </c>
      <c r="E1671" s="2">
        <f t="shared" si="104"/>
        <v>8</v>
      </c>
      <c r="F1671" s="3" t="s">
        <v>179</v>
      </c>
      <c r="G1671" s="4">
        <v>41513</v>
      </c>
      <c r="H1671" s="1">
        <v>6600935</v>
      </c>
      <c r="I1671" s="1">
        <v>1626764</v>
      </c>
      <c r="J1671" s="1" t="s">
        <v>191</v>
      </c>
      <c r="K1671" s="1" t="s">
        <v>210</v>
      </c>
      <c r="L1671" s="1" t="str">
        <f t="shared" si="105"/>
        <v>Vallentunasjön Va2</v>
      </c>
      <c r="M1671" s="1" t="s">
        <v>211</v>
      </c>
      <c r="N1671" s="1">
        <v>1</v>
      </c>
      <c r="O1671" s="1">
        <v>1</v>
      </c>
      <c r="Q1671" s="1">
        <v>19.3</v>
      </c>
      <c r="R1671" s="1">
        <v>10.9</v>
      </c>
      <c r="S1671" s="1">
        <v>117</v>
      </c>
    </row>
    <row r="1672" spans="1:43" x14ac:dyDescent="0.3">
      <c r="A1672" s="1">
        <v>24197</v>
      </c>
      <c r="B1672" s="1" t="s">
        <v>208</v>
      </c>
      <c r="C1672" s="1" t="s">
        <v>209</v>
      </c>
      <c r="D1672" s="2">
        <f t="shared" si="103"/>
        <v>2013</v>
      </c>
      <c r="E1672" s="2">
        <f t="shared" si="104"/>
        <v>8</v>
      </c>
      <c r="F1672" s="3" t="s">
        <v>179</v>
      </c>
      <c r="G1672" s="4">
        <v>41513</v>
      </c>
      <c r="H1672" s="1">
        <v>6600935</v>
      </c>
      <c r="I1672" s="1">
        <v>1626764</v>
      </c>
      <c r="J1672" s="1" t="s">
        <v>191</v>
      </c>
      <c r="K1672" s="1" t="s">
        <v>210</v>
      </c>
      <c r="L1672" s="1" t="str">
        <f t="shared" si="105"/>
        <v>Vallentunasjön Va2</v>
      </c>
      <c r="M1672" s="1" t="s">
        <v>212</v>
      </c>
      <c r="N1672" s="1">
        <v>2</v>
      </c>
      <c r="O1672" s="1">
        <v>2</v>
      </c>
      <c r="Q1672" s="1">
        <v>19.2</v>
      </c>
      <c r="R1672" s="1">
        <v>10.9</v>
      </c>
      <c r="S1672" s="1">
        <v>117</v>
      </c>
    </row>
    <row r="1673" spans="1:43" x14ac:dyDescent="0.3">
      <c r="A1673" s="1">
        <v>24198</v>
      </c>
      <c r="B1673" s="1" t="s">
        <v>208</v>
      </c>
      <c r="C1673" s="1" t="s">
        <v>209</v>
      </c>
      <c r="D1673" s="2">
        <f t="shared" si="103"/>
        <v>2013</v>
      </c>
      <c r="E1673" s="2">
        <f t="shared" si="104"/>
        <v>8</v>
      </c>
      <c r="F1673" s="3" t="s">
        <v>179</v>
      </c>
      <c r="G1673" s="4">
        <v>41513</v>
      </c>
      <c r="H1673" s="1">
        <v>6600935</v>
      </c>
      <c r="I1673" s="1">
        <v>1626764</v>
      </c>
      <c r="J1673" s="1" t="s">
        <v>191</v>
      </c>
      <c r="K1673" s="1" t="s">
        <v>210</v>
      </c>
      <c r="L1673" s="1" t="str">
        <f t="shared" si="105"/>
        <v>Vallentunasjön Va2</v>
      </c>
      <c r="M1673" s="1" t="s">
        <v>213</v>
      </c>
      <c r="N1673" s="1">
        <v>3</v>
      </c>
      <c r="O1673" s="1">
        <v>3</v>
      </c>
      <c r="Q1673" s="1">
        <v>19.100000000000001</v>
      </c>
      <c r="R1673" s="1">
        <v>10.9</v>
      </c>
      <c r="S1673" s="1">
        <v>117</v>
      </c>
    </row>
    <row r="1674" spans="1:43" x14ac:dyDescent="0.3">
      <c r="A1674" s="1">
        <v>24199</v>
      </c>
      <c r="B1674" s="1" t="s">
        <v>208</v>
      </c>
      <c r="C1674" s="1" t="s">
        <v>209</v>
      </c>
      <c r="D1674" s="2">
        <f t="shared" si="103"/>
        <v>2013</v>
      </c>
      <c r="E1674" s="2">
        <f t="shared" si="104"/>
        <v>8</v>
      </c>
      <c r="F1674" s="3" t="s">
        <v>179</v>
      </c>
      <c r="G1674" s="4">
        <v>41513</v>
      </c>
      <c r="H1674" s="1">
        <v>6600935</v>
      </c>
      <c r="I1674" s="1">
        <v>1626764</v>
      </c>
      <c r="J1674" s="1" t="s">
        <v>191</v>
      </c>
      <c r="K1674" s="1" t="s">
        <v>210</v>
      </c>
      <c r="L1674" s="1" t="str">
        <f t="shared" si="105"/>
        <v>Vallentunasjön Va2</v>
      </c>
      <c r="M1674" s="1" t="s">
        <v>214</v>
      </c>
      <c r="N1674" s="1">
        <v>4</v>
      </c>
      <c r="O1674" s="1">
        <v>4</v>
      </c>
      <c r="Q1674" s="1">
        <v>17.899999999999999</v>
      </c>
      <c r="R1674" s="1">
        <v>3.9</v>
      </c>
      <c r="S1674" s="1">
        <v>41</v>
      </c>
    </row>
    <row r="1675" spans="1:43" x14ac:dyDescent="0.3">
      <c r="A1675" s="1">
        <v>24200</v>
      </c>
      <c r="B1675" s="1" t="s">
        <v>208</v>
      </c>
      <c r="C1675" s="1" t="s">
        <v>209</v>
      </c>
      <c r="D1675" s="2">
        <f t="shared" si="103"/>
        <v>2013</v>
      </c>
      <c r="E1675" s="2">
        <f t="shared" si="104"/>
        <v>8</v>
      </c>
      <c r="F1675" s="3" t="s">
        <v>179</v>
      </c>
      <c r="G1675" s="4">
        <v>41513</v>
      </c>
      <c r="J1675" s="1" t="s">
        <v>191</v>
      </c>
      <c r="K1675" s="1" t="s">
        <v>206</v>
      </c>
      <c r="L1675" s="1" t="str">
        <f t="shared" si="105"/>
        <v>Vallentunasjön Blandprov</v>
      </c>
      <c r="M1675" s="1" t="s">
        <v>177</v>
      </c>
      <c r="W1675" s="1">
        <v>3.8069999999999999</v>
      </c>
      <c r="Z1675" s="1">
        <v>2.58</v>
      </c>
      <c r="AB1675" s="1">
        <v>41.102429999999998</v>
      </c>
      <c r="AD1675" s="1">
        <v>1.1659999999999999</v>
      </c>
      <c r="AG1675" s="1">
        <v>38.750000000000298</v>
      </c>
      <c r="AK1675" s="1">
        <v>91.23</v>
      </c>
      <c r="AL1675" s="1">
        <v>1734.8779999999999</v>
      </c>
    </row>
    <row r="1676" spans="1:43" x14ac:dyDescent="0.3">
      <c r="A1676" s="1">
        <v>24337</v>
      </c>
      <c r="B1676" s="1" t="s">
        <v>208</v>
      </c>
      <c r="C1676" s="1" t="s">
        <v>209</v>
      </c>
      <c r="D1676" s="2">
        <f t="shared" si="103"/>
        <v>2013</v>
      </c>
      <c r="E1676" s="2">
        <f t="shared" si="104"/>
        <v>9</v>
      </c>
      <c r="F1676" s="2"/>
      <c r="G1676" s="4">
        <v>41526</v>
      </c>
      <c r="H1676" s="1">
        <v>6600935</v>
      </c>
      <c r="I1676" s="1">
        <v>1626764</v>
      </c>
      <c r="J1676" s="1" t="s">
        <v>191</v>
      </c>
      <c r="K1676" s="1" t="s">
        <v>210</v>
      </c>
      <c r="L1676" s="1" t="str">
        <f t="shared" si="105"/>
        <v>Vallentunasjön Va2</v>
      </c>
      <c r="M1676" s="1" t="s">
        <v>177</v>
      </c>
      <c r="N1676" s="1">
        <v>0.5</v>
      </c>
      <c r="O1676" s="1">
        <v>0.5</v>
      </c>
      <c r="P1676" s="1">
        <v>0.4</v>
      </c>
      <c r="Q1676" s="1">
        <v>18.399999999999999</v>
      </c>
      <c r="R1676" s="1">
        <v>10.5</v>
      </c>
      <c r="S1676" s="1">
        <v>111</v>
      </c>
    </row>
    <row r="1677" spans="1:43" x14ac:dyDescent="0.3">
      <c r="A1677" s="1">
        <v>24338</v>
      </c>
      <c r="B1677" s="1" t="s">
        <v>208</v>
      </c>
      <c r="C1677" s="1" t="s">
        <v>209</v>
      </c>
      <c r="D1677" s="2">
        <f t="shared" si="103"/>
        <v>2013</v>
      </c>
      <c r="E1677" s="2">
        <f t="shared" si="104"/>
        <v>9</v>
      </c>
      <c r="F1677" s="2"/>
      <c r="G1677" s="4">
        <v>41526</v>
      </c>
      <c r="H1677" s="1">
        <v>6600935</v>
      </c>
      <c r="I1677" s="1">
        <v>1626764</v>
      </c>
      <c r="J1677" s="1" t="s">
        <v>191</v>
      </c>
      <c r="K1677" s="1" t="s">
        <v>210</v>
      </c>
      <c r="L1677" s="1" t="str">
        <f t="shared" si="105"/>
        <v>Vallentunasjön Va2</v>
      </c>
      <c r="M1677" s="1" t="s">
        <v>211</v>
      </c>
      <c r="N1677" s="1">
        <v>1</v>
      </c>
      <c r="O1677" s="1">
        <v>1</v>
      </c>
      <c r="Q1677" s="1">
        <v>18.3</v>
      </c>
      <c r="R1677" s="1">
        <v>10.199999999999999</v>
      </c>
      <c r="S1677" s="1">
        <v>107</v>
      </c>
    </row>
    <row r="1678" spans="1:43" x14ac:dyDescent="0.3">
      <c r="A1678" s="1">
        <v>24339</v>
      </c>
      <c r="B1678" s="1" t="s">
        <v>208</v>
      </c>
      <c r="C1678" s="1" t="s">
        <v>209</v>
      </c>
      <c r="D1678" s="2">
        <f t="shared" si="103"/>
        <v>2013</v>
      </c>
      <c r="E1678" s="2">
        <f t="shared" si="104"/>
        <v>9</v>
      </c>
      <c r="F1678" s="2"/>
      <c r="G1678" s="4">
        <v>41526</v>
      </c>
      <c r="H1678" s="1">
        <v>6600935</v>
      </c>
      <c r="I1678" s="1">
        <v>1626764</v>
      </c>
      <c r="J1678" s="1" t="s">
        <v>191</v>
      </c>
      <c r="K1678" s="1" t="s">
        <v>210</v>
      </c>
      <c r="L1678" s="1" t="str">
        <f t="shared" si="105"/>
        <v>Vallentunasjön Va2</v>
      </c>
      <c r="M1678" s="1" t="s">
        <v>212</v>
      </c>
      <c r="N1678" s="1">
        <v>2</v>
      </c>
      <c r="O1678" s="1">
        <v>2</v>
      </c>
      <c r="Q1678" s="1">
        <v>17.8</v>
      </c>
      <c r="R1678" s="1">
        <v>9.6999999999999993</v>
      </c>
      <c r="S1678" s="1">
        <v>101</v>
      </c>
    </row>
    <row r="1679" spans="1:43" x14ac:dyDescent="0.3">
      <c r="A1679" s="1">
        <v>24340</v>
      </c>
      <c r="B1679" s="1" t="s">
        <v>208</v>
      </c>
      <c r="C1679" s="1" t="s">
        <v>209</v>
      </c>
      <c r="D1679" s="2">
        <f t="shared" si="103"/>
        <v>2013</v>
      </c>
      <c r="E1679" s="2">
        <f t="shared" si="104"/>
        <v>9</v>
      </c>
      <c r="F1679" s="2"/>
      <c r="G1679" s="4">
        <v>41526</v>
      </c>
      <c r="H1679" s="1">
        <v>6600935</v>
      </c>
      <c r="I1679" s="1">
        <v>1626764</v>
      </c>
      <c r="J1679" s="1" t="s">
        <v>191</v>
      </c>
      <c r="K1679" s="1" t="s">
        <v>210</v>
      </c>
      <c r="L1679" s="1" t="str">
        <f t="shared" si="105"/>
        <v>Vallentunasjön Va2</v>
      </c>
      <c r="M1679" s="1" t="s">
        <v>213</v>
      </c>
      <c r="N1679" s="1">
        <v>3</v>
      </c>
      <c r="O1679" s="1">
        <v>3</v>
      </c>
      <c r="Q1679" s="1">
        <v>17.8</v>
      </c>
      <c r="R1679" s="1">
        <v>8.6999999999999993</v>
      </c>
      <c r="S1679" s="1">
        <v>91</v>
      </c>
    </row>
    <row r="1680" spans="1:43" x14ac:dyDescent="0.3">
      <c r="A1680" s="1">
        <v>24341</v>
      </c>
      <c r="B1680" s="1" t="s">
        <v>208</v>
      </c>
      <c r="C1680" s="1" t="s">
        <v>209</v>
      </c>
      <c r="D1680" s="2">
        <f t="shared" si="103"/>
        <v>2013</v>
      </c>
      <c r="E1680" s="2">
        <f t="shared" si="104"/>
        <v>9</v>
      </c>
      <c r="F1680" s="2"/>
      <c r="G1680" s="4">
        <v>41526</v>
      </c>
      <c r="H1680" s="1">
        <v>6600935</v>
      </c>
      <c r="I1680" s="1">
        <v>1626764</v>
      </c>
      <c r="J1680" s="1" t="s">
        <v>191</v>
      </c>
      <c r="K1680" s="1" t="s">
        <v>210</v>
      </c>
      <c r="L1680" s="1" t="str">
        <f t="shared" si="105"/>
        <v>Vallentunasjön Va2</v>
      </c>
      <c r="M1680" s="1" t="s">
        <v>214</v>
      </c>
      <c r="N1680" s="1">
        <v>4</v>
      </c>
      <c r="O1680" s="1">
        <v>4</v>
      </c>
      <c r="Q1680" s="1">
        <v>17.7</v>
      </c>
      <c r="R1680" s="1">
        <v>7.1</v>
      </c>
      <c r="S1680" s="1">
        <v>74</v>
      </c>
    </row>
    <row r="1681" spans="1:81" x14ac:dyDescent="0.3">
      <c r="A1681" s="1">
        <v>24342</v>
      </c>
      <c r="B1681" s="1" t="s">
        <v>208</v>
      </c>
      <c r="C1681" s="1" t="s">
        <v>209</v>
      </c>
      <c r="D1681" s="2">
        <f t="shared" si="103"/>
        <v>2013</v>
      </c>
      <c r="E1681" s="2">
        <f t="shared" si="104"/>
        <v>9</v>
      </c>
      <c r="F1681" s="2"/>
      <c r="G1681" s="4">
        <v>41526</v>
      </c>
      <c r="J1681" s="1" t="s">
        <v>191</v>
      </c>
      <c r="K1681" s="1" t="s">
        <v>206</v>
      </c>
      <c r="L1681" s="1" t="str">
        <f t="shared" si="105"/>
        <v>Vallentunasjön Blandprov</v>
      </c>
      <c r="M1681" s="1" t="s">
        <v>177</v>
      </c>
      <c r="W1681" s="1">
        <v>5.18</v>
      </c>
      <c r="Z1681" s="1">
        <v>5.7200000000000095</v>
      </c>
      <c r="AB1681" s="1">
        <v>62.20655</v>
      </c>
      <c r="AD1681" s="6">
        <v>0</v>
      </c>
      <c r="AG1681" s="1">
        <v>39.000000000000099</v>
      </c>
      <c r="AK1681" s="1">
        <v>92.72</v>
      </c>
      <c r="AL1681" s="1">
        <v>1841.6669999999999</v>
      </c>
    </row>
    <row r="1682" spans="1:81" x14ac:dyDescent="0.3">
      <c r="D1682" s="2">
        <f t="shared" si="103"/>
        <v>2013</v>
      </c>
      <c r="E1682" s="2">
        <f t="shared" si="104"/>
        <v>9</v>
      </c>
      <c r="F1682" s="3"/>
      <c r="G1682" s="4">
        <v>41527</v>
      </c>
      <c r="H1682" s="1">
        <v>6606238</v>
      </c>
      <c r="I1682" s="1">
        <v>661152</v>
      </c>
      <c r="J1682" s="5" t="s">
        <v>176</v>
      </c>
      <c r="K1682" s="1"/>
      <c r="L1682" s="1" t="str">
        <f t="shared" si="105"/>
        <v xml:space="preserve">Oxundaån </v>
      </c>
      <c r="M1682" s="1" t="s">
        <v>177</v>
      </c>
      <c r="N1682" s="1">
        <v>0.5</v>
      </c>
      <c r="O1682" s="1">
        <v>0.5</v>
      </c>
      <c r="Q1682" s="1">
        <v>18.2</v>
      </c>
      <c r="T1682" s="1">
        <v>43.6</v>
      </c>
      <c r="V1682" s="1">
        <v>2.512</v>
      </c>
      <c r="W1682" s="1">
        <v>51</v>
      </c>
      <c r="X1682" s="1">
        <f>W1682 * (1/((10^((0.0901821 + (2729.92 /(273.15 + Q1682)))-AE1682)+1)))</f>
        <v>0.8909136984792938</v>
      </c>
      <c r="Y1682" s="1">
        <v>4.4999999999999998E-2</v>
      </c>
      <c r="Z1682" s="1">
        <v>64</v>
      </c>
      <c r="AA1682" s="1">
        <v>1.6</v>
      </c>
      <c r="AD1682" s="1">
        <v>18</v>
      </c>
      <c r="AE1682" s="1">
        <v>7.71</v>
      </c>
      <c r="AG1682" s="1">
        <v>1.5</v>
      </c>
      <c r="AI1682" s="1">
        <v>11</v>
      </c>
      <c r="AK1682" s="1">
        <v>88</v>
      </c>
      <c r="AL1682" s="1">
        <v>741</v>
      </c>
      <c r="AR1682" s="1">
        <v>49.2</v>
      </c>
      <c r="AT1682" s="1">
        <v>5.3176000000000005</v>
      </c>
      <c r="AU1682" s="1">
        <v>8.4457999999999984</v>
      </c>
      <c r="AV1682" s="1">
        <v>37.931500000000007</v>
      </c>
      <c r="AW1682" s="1">
        <v>25.9222</v>
      </c>
      <c r="AX1682" s="1">
        <v>35.316749999999999</v>
      </c>
      <c r="AY1682" s="1">
        <v>0.54</v>
      </c>
      <c r="CC1682" s="1">
        <v>5.0000000000000001E-3</v>
      </c>
    </row>
    <row r="1683" spans="1:81" x14ac:dyDescent="0.3">
      <c r="A1683" s="1">
        <v>24820</v>
      </c>
      <c r="B1683" s="1" t="s">
        <v>208</v>
      </c>
      <c r="C1683" s="1" t="s">
        <v>209</v>
      </c>
      <c r="D1683" s="2">
        <f t="shared" si="103"/>
        <v>2013</v>
      </c>
      <c r="E1683" s="2">
        <f t="shared" si="104"/>
        <v>9</v>
      </c>
      <c r="F1683" s="2"/>
      <c r="G1683" s="4">
        <v>41535</v>
      </c>
      <c r="H1683" s="1">
        <v>6600935</v>
      </c>
      <c r="I1683" s="1">
        <v>1626764</v>
      </c>
      <c r="J1683" s="1" t="s">
        <v>191</v>
      </c>
      <c r="K1683" s="1" t="s">
        <v>210</v>
      </c>
      <c r="L1683" s="1" t="str">
        <f t="shared" si="105"/>
        <v>Vallentunasjön Va2</v>
      </c>
      <c r="M1683" s="1" t="s">
        <v>177</v>
      </c>
      <c r="N1683" s="1">
        <v>0.5</v>
      </c>
      <c r="O1683" s="1">
        <v>0.5</v>
      </c>
      <c r="P1683" s="1">
        <v>0.5</v>
      </c>
      <c r="Q1683" s="1">
        <v>17.899999999999999</v>
      </c>
      <c r="R1683" s="1">
        <v>9.6999999999999993</v>
      </c>
      <c r="S1683" s="1">
        <v>104</v>
      </c>
    </row>
    <row r="1684" spans="1:81" x14ac:dyDescent="0.3">
      <c r="A1684" s="1">
        <v>24821</v>
      </c>
      <c r="B1684" s="1" t="s">
        <v>208</v>
      </c>
      <c r="C1684" s="1" t="s">
        <v>209</v>
      </c>
      <c r="D1684" s="2">
        <f t="shared" si="103"/>
        <v>2013</v>
      </c>
      <c r="E1684" s="2">
        <f t="shared" si="104"/>
        <v>9</v>
      </c>
      <c r="F1684" s="2"/>
      <c r="G1684" s="4">
        <v>41535</v>
      </c>
      <c r="H1684" s="1">
        <v>6600935</v>
      </c>
      <c r="I1684" s="1">
        <v>1626764</v>
      </c>
      <c r="J1684" s="1" t="s">
        <v>191</v>
      </c>
      <c r="K1684" s="1" t="s">
        <v>210</v>
      </c>
      <c r="L1684" s="1" t="str">
        <f t="shared" si="105"/>
        <v>Vallentunasjön Va2</v>
      </c>
      <c r="M1684" s="1" t="s">
        <v>211</v>
      </c>
      <c r="N1684" s="1">
        <v>1</v>
      </c>
      <c r="O1684" s="1">
        <v>1</v>
      </c>
      <c r="Q1684" s="1">
        <v>16.600000000000001</v>
      </c>
      <c r="R1684" s="1">
        <v>7.6</v>
      </c>
      <c r="S1684" s="1">
        <v>79</v>
      </c>
    </row>
    <row r="1685" spans="1:81" x14ac:dyDescent="0.3">
      <c r="A1685" s="1">
        <v>24822</v>
      </c>
      <c r="B1685" s="1" t="s">
        <v>208</v>
      </c>
      <c r="C1685" s="1" t="s">
        <v>209</v>
      </c>
      <c r="D1685" s="2">
        <f t="shared" si="103"/>
        <v>2013</v>
      </c>
      <c r="E1685" s="2">
        <f t="shared" si="104"/>
        <v>9</v>
      </c>
      <c r="F1685" s="2"/>
      <c r="G1685" s="4">
        <v>41535</v>
      </c>
      <c r="H1685" s="1">
        <v>6600935</v>
      </c>
      <c r="I1685" s="1">
        <v>1626764</v>
      </c>
      <c r="J1685" s="1" t="s">
        <v>191</v>
      </c>
      <c r="K1685" s="1" t="s">
        <v>210</v>
      </c>
      <c r="L1685" s="1" t="str">
        <f t="shared" si="105"/>
        <v>Vallentunasjön Va2</v>
      </c>
      <c r="M1685" s="1" t="s">
        <v>212</v>
      </c>
      <c r="N1685" s="1">
        <v>2</v>
      </c>
      <c r="O1685" s="1">
        <v>2</v>
      </c>
      <c r="Q1685" s="1">
        <v>16.399999999999999</v>
      </c>
      <c r="R1685" s="1">
        <v>6.9</v>
      </c>
      <c r="S1685" s="1">
        <v>71</v>
      </c>
    </row>
    <row r="1686" spans="1:81" x14ac:dyDescent="0.3">
      <c r="A1686" s="1">
        <v>24823</v>
      </c>
      <c r="B1686" s="1" t="s">
        <v>208</v>
      </c>
      <c r="C1686" s="1" t="s">
        <v>209</v>
      </c>
      <c r="D1686" s="2">
        <f t="shared" si="103"/>
        <v>2013</v>
      </c>
      <c r="E1686" s="2">
        <f t="shared" si="104"/>
        <v>9</v>
      </c>
      <c r="F1686" s="2"/>
      <c r="G1686" s="4">
        <v>41535</v>
      </c>
      <c r="H1686" s="1">
        <v>6600935</v>
      </c>
      <c r="I1686" s="1">
        <v>1626764</v>
      </c>
      <c r="J1686" s="1" t="s">
        <v>191</v>
      </c>
      <c r="K1686" s="1" t="s">
        <v>210</v>
      </c>
      <c r="L1686" s="1" t="str">
        <f t="shared" si="105"/>
        <v>Vallentunasjön Va2</v>
      </c>
      <c r="M1686" s="1" t="s">
        <v>213</v>
      </c>
      <c r="N1686" s="1">
        <v>3</v>
      </c>
      <c r="O1686" s="1">
        <v>3</v>
      </c>
      <c r="Q1686" s="1">
        <v>16.399999999999999</v>
      </c>
      <c r="R1686" s="1">
        <v>6.7</v>
      </c>
      <c r="S1686" s="1">
        <v>69</v>
      </c>
    </row>
    <row r="1687" spans="1:81" x14ac:dyDescent="0.3">
      <c r="A1687" s="1">
        <v>24824</v>
      </c>
      <c r="B1687" s="1" t="s">
        <v>208</v>
      </c>
      <c r="C1687" s="1" t="s">
        <v>209</v>
      </c>
      <c r="D1687" s="2">
        <f t="shared" si="103"/>
        <v>2013</v>
      </c>
      <c r="E1687" s="2">
        <f t="shared" si="104"/>
        <v>9</v>
      </c>
      <c r="F1687" s="2"/>
      <c r="G1687" s="4">
        <v>41535</v>
      </c>
      <c r="H1687" s="1">
        <v>6600935</v>
      </c>
      <c r="I1687" s="1">
        <v>1626764</v>
      </c>
      <c r="J1687" s="1" t="s">
        <v>191</v>
      </c>
      <c r="K1687" s="1" t="s">
        <v>210</v>
      </c>
      <c r="L1687" s="1" t="str">
        <f t="shared" si="105"/>
        <v>Vallentunasjön Va2</v>
      </c>
      <c r="M1687" s="1" t="s">
        <v>214</v>
      </c>
      <c r="N1687" s="1">
        <v>4</v>
      </c>
      <c r="O1687" s="1">
        <v>4</v>
      </c>
      <c r="Q1687" s="1">
        <v>16.3</v>
      </c>
      <c r="R1687" s="1">
        <v>6.9</v>
      </c>
      <c r="S1687" s="1">
        <v>72</v>
      </c>
    </row>
    <row r="1688" spans="1:81" x14ac:dyDescent="0.3">
      <c r="A1688" s="1">
        <v>24825</v>
      </c>
      <c r="B1688" s="1" t="s">
        <v>208</v>
      </c>
      <c r="C1688" s="1" t="s">
        <v>209</v>
      </c>
      <c r="D1688" s="2">
        <f t="shared" si="103"/>
        <v>2013</v>
      </c>
      <c r="E1688" s="2">
        <f t="shared" si="104"/>
        <v>9</v>
      </c>
      <c r="F1688" s="2"/>
      <c r="G1688" s="4">
        <v>41535</v>
      </c>
      <c r="J1688" s="1" t="s">
        <v>191</v>
      </c>
      <c r="K1688" s="1" t="s">
        <v>206</v>
      </c>
      <c r="L1688" s="1" t="str">
        <f t="shared" si="105"/>
        <v>Vallentunasjön Blandprov</v>
      </c>
      <c r="M1688" s="1" t="s">
        <v>177</v>
      </c>
      <c r="W1688" s="1">
        <v>3.4950000000000001</v>
      </c>
      <c r="Z1688" s="1">
        <v>4.4400000000000004</v>
      </c>
      <c r="AB1688" s="1">
        <v>59.421999999999997</v>
      </c>
      <c r="AD1688" s="1">
        <v>1.0249999999999999</v>
      </c>
      <c r="AG1688" s="1">
        <v>33.749999999999901</v>
      </c>
      <c r="AK1688" s="1">
        <v>93.07</v>
      </c>
      <c r="AL1688" s="1">
        <v>1842.001</v>
      </c>
    </row>
    <row r="1689" spans="1:81" x14ac:dyDescent="0.3">
      <c r="D1689" s="2">
        <f t="shared" si="103"/>
        <v>2013</v>
      </c>
      <c r="E1689" s="2">
        <f t="shared" si="104"/>
        <v>10</v>
      </c>
      <c r="F1689" s="3" t="s">
        <v>180</v>
      </c>
      <c r="G1689" s="4">
        <v>41561</v>
      </c>
      <c r="J1689" s="1" t="s">
        <v>181</v>
      </c>
      <c r="K1689" s="1"/>
      <c r="L1689" s="1" t="str">
        <f t="shared" si="105"/>
        <v xml:space="preserve">Fysingen </v>
      </c>
      <c r="M1689" s="1" t="s">
        <v>177</v>
      </c>
      <c r="N1689" s="1">
        <v>0.5</v>
      </c>
      <c r="O1689" s="1">
        <v>0.5</v>
      </c>
      <c r="P1689" s="1">
        <v>3.65</v>
      </c>
      <c r="Q1689" s="1">
        <v>10</v>
      </c>
      <c r="V1689" s="1">
        <v>2.5649999999999999</v>
      </c>
      <c r="W1689" s="1">
        <v>27</v>
      </c>
      <c r="X1689" s="1">
        <f>W1689 * (1/((10^((0.0901821 + (2729.92 /(273.15 + Q1689)))-AE1689)+1)))</f>
        <v>0.75443800167103581</v>
      </c>
      <c r="Y1689" s="1">
        <v>3.6999999999999998E-2</v>
      </c>
      <c r="Z1689" s="1">
        <v>0.5</v>
      </c>
      <c r="AA1689" s="1">
        <v>1.3</v>
      </c>
      <c r="AB1689" s="1">
        <v>4.2</v>
      </c>
      <c r="AC1689" s="1">
        <v>47.3</v>
      </c>
      <c r="AD1689" s="1">
        <v>16</v>
      </c>
      <c r="AE1689" s="1">
        <v>8.19</v>
      </c>
      <c r="AI1689" s="1">
        <v>12.5</v>
      </c>
      <c r="AK1689" s="1">
        <v>12</v>
      </c>
      <c r="AL1689" s="1">
        <v>531</v>
      </c>
      <c r="AR1689" s="1">
        <v>52</v>
      </c>
      <c r="AS1689" s="1">
        <v>3.2000000000000001E-2</v>
      </c>
      <c r="AT1689" s="1">
        <v>5.6695000000000002</v>
      </c>
      <c r="AU1689" s="1">
        <v>10.127699999999999</v>
      </c>
      <c r="AV1689" s="1">
        <v>39.420400000000008</v>
      </c>
      <c r="AW1689" s="1">
        <v>26.381</v>
      </c>
      <c r="AX1689" s="1">
        <v>50.981049999999996</v>
      </c>
      <c r="AY1689" s="1">
        <v>0.05</v>
      </c>
      <c r="AZ1689" s="1">
        <v>66</v>
      </c>
      <c r="BA1689" s="1">
        <v>0.75</v>
      </c>
      <c r="BC1689" s="1">
        <v>3.0000000000000001E-3</v>
      </c>
      <c r="BD1689" s="1">
        <v>0.4</v>
      </c>
      <c r="BE1689" s="1">
        <v>0.11</v>
      </c>
      <c r="BF1689" s="1">
        <v>1</v>
      </c>
      <c r="BJ1689" s="1">
        <v>5.7</v>
      </c>
      <c r="BL1689" s="1">
        <v>0.02</v>
      </c>
      <c r="BN1689" s="1">
        <v>0.5</v>
      </c>
      <c r="BO1689" s="1">
        <v>0.8</v>
      </c>
      <c r="BP1689" s="1">
        <v>14</v>
      </c>
    </row>
    <row r="1690" spans="1:81" x14ac:dyDescent="0.3">
      <c r="A1690" s="6">
        <v>25390</v>
      </c>
      <c r="B1690" s="5" t="s">
        <v>215</v>
      </c>
      <c r="C1690" s="5" t="s">
        <v>216</v>
      </c>
      <c r="D1690" s="2">
        <f t="shared" si="103"/>
        <v>2013</v>
      </c>
      <c r="E1690" s="2">
        <f t="shared" si="104"/>
        <v>10</v>
      </c>
      <c r="F1690" s="3" t="s">
        <v>180</v>
      </c>
      <c r="G1690" s="7">
        <v>41562</v>
      </c>
      <c r="H1690" s="6">
        <v>6606035</v>
      </c>
      <c r="I1690" s="6">
        <v>1615620</v>
      </c>
      <c r="J1690" s="5" t="s">
        <v>187</v>
      </c>
      <c r="K1690" s="1"/>
      <c r="L1690" s="1" t="str">
        <f t="shared" si="105"/>
        <v xml:space="preserve">Oxundasjön </v>
      </c>
      <c r="M1690" s="1" t="s">
        <v>177</v>
      </c>
      <c r="N1690" s="6">
        <v>0.5</v>
      </c>
      <c r="O1690" s="6">
        <v>0.5</v>
      </c>
      <c r="P1690" s="6">
        <v>4</v>
      </c>
      <c r="Q1690" s="6">
        <v>10</v>
      </c>
      <c r="R1690" s="6">
        <v>8.6999999999999993</v>
      </c>
      <c r="S1690" s="6">
        <v>80</v>
      </c>
      <c r="V1690" s="6">
        <v>2.4722666666666702</v>
      </c>
      <c r="W1690" s="6">
        <v>26.879000000000001</v>
      </c>
      <c r="X1690" s="1">
        <f>W1690 * (1/((10^((0.0901821 + (2729.92 /(273.15 + Q1690)))-AE1690)+1)))</f>
        <v>0.39050355031190925</v>
      </c>
      <c r="Y1690" s="6">
        <v>0.05</v>
      </c>
      <c r="Z1690" s="6">
        <v>70.239999999999995</v>
      </c>
      <c r="AA1690" s="6">
        <v>1.8199999999999998</v>
      </c>
      <c r="AB1690" s="6">
        <v>5.1950019999999997</v>
      </c>
      <c r="AD1690" s="6">
        <v>17.204999999999998</v>
      </c>
      <c r="AE1690" s="6">
        <v>7.9</v>
      </c>
      <c r="AK1690" s="6">
        <v>94.82</v>
      </c>
      <c r="AL1690" s="6">
        <v>703.67100000000005</v>
      </c>
      <c r="AM1690" s="6"/>
      <c r="AN1690" s="6"/>
      <c r="AO1690" s="6"/>
      <c r="AP1690" s="6"/>
      <c r="AQ1690" s="6"/>
    </row>
    <row r="1691" spans="1:81" x14ac:dyDescent="0.3">
      <c r="A1691" s="6">
        <v>25391</v>
      </c>
      <c r="B1691" s="5" t="s">
        <v>215</v>
      </c>
      <c r="C1691" s="5" t="s">
        <v>216</v>
      </c>
      <c r="D1691" s="2">
        <f t="shared" si="103"/>
        <v>2013</v>
      </c>
      <c r="E1691" s="2">
        <f t="shared" si="104"/>
        <v>10</v>
      </c>
      <c r="F1691" s="3" t="s">
        <v>180</v>
      </c>
      <c r="G1691" s="7">
        <v>41562</v>
      </c>
      <c r="H1691" s="6">
        <v>6606035</v>
      </c>
      <c r="I1691" s="6">
        <v>1615620</v>
      </c>
      <c r="J1691" s="5" t="s">
        <v>187</v>
      </c>
      <c r="K1691" s="1"/>
      <c r="L1691" s="1" t="str">
        <f t="shared" si="105"/>
        <v xml:space="preserve">Oxundasjön </v>
      </c>
      <c r="M1691" s="5" t="s">
        <v>211</v>
      </c>
      <c r="N1691" s="6">
        <v>1</v>
      </c>
      <c r="O1691" s="6">
        <v>1</v>
      </c>
      <c r="Q1691" s="6">
        <v>10</v>
      </c>
      <c r="R1691" s="6">
        <v>8.8000000000000007</v>
      </c>
      <c r="S1691" s="6">
        <v>81</v>
      </c>
    </row>
    <row r="1692" spans="1:81" x14ac:dyDescent="0.3">
      <c r="A1692" s="6">
        <v>25392</v>
      </c>
      <c r="B1692" s="5" t="s">
        <v>215</v>
      </c>
      <c r="C1692" s="5" t="s">
        <v>216</v>
      </c>
      <c r="D1692" s="2">
        <f t="shared" si="103"/>
        <v>2013</v>
      </c>
      <c r="E1692" s="2">
        <f t="shared" si="104"/>
        <v>10</v>
      </c>
      <c r="F1692" s="3" t="s">
        <v>180</v>
      </c>
      <c r="G1692" s="7">
        <v>41562</v>
      </c>
      <c r="H1692" s="6">
        <v>6606035</v>
      </c>
      <c r="I1692" s="6">
        <v>1615620</v>
      </c>
      <c r="J1692" s="5" t="s">
        <v>187</v>
      </c>
      <c r="K1692" s="1"/>
      <c r="L1692" s="1" t="str">
        <f t="shared" si="105"/>
        <v xml:space="preserve">Oxundasjön </v>
      </c>
      <c r="M1692" s="5" t="s">
        <v>212</v>
      </c>
      <c r="N1692" s="6">
        <v>2</v>
      </c>
      <c r="O1692" s="6">
        <v>2</v>
      </c>
      <c r="Q1692" s="6">
        <v>10</v>
      </c>
      <c r="R1692" s="6">
        <v>9</v>
      </c>
      <c r="S1692" s="6">
        <v>83</v>
      </c>
    </row>
    <row r="1693" spans="1:81" x14ac:dyDescent="0.3">
      <c r="A1693" s="6">
        <v>25393</v>
      </c>
      <c r="B1693" s="5" t="s">
        <v>215</v>
      </c>
      <c r="C1693" s="5" t="s">
        <v>216</v>
      </c>
      <c r="D1693" s="2">
        <f t="shared" si="103"/>
        <v>2013</v>
      </c>
      <c r="E1693" s="2">
        <f t="shared" si="104"/>
        <v>10</v>
      </c>
      <c r="F1693" s="3" t="s">
        <v>180</v>
      </c>
      <c r="G1693" s="7">
        <v>41562</v>
      </c>
      <c r="H1693" s="6">
        <v>6606035</v>
      </c>
      <c r="I1693" s="6">
        <v>1615620</v>
      </c>
      <c r="J1693" s="5" t="s">
        <v>187</v>
      </c>
      <c r="K1693" s="1"/>
      <c r="L1693" s="1" t="str">
        <f t="shared" si="105"/>
        <v xml:space="preserve">Oxundasjön </v>
      </c>
      <c r="M1693" s="5" t="s">
        <v>213</v>
      </c>
      <c r="N1693" s="6">
        <v>3</v>
      </c>
      <c r="O1693" s="6">
        <v>3</v>
      </c>
      <c r="Q1693" s="6">
        <v>10</v>
      </c>
      <c r="R1693" s="6">
        <v>9.1999999999999993</v>
      </c>
      <c r="S1693" s="6">
        <v>84</v>
      </c>
    </row>
    <row r="1694" spans="1:81" x14ac:dyDescent="0.3">
      <c r="A1694" s="6">
        <v>25394</v>
      </c>
      <c r="B1694" s="5" t="s">
        <v>215</v>
      </c>
      <c r="C1694" s="5" t="s">
        <v>216</v>
      </c>
      <c r="D1694" s="2">
        <f t="shared" si="103"/>
        <v>2013</v>
      </c>
      <c r="E1694" s="2">
        <f t="shared" si="104"/>
        <v>10</v>
      </c>
      <c r="F1694" s="3" t="s">
        <v>180</v>
      </c>
      <c r="G1694" s="7">
        <v>41562</v>
      </c>
      <c r="H1694" s="6">
        <v>6606035</v>
      </c>
      <c r="I1694" s="6">
        <v>1615620</v>
      </c>
      <c r="J1694" s="5" t="s">
        <v>187</v>
      </c>
      <c r="K1694" s="1"/>
      <c r="L1694" s="1" t="str">
        <f t="shared" si="105"/>
        <v xml:space="preserve">Oxundasjön </v>
      </c>
      <c r="M1694" s="5" t="s">
        <v>214</v>
      </c>
      <c r="N1694" s="6">
        <v>4</v>
      </c>
      <c r="O1694" s="6">
        <v>4</v>
      </c>
      <c r="Q1694" s="6">
        <v>10</v>
      </c>
      <c r="R1694" s="6">
        <v>9.3000000000000007</v>
      </c>
      <c r="S1694" s="6">
        <v>85</v>
      </c>
    </row>
    <row r="1695" spans="1:81" x14ac:dyDescent="0.3">
      <c r="A1695" s="6">
        <v>25395</v>
      </c>
      <c r="B1695" s="5" t="s">
        <v>215</v>
      </c>
      <c r="C1695" s="5" t="s">
        <v>216</v>
      </c>
      <c r="D1695" s="2">
        <f t="shared" si="103"/>
        <v>2013</v>
      </c>
      <c r="E1695" s="2">
        <f t="shared" si="104"/>
        <v>10</v>
      </c>
      <c r="F1695" s="3" t="s">
        <v>180</v>
      </c>
      <c r="G1695" s="7">
        <v>41562</v>
      </c>
      <c r="H1695" s="6">
        <v>6606035</v>
      </c>
      <c r="I1695" s="6">
        <v>1615620</v>
      </c>
      <c r="J1695" s="5" t="s">
        <v>187</v>
      </c>
      <c r="K1695" s="1"/>
      <c r="L1695" s="1" t="str">
        <f t="shared" si="105"/>
        <v xml:space="preserve">Oxundasjön </v>
      </c>
      <c r="M1695" s="5" t="s">
        <v>217</v>
      </c>
      <c r="N1695" s="6">
        <v>5</v>
      </c>
      <c r="O1695" s="6">
        <v>5</v>
      </c>
      <c r="Q1695" s="6">
        <v>10</v>
      </c>
      <c r="R1695" s="6">
        <v>9.4</v>
      </c>
      <c r="S1695" s="6">
        <v>86</v>
      </c>
    </row>
    <row r="1696" spans="1:81" x14ac:dyDescent="0.3">
      <c r="A1696" s="6">
        <v>25396</v>
      </c>
      <c r="B1696" s="5" t="s">
        <v>215</v>
      </c>
      <c r="C1696" s="5" t="s">
        <v>216</v>
      </c>
      <c r="D1696" s="2">
        <f t="shared" si="103"/>
        <v>2013</v>
      </c>
      <c r="E1696" s="2">
        <f t="shared" si="104"/>
        <v>10</v>
      </c>
      <c r="F1696" s="3" t="s">
        <v>180</v>
      </c>
      <c r="G1696" s="7">
        <v>41562</v>
      </c>
      <c r="H1696" s="6">
        <v>6606035</v>
      </c>
      <c r="I1696" s="6">
        <v>1615620</v>
      </c>
      <c r="J1696" s="5" t="s">
        <v>187</v>
      </c>
      <c r="K1696" s="1"/>
      <c r="L1696" s="1" t="str">
        <f t="shared" si="105"/>
        <v xml:space="preserve">Oxundasjön </v>
      </c>
      <c r="M1696" s="1" t="s">
        <v>184</v>
      </c>
      <c r="N1696" s="6">
        <v>5.7</v>
      </c>
      <c r="O1696" s="6">
        <v>5.7</v>
      </c>
      <c r="Q1696" s="6">
        <v>10</v>
      </c>
      <c r="R1696" s="6">
        <v>9.4</v>
      </c>
      <c r="S1696" s="6">
        <v>86</v>
      </c>
    </row>
    <row r="1697" spans="1:43" x14ac:dyDescent="0.3">
      <c r="A1697" s="6">
        <v>25397</v>
      </c>
      <c r="B1697" s="5" t="s">
        <v>215</v>
      </c>
      <c r="C1697" s="5" t="s">
        <v>216</v>
      </c>
      <c r="D1697" s="2">
        <f t="shared" si="103"/>
        <v>2013</v>
      </c>
      <c r="E1697" s="2">
        <f t="shared" si="104"/>
        <v>10</v>
      </c>
      <c r="F1697" s="3" t="s">
        <v>180</v>
      </c>
      <c r="G1697" s="7">
        <v>41562</v>
      </c>
      <c r="H1697" s="6">
        <v>6599695</v>
      </c>
      <c r="I1697" s="6">
        <v>1617290</v>
      </c>
      <c r="J1697" s="5" t="s">
        <v>182</v>
      </c>
      <c r="K1697" s="1"/>
      <c r="L1697" s="1" t="str">
        <f t="shared" si="105"/>
        <v xml:space="preserve">Edssjön </v>
      </c>
      <c r="M1697" s="1" t="s">
        <v>177</v>
      </c>
      <c r="N1697" s="6">
        <v>0.5</v>
      </c>
      <c r="O1697" s="6">
        <v>0.5</v>
      </c>
      <c r="P1697" s="6">
        <v>3.7</v>
      </c>
      <c r="Q1697" s="6">
        <v>9.6999999999999993</v>
      </c>
      <c r="R1697" s="6">
        <v>8.1999999999999993</v>
      </c>
      <c r="S1697" s="6">
        <v>74</v>
      </c>
      <c r="V1697" s="6">
        <v>2.53066666666667</v>
      </c>
      <c r="W1697" s="6">
        <v>72.438999999999993</v>
      </c>
      <c r="X1697" s="1">
        <f>W1697 * (1/((10^((0.0901821 + (2729.92 /(273.15 + Q1697)))-AE1697)+1)))</f>
        <v>0.93896223177971039</v>
      </c>
      <c r="Y1697" s="6">
        <v>5.7000000000000002E-2</v>
      </c>
      <c r="Z1697" s="6">
        <v>61.95</v>
      </c>
      <c r="AA1697" s="6">
        <v>2.4</v>
      </c>
      <c r="AB1697" s="6">
        <v>16.132912000000001</v>
      </c>
      <c r="AD1697" s="6">
        <v>97.433999999999997</v>
      </c>
      <c r="AE1697" s="6">
        <v>7.86</v>
      </c>
      <c r="AK1697" s="6">
        <v>108.75</v>
      </c>
      <c r="AL1697" s="6">
        <v>1075.78</v>
      </c>
      <c r="AM1697" s="6"/>
      <c r="AN1697" s="6"/>
      <c r="AO1697" s="6"/>
      <c r="AP1697" s="6"/>
      <c r="AQ1697" s="6"/>
    </row>
    <row r="1698" spans="1:43" x14ac:dyDescent="0.3">
      <c r="A1698" s="6">
        <v>25398</v>
      </c>
      <c r="B1698" s="5" t="s">
        <v>215</v>
      </c>
      <c r="C1698" s="5" t="s">
        <v>216</v>
      </c>
      <c r="D1698" s="2">
        <f t="shared" si="103"/>
        <v>2013</v>
      </c>
      <c r="E1698" s="2">
        <f t="shared" si="104"/>
        <v>10</v>
      </c>
      <c r="F1698" s="3" t="s">
        <v>180</v>
      </c>
      <c r="G1698" s="7">
        <v>41562</v>
      </c>
      <c r="H1698" s="6">
        <v>6599695</v>
      </c>
      <c r="I1698" s="6">
        <v>1617290</v>
      </c>
      <c r="J1698" s="5" t="s">
        <v>182</v>
      </c>
      <c r="K1698" s="1"/>
      <c r="L1698" s="1" t="str">
        <f t="shared" si="105"/>
        <v xml:space="preserve">Edssjön </v>
      </c>
      <c r="M1698" s="5" t="s">
        <v>211</v>
      </c>
      <c r="N1698" s="6">
        <v>1</v>
      </c>
      <c r="O1698" s="6">
        <v>1</v>
      </c>
      <c r="Q1698" s="6">
        <v>9.6999999999999993</v>
      </c>
      <c r="R1698" s="6">
        <v>8.1999999999999993</v>
      </c>
      <c r="S1698" s="6">
        <v>74</v>
      </c>
    </row>
    <row r="1699" spans="1:43" x14ac:dyDescent="0.3">
      <c r="A1699" s="6">
        <v>25399</v>
      </c>
      <c r="B1699" s="5" t="s">
        <v>215</v>
      </c>
      <c r="C1699" s="5" t="s">
        <v>216</v>
      </c>
      <c r="D1699" s="2">
        <f t="shared" si="103"/>
        <v>2013</v>
      </c>
      <c r="E1699" s="2">
        <f t="shared" si="104"/>
        <v>10</v>
      </c>
      <c r="F1699" s="3" t="s">
        <v>180</v>
      </c>
      <c r="G1699" s="7">
        <v>41562</v>
      </c>
      <c r="H1699" s="6">
        <v>6599695</v>
      </c>
      <c r="I1699" s="6">
        <v>1617290</v>
      </c>
      <c r="J1699" s="5" t="s">
        <v>182</v>
      </c>
      <c r="K1699" s="1"/>
      <c r="L1699" s="1" t="str">
        <f t="shared" si="105"/>
        <v xml:space="preserve">Edssjön </v>
      </c>
      <c r="M1699" s="5" t="s">
        <v>212</v>
      </c>
      <c r="N1699" s="6">
        <v>2</v>
      </c>
      <c r="O1699" s="6">
        <v>2</v>
      </c>
      <c r="Q1699" s="6">
        <v>9.6999999999999993</v>
      </c>
      <c r="R1699" s="6">
        <v>8.4</v>
      </c>
      <c r="S1699" s="6">
        <v>76</v>
      </c>
    </row>
    <row r="1700" spans="1:43" x14ac:dyDescent="0.3">
      <c r="A1700" s="6">
        <v>25400</v>
      </c>
      <c r="B1700" s="5" t="s">
        <v>215</v>
      </c>
      <c r="C1700" s="5" t="s">
        <v>216</v>
      </c>
      <c r="D1700" s="2">
        <f t="shared" si="103"/>
        <v>2013</v>
      </c>
      <c r="E1700" s="2">
        <f t="shared" si="104"/>
        <v>10</v>
      </c>
      <c r="F1700" s="3" t="s">
        <v>180</v>
      </c>
      <c r="G1700" s="7">
        <v>41562</v>
      </c>
      <c r="H1700" s="6">
        <v>6599695</v>
      </c>
      <c r="I1700" s="6">
        <v>1617290</v>
      </c>
      <c r="J1700" s="5" t="s">
        <v>182</v>
      </c>
      <c r="K1700" s="1"/>
      <c r="L1700" s="1" t="str">
        <f t="shared" si="105"/>
        <v xml:space="preserve">Edssjön </v>
      </c>
      <c r="M1700" s="5" t="s">
        <v>213</v>
      </c>
      <c r="N1700" s="6">
        <v>3</v>
      </c>
      <c r="O1700" s="6">
        <v>3</v>
      </c>
      <c r="Q1700" s="6">
        <v>9.6999999999999993</v>
      </c>
      <c r="R1700" s="6">
        <v>8.5</v>
      </c>
      <c r="S1700" s="6">
        <v>77</v>
      </c>
    </row>
    <row r="1701" spans="1:43" x14ac:dyDescent="0.3">
      <c r="A1701" s="6">
        <v>25401</v>
      </c>
      <c r="B1701" s="5" t="s">
        <v>215</v>
      </c>
      <c r="C1701" s="5" t="s">
        <v>216</v>
      </c>
      <c r="D1701" s="2">
        <f t="shared" si="103"/>
        <v>2013</v>
      </c>
      <c r="E1701" s="2">
        <f t="shared" si="104"/>
        <v>10</v>
      </c>
      <c r="F1701" s="3" t="s">
        <v>180</v>
      </c>
      <c r="G1701" s="7">
        <v>41562</v>
      </c>
      <c r="H1701" s="6">
        <v>6599695</v>
      </c>
      <c r="I1701" s="6">
        <v>1617290</v>
      </c>
      <c r="J1701" s="5" t="s">
        <v>182</v>
      </c>
      <c r="K1701" s="1"/>
      <c r="L1701" s="1" t="str">
        <f t="shared" si="105"/>
        <v xml:space="preserve">Edssjön </v>
      </c>
      <c r="M1701" s="5" t="s">
        <v>214</v>
      </c>
      <c r="N1701" s="6">
        <v>4</v>
      </c>
      <c r="O1701" s="6">
        <v>4</v>
      </c>
      <c r="Q1701" s="6">
        <v>9.6999999999999993</v>
      </c>
      <c r="R1701" s="6">
        <v>8.6</v>
      </c>
      <c r="S1701" s="6">
        <v>78</v>
      </c>
    </row>
    <row r="1702" spans="1:43" x14ac:dyDescent="0.3">
      <c r="A1702" s="6">
        <v>25402</v>
      </c>
      <c r="B1702" s="5" t="s">
        <v>215</v>
      </c>
      <c r="C1702" s="5" t="s">
        <v>216</v>
      </c>
      <c r="D1702" s="2">
        <f t="shared" si="103"/>
        <v>2013</v>
      </c>
      <c r="E1702" s="2">
        <f t="shared" si="104"/>
        <v>10</v>
      </c>
      <c r="F1702" s="3" t="s">
        <v>180</v>
      </c>
      <c r="G1702" s="7">
        <v>41562</v>
      </c>
      <c r="H1702" s="6">
        <v>6599695</v>
      </c>
      <c r="I1702" s="6">
        <v>1617290</v>
      </c>
      <c r="J1702" s="5" t="s">
        <v>182</v>
      </c>
      <c r="K1702" s="1"/>
      <c r="L1702" s="1" t="str">
        <f t="shared" si="105"/>
        <v xml:space="preserve">Edssjön </v>
      </c>
      <c r="M1702" s="1" t="s">
        <v>184</v>
      </c>
      <c r="N1702" s="6">
        <v>5.0999999999999996</v>
      </c>
      <c r="O1702" s="6">
        <v>5.0999999999999996</v>
      </c>
      <c r="Q1702" s="6">
        <v>9.6999999999999993</v>
      </c>
      <c r="R1702" s="6">
        <v>8.6</v>
      </c>
      <c r="S1702" s="6">
        <v>78</v>
      </c>
    </row>
    <row r="1703" spans="1:43" x14ac:dyDescent="0.3">
      <c r="A1703" s="6">
        <v>25403</v>
      </c>
      <c r="B1703" s="5" t="s">
        <v>215</v>
      </c>
      <c r="C1703" s="5" t="s">
        <v>216</v>
      </c>
      <c r="D1703" s="2">
        <f t="shared" si="103"/>
        <v>2013</v>
      </c>
      <c r="E1703" s="2">
        <f t="shared" si="104"/>
        <v>10</v>
      </c>
      <c r="F1703" s="3" t="s">
        <v>180</v>
      </c>
      <c r="G1703" s="7">
        <v>41562</v>
      </c>
      <c r="H1703" s="6">
        <v>6593820</v>
      </c>
      <c r="I1703" s="6">
        <v>1619360</v>
      </c>
      <c r="J1703" s="5" t="s">
        <v>188</v>
      </c>
      <c r="K1703" s="1"/>
      <c r="L1703" s="1" t="str">
        <f t="shared" si="105"/>
        <v xml:space="preserve">Ravalen </v>
      </c>
      <c r="M1703" s="1" t="s">
        <v>177</v>
      </c>
      <c r="N1703" s="6">
        <v>0.5</v>
      </c>
      <c r="O1703" s="6">
        <v>0.5</v>
      </c>
      <c r="P1703" s="6">
        <v>1.5</v>
      </c>
      <c r="Q1703" s="6">
        <v>9.4</v>
      </c>
      <c r="R1703" s="6">
        <v>10.6</v>
      </c>
      <c r="S1703" s="6">
        <v>95</v>
      </c>
      <c r="V1703" s="6">
        <v>2.2386666666666701</v>
      </c>
      <c r="W1703" s="6">
        <v>7.9829999999999997</v>
      </c>
      <c r="X1703" s="1">
        <f>W1703 * (1/((10^((0.0901821 + (2729.92 /(273.15 + Q1703)))-AE1703)+1)))</f>
        <v>0.13887963309922144</v>
      </c>
      <c r="Y1703" s="6">
        <v>0.06</v>
      </c>
      <c r="Z1703" s="6">
        <v>2.15</v>
      </c>
      <c r="AA1703" s="6">
        <v>0.63</v>
      </c>
      <c r="AB1703" s="6">
        <v>5.9265360000000005</v>
      </c>
      <c r="AD1703" s="6">
        <v>0.248</v>
      </c>
      <c r="AE1703" s="6">
        <v>8</v>
      </c>
      <c r="AK1703" s="6">
        <v>21.94</v>
      </c>
      <c r="AL1703" s="6">
        <v>695.65099999999995</v>
      </c>
      <c r="AM1703" s="6"/>
      <c r="AN1703" s="6"/>
      <c r="AO1703" s="6"/>
      <c r="AP1703" s="6"/>
      <c r="AQ1703" s="6"/>
    </row>
    <row r="1704" spans="1:43" x14ac:dyDescent="0.3">
      <c r="A1704" s="6">
        <v>25404</v>
      </c>
      <c r="B1704" s="5" t="s">
        <v>215</v>
      </c>
      <c r="C1704" s="5" t="s">
        <v>216</v>
      </c>
      <c r="D1704" s="2">
        <f t="shared" si="103"/>
        <v>2013</v>
      </c>
      <c r="E1704" s="2">
        <f t="shared" si="104"/>
        <v>10</v>
      </c>
      <c r="F1704" s="3" t="s">
        <v>180</v>
      </c>
      <c r="G1704" s="7">
        <v>41562</v>
      </c>
      <c r="H1704" s="6">
        <v>6593820</v>
      </c>
      <c r="I1704" s="6">
        <v>1619360</v>
      </c>
      <c r="J1704" s="5" t="s">
        <v>188</v>
      </c>
      <c r="K1704" s="1"/>
      <c r="L1704" s="1" t="str">
        <f t="shared" si="105"/>
        <v xml:space="preserve">Ravalen </v>
      </c>
      <c r="M1704" s="5" t="s">
        <v>211</v>
      </c>
      <c r="N1704" s="6">
        <v>1</v>
      </c>
      <c r="O1704" s="6">
        <v>1</v>
      </c>
      <c r="Q1704" s="6">
        <v>9.4</v>
      </c>
      <c r="R1704" s="6">
        <v>10.6</v>
      </c>
      <c r="S1704" s="6">
        <v>95</v>
      </c>
    </row>
    <row r="1705" spans="1:43" x14ac:dyDescent="0.3">
      <c r="A1705" s="6">
        <v>25405</v>
      </c>
      <c r="B1705" s="5" t="s">
        <v>215</v>
      </c>
      <c r="C1705" s="5" t="s">
        <v>216</v>
      </c>
      <c r="D1705" s="2">
        <f t="shared" si="103"/>
        <v>2013</v>
      </c>
      <c r="E1705" s="2">
        <f t="shared" si="104"/>
        <v>10</v>
      </c>
      <c r="F1705" s="3" t="s">
        <v>180</v>
      </c>
      <c r="G1705" s="7">
        <v>41562</v>
      </c>
      <c r="H1705" s="6">
        <v>6593820</v>
      </c>
      <c r="I1705" s="6">
        <v>1619360</v>
      </c>
      <c r="J1705" s="5" t="s">
        <v>188</v>
      </c>
      <c r="K1705" s="1"/>
      <c r="L1705" s="1" t="str">
        <f t="shared" si="105"/>
        <v xml:space="preserve">Ravalen </v>
      </c>
      <c r="M1705" s="1" t="s">
        <v>184</v>
      </c>
      <c r="N1705" s="6">
        <v>1.6</v>
      </c>
      <c r="O1705" s="6">
        <v>1.6</v>
      </c>
      <c r="Q1705" s="6">
        <v>9.4</v>
      </c>
      <c r="R1705" s="6">
        <v>10.6</v>
      </c>
      <c r="S1705" s="6">
        <v>95</v>
      </c>
    </row>
    <row r="1706" spans="1:43" x14ac:dyDescent="0.3">
      <c r="A1706" s="6">
        <v>25406</v>
      </c>
      <c r="B1706" s="5" t="s">
        <v>215</v>
      </c>
      <c r="C1706" s="5" t="s">
        <v>216</v>
      </c>
      <c r="D1706" s="2">
        <f t="shared" si="103"/>
        <v>2013</v>
      </c>
      <c r="E1706" s="2">
        <f t="shared" si="104"/>
        <v>10</v>
      </c>
      <c r="F1706" s="3" t="s">
        <v>180</v>
      </c>
      <c r="G1706" s="7">
        <v>41563</v>
      </c>
      <c r="H1706" s="6">
        <v>6599245</v>
      </c>
      <c r="I1706" s="6">
        <v>1622345</v>
      </c>
      <c r="J1706" s="5" t="s">
        <v>186</v>
      </c>
      <c r="K1706" s="1">
        <v>1</v>
      </c>
      <c r="L1706" s="1" t="str">
        <f t="shared" si="105"/>
        <v>Norrviken 1</v>
      </c>
      <c r="M1706" s="1" t="s">
        <v>177</v>
      </c>
      <c r="N1706" s="6">
        <v>0.5</v>
      </c>
      <c r="O1706" s="6">
        <v>0.5</v>
      </c>
      <c r="P1706" s="6">
        <v>2.2000000000000002</v>
      </c>
      <c r="Q1706" s="6">
        <v>9.1999999999999993</v>
      </c>
      <c r="R1706" s="6">
        <v>9</v>
      </c>
      <c r="S1706" s="6">
        <v>79</v>
      </c>
      <c r="V1706" s="6">
        <v>2.6882687999999999</v>
      </c>
      <c r="W1706" s="6">
        <v>27.169</v>
      </c>
      <c r="X1706" s="1">
        <f>W1706 * (1/((10^((0.0901821 + (2729.92 /(273.15 + Q1706)))-AE1706)+1)))</f>
        <v>0.33113002624968035</v>
      </c>
      <c r="Y1706" s="6">
        <v>4.9000000000000002E-2</v>
      </c>
      <c r="Z1706" s="6">
        <v>36.200000000000003</v>
      </c>
      <c r="AA1706" s="6">
        <v>3.7</v>
      </c>
      <c r="AB1706" s="6">
        <v>19.454847999999998</v>
      </c>
      <c r="AD1706" s="6">
        <v>60.911999999999999</v>
      </c>
      <c r="AE1706" s="6">
        <v>7.85</v>
      </c>
      <c r="AK1706" s="6">
        <v>84.18</v>
      </c>
      <c r="AL1706" s="6">
        <v>885.62400000000002</v>
      </c>
      <c r="AM1706" s="6"/>
      <c r="AN1706" s="6"/>
      <c r="AO1706" s="6"/>
      <c r="AP1706" s="6"/>
      <c r="AQ1706" s="6"/>
    </row>
    <row r="1707" spans="1:43" x14ac:dyDescent="0.3">
      <c r="A1707" s="6">
        <v>25407</v>
      </c>
      <c r="B1707" s="5" t="s">
        <v>215</v>
      </c>
      <c r="C1707" s="5" t="s">
        <v>216</v>
      </c>
      <c r="D1707" s="2">
        <f t="shared" si="103"/>
        <v>2013</v>
      </c>
      <c r="E1707" s="2">
        <f t="shared" si="104"/>
        <v>10</v>
      </c>
      <c r="F1707" s="3" t="s">
        <v>180</v>
      </c>
      <c r="G1707" s="7">
        <v>41563</v>
      </c>
      <c r="H1707" s="6">
        <v>6599245</v>
      </c>
      <c r="I1707" s="6">
        <v>1622345</v>
      </c>
      <c r="J1707" s="5" t="s">
        <v>186</v>
      </c>
      <c r="K1707" s="1">
        <v>1</v>
      </c>
      <c r="L1707" s="1" t="str">
        <f t="shared" si="105"/>
        <v>Norrviken 1</v>
      </c>
      <c r="M1707" s="5" t="s">
        <v>211</v>
      </c>
      <c r="N1707" s="6">
        <v>1</v>
      </c>
      <c r="O1707" s="6">
        <v>1</v>
      </c>
      <c r="Q1707" s="6">
        <v>9.3000000000000007</v>
      </c>
      <c r="R1707" s="6">
        <v>9</v>
      </c>
      <c r="S1707" s="6">
        <v>79</v>
      </c>
    </row>
    <row r="1708" spans="1:43" x14ac:dyDescent="0.3">
      <c r="A1708" s="6">
        <v>25408</v>
      </c>
      <c r="B1708" s="5" t="s">
        <v>215</v>
      </c>
      <c r="C1708" s="5" t="s">
        <v>216</v>
      </c>
      <c r="D1708" s="2">
        <f t="shared" si="103"/>
        <v>2013</v>
      </c>
      <c r="E1708" s="2">
        <f t="shared" si="104"/>
        <v>10</v>
      </c>
      <c r="F1708" s="3" t="s">
        <v>180</v>
      </c>
      <c r="G1708" s="7">
        <v>41563</v>
      </c>
      <c r="H1708" s="6">
        <v>6599245</v>
      </c>
      <c r="I1708" s="6">
        <v>1622345</v>
      </c>
      <c r="J1708" s="5" t="s">
        <v>186</v>
      </c>
      <c r="K1708" s="1">
        <v>1</v>
      </c>
      <c r="L1708" s="1" t="str">
        <f t="shared" si="105"/>
        <v>Norrviken 1</v>
      </c>
      <c r="M1708" s="5" t="s">
        <v>212</v>
      </c>
      <c r="N1708" s="6">
        <v>2</v>
      </c>
      <c r="O1708" s="6">
        <v>2</v>
      </c>
      <c r="Q1708" s="6">
        <v>9.3000000000000007</v>
      </c>
      <c r="R1708" s="6">
        <v>9</v>
      </c>
      <c r="S1708" s="6">
        <v>79</v>
      </c>
    </row>
    <row r="1709" spans="1:43" x14ac:dyDescent="0.3">
      <c r="A1709" s="6">
        <v>25409</v>
      </c>
      <c r="B1709" s="5" t="s">
        <v>215</v>
      </c>
      <c r="C1709" s="5" t="s">
        <v>216</v>
      </c>
      <c r="D1709" s="2">
        <f t="shared" si="103"/>
        <v>2013</v>
      </c>
      <c r="E1709" s="2">
        <f t="shared" si="104"/>
        <v>10</v>
      </c>
      <c r="F1709" s="3" t="s">
        <v>180</v>
      </c>
      <c r="G1709" s="7">
        <v>41563</v>
      </c>
      <c r="H1709" s="6">
        <v>6599245</v>
      </c>
      <c r="I1709" s="6">
        <v>1622345</v>
      </c>
      <c r="J1709" s="5" t="s">
        <v>186</v>
      </c>
      <c r="K1709" s="1">
        <v>1</v>
      </c>
      <c r="L1709" s="1" t="str">
        <f t="shared" si="105"/>
        <v>Norrviken 1</v>
      </c>
      <c r="M1709" s="1" t="s">
        <v>184</v>
      </c>
      <c r="N1709" s="6">
        <v>2.8</v>
      </c>
      <c r="O1709" s="6">
        <v>2.8</v>
      </c>
      <c r="Q1709" s="6">
        <v>9.3000000000000007</v>
      </c>
      <c r="R1709" s="6">
        <v>8.8000000000000007</v>
      </c>
      <c r="S1709" s="6">
        <v>78</v>
      </c>
    </row>
    <row r="1710" spans="1:43" x14ac:dyDescent="0.3">
      <c r="A1710" s="6">
        <v>25410</v>
      </c>
      <c r="B1710" s="5" t="s">
        <v>215</v>
      </c>
      <c r="C1710" s="5" t="s">
        <v>216</v>
      </c>
      <c r="D1710" s="2">
        <f t="shared" si="103"/>
        <v>2013</v>
      </c>
      <c r="E1710" s="2">
        <f t="shared" si="104"/>
        <v>10</v>
      </c>
      <c r="F1710" s="3" t="s">
        <v>180</v>
      </c>
      <c r="G1710" s="7">
        <v>41563</v>
      </c>
      <c r="H1710" s="6">
        <v>6596620</v>
      </c>
      <c r="I1710" s="6">
        <v>1620350</v>
      </c>
      <c r="J1710" s="5" t="s">
        <v>186</v>
      </c>
      <c r="K1710" s="1">
        <v>2</v>
      </c>
      <c r="L1710" s="1" t="str">
        <f t="shared" si="105"/>
        <v>Norrviken 2</v>
      </c>
      <c r="M1710" s="1" t="s">
        <v>177</v>
      </c>
      <c r="N1710" s="6">
        <v>0.5</v>
      </c>
      <c r="O1710" s="6">
        <v>0.5</v>
      </c>
      <c r="P1710" s="6">
        <v>2.6</v>
      </c>
      <c r="Q1710" s="6">
        <v>10.5</v>
      </c>
      <c r="R1710" s="6">
        <v>7.1</v>
      </c>
      <c r="S1710" s="6">
        <v>64</v>
      </c>
      <c r="V1710" s="6">
        <v>2.5901567999999999</v>
      </c>
      <c r="W1710" s="6">
        <v>253</v>
      </c>
      <c r="X1710" s="1">
        <f>W1710 * (1/((10^((0.0901821 + (2729.92 /(273.15 + Q1710)))-AE1710)+1)))</f>
        <v>2.5369176896775554</v>
      </c>
      <c r="Y1710" s="6">
        <v>4.1000000000000002E-2</v>
      </c>
      <c r="Z1710" s="6">
        <v>88.75</v>
      </c>
      <c r="AA1710" s="6">
        <v>2.7</v>
      </c>
      <c r="AB1710" s="6">
        <v>2.4051299999999998</v>
      </c>
      <c r="AD1710" s="6">
        <v>83.766999999999996</v>
      </c>
      <c r="AE1710" s="6">
        <v>7.72</v>
      </c>
      <c r="AK1710" s="6">
        <v>105.15</v>
      </c>
      <c r="AL1710" s="6">
        <v>922.26499999999999</v>
      </c>
      <c r="AM1710" s="6"/>
      <c r="AN1710" s="6"/>
      <c r="AO1710" s="6"/>
      <c r="AP1710" s="6"/>
      <c r="AQ1710" s="6"/>
    </row>
    <row r="1711" spans="1:43" x14ac:dyDescent="0.3">
      <c r="A1711" s="6">
        <v>25411</v>
      </c>
      <c r="B1711" s="5" t="s">
        <v>215</v>
      </c>
      <c r="C1711" s="5" t="s">
        <v>216</v>
      </c>
      <c r="D1711" s="2">
        <f t="shared" si="103"/>
        <v>2013</v>
      </c>
      <c r="E1711" s="2">
        <f t="shared" si="104"/>
        <v>10</v>
      </c>
      <c r="F1711" s="3" t="s">
        <v>180</v>
      </c>
      <c r="G1711" s="7">
        <v>41563</v>
      </c>
      <c r="H1711" s="6">
        <v>6596620</v>
      </c>
      <c r="I1711" s="6">
        <v>1620350</v>
      </c>
      <c r="J1711" s="5" t="s">
        <v>186</v>
      </c>
      <c r="K1711" s="1">
        <v>2</v>
      </c>
      <c r="L1711" s="1" t="str">
        <f t="shared" si="105"/>
        <v>Norrviken 2</v>
      </c>
      <c r="M1711" s="5" t="s">
        <v>211</v>
      </c>
      <c r="N1711" s="6">
        <v>1</v>
      </c>
      <c r="O1711" s="6">
        <v>1</v>
      </c>
      <c r="Q1711" s="6">
        <v>10.5</v>
      </c>
      <c r="R1711" s="6">
        <v>7</v>
      </c>
      <c r="S1711" s="6">
        <v>63</v>
      </c>
    </row>
    <row r="1712" spans="1:43" x14ac:dyDescent="0.3">
      <c r="A1712" s="6">
        <v>25412</v>
      </c>
      <c r="B1712" s="5" t="s">
        <v>215</v>
      </c>
      <c r="C1712" s="5" t="s">
        <v>216</v>
      </c>
      <c r="D1712" s="2">
        <f t="shared" si="103"/>
        <v>2013</v>
      </c>
      <c r="E1712" s="2">
        <f t="shared" si="104"/>
        <v>10</v>
      </c>
      <c r="F1712" s="3" t="s">
        <v>180</v>
      </c>
      <c r="G1712" s="7">
        <v>41563</v>
      </c>
      <c r="H1712" s="6">
        <v>6596620</v>
      </c>
      <c r="I1712" s="6">
        <v>1620350</v>
      </c>
      <c r="J1712" s="5" t="s">
        <v>186</v>
      </c>
      <c r="K1712" s="1">
        <v>2</v>
      </c>
      <c r="L1712" s="1" t="str">
        <f t="shared" si="105"/>
        <v>Norrviken 2</v>
      </c>
      <c r="M1712" s="5" t="s">
        <v>212</v>
      </c>
      <c r="N1712" s="6">
        <v>2</v>
      </c>
      <c r="O1712" s="6">
        <v>2</v>
      </c>
      <c r="Q1712" s="6">
        <v>10.5</v>
      </c>
      <c r="R1712" s="6">
        <v>7</v>
      </c>
      <c r="S1712" s="6">
        <v>63</v>
      </c>
    </row>
    <row r="1713" spans="1:43" x14ac:dyDescent="0.3">
      <c r="A1713" s="6">
        <v>25413</v>
      </c>
      <c r="B1713" s="5" t="s">
        <v>215</v>
      </c>
      <c r="C1713" s="5" t="s">
        <v>216</v>
      </c>
      <c r="D1713" s="2">
        <f t="shared" si="103"/>
        <v>2013</v>
      </c>
      <c r="E1713" s="2">
        <f t="shared" si="104"/>
        <v>10</v>
      </c>
      <c r="F1713" s="3" t="s">
        <v>180</v>
      </c>
      <c r="G1713" s="7">
        <v>41563</v>
      </c>
      <c r="H1713" s="6">
        <v>6596620</v>
      </c>
      <c r="I1713" s="6">
        <v>1620350</v>
      </c>
      <c r="J1713" s="5" t="s">
        <v>186</v>
      </c>
      <c r="K1713" s="1">
        <v>2</v>
      </c>
      <c r="L1713" s="1" t="str">
        <f t="shared" si="105"/>
        <v>Norrviken 2</v>
      </c>
      <c r="M1713" s="5" t="s">
        <v>213</v>
      </c>
      <c r="N1713" s="6">
        <v>3</v>
      </c>
      <c r="O1713" s="6">
        <v>3</v>
      </c>
      <c r="Q1713" s="6">
        <v>10.5</v>
      </c>
      <c r="R1713" s="6">
        <v>7</v>
      </c>
      <c r="S1713" s="6">
        <v>63</v>
      </c>
    </row>
    <row r="1714" spans="1:43" x14ac:dyDescent="0.3">
      <c r="A1714" s="6">
        <v>25414</v>
      </c>
      <c r="B1714" s="5" t="s">
        <v>215</v>
      </c>
      <c r="C1714" s="5" t="s">
        <v>216</v>
      </c>
      <c r="D1714" s="2">
        <f t="shared" si="103"/>
        <v>2013</v>
      </c>
      <c r="E1714" s="2">
        <f t="shared" si="104"/>
        <v>10</v>
      </c>
      <c r="F1714" s="3" t="s">
        <v>180</v>
      </c>
      <c r="G1714" s="7">
        <v>41563</v>
      </c>
      <c r="H1714" s="6">
        <v>6596620</v>
      </c>
      <c r="I1714" s="6">
        <v>1620350</v>
      </c>
      <c r="J1714" s="5" t="s">
        <v>186</v>
      </c>
      <c r="K1714" s="1">
        <v>2</v>
      </c>
      <c r="L1714" s="1" t="str">
        <f t="shared" si="105"/>
        <v>Norrviken 2</v>
      </c>
      <c r="M1714" s="5" t="s">
        <v>214</v>
      </c>
      <c r="N1714" s="6">
        <v>4</v>
      </c>
      <c r="O1714" s="6">
        <v>4</v>
      </c>
      <c r="Q1714" s="6">
        <v>10.5</v>
      </c>
      <c r="R1714" s="6">
        <v>6.8</v>
      </c>
      <c r="S1714" s="6">
        <v>62</v>
      </c>
    </row>
    <row r="1715" spans="1:43" x14ac:dyDescent="0.3">
      <c r="A1715" s="6">
        <v>25415</v>
      </c>
      <c r="B1715" s="5" t="s">
        <v>215</v>
      </c>
      <c r="C1715" s="5" t="s">
        <v>216</v>
      </c>
      <c r="D1715" s="2">
        <f t="shared" si="103"/>
        <v>2013</v>
      </c>
      <c r="E1715" s="2">
        <f t="shared" si="104"/>
        <v>10</v>
      </c>
      <c r="F1715" s="3" t="s">
        <v>180</v>
      </c>
      <c r="G1715" s="7">
        <v>41563</v>
      </c>
      <c r="H1715" s="6">
        <v>6596620</v>
      </c>
      <c r="I1715" s="6">
        <v>1620350</v>
      </c>
      <c r="J1715" s="5" t="s">
        <v>186</v>
      </c>
      <c r="K1715" s="1">
        <v>2</v>
      </c>
      <c r="L1715" s="1" t="str">
        <f t="shared" si="105"/>
        <v>Norrviken 2</v>
      </c>
      <c r="M1715" s="5" t="s">
        <v>217</v>
      </c>
      <c r="N1715" s="6">
        <v>5</v>
      </c>
      <c r="O1715" s="6">
        <v>5</v>
      </c>
      <c r="Q1715" s="6">
        <v>10.5</v>
      </c>
      <c r="R1715" s="6">
        <v>6.8</v>
      </c>
      <c r="S1715" s="6">
        <v>61</v>
      </c>
    </row>
    <row r="1716" spans="1:43" x14ac:dyDescent="0.3">
      <c r="A1716" s="6">
        <v>25416</v>
      </c>
      <c r="B1716" s="5" t="s">
        <v>215</v>
      </c>
      <c r="C1716" s="5" t="s">
        <v>216</v>
      </c>
      <c r="D1716" s="2">
        <f t="shared" si="103"/>
        <v>2013</v>
      </c>
      <c r="E1716" s="2">
        <f t="shared" si="104"/>
        <v>10</v>
      </c>
      <c r="F1716" s="3" t="s">
        <v>180</v>
      </c>
      <c r="G1716" s="7">
        <v>41563</v>
      </c>
      <c r="H1716" s="6">
        <v>6596620</v>
      </c>
      <c r="I1716" s="6">
        <v>1620350</v>
      </c>
      <c r="J1716" s="5" t="s">
        <v>186</v>
      </c>
      <c r="K1716" s="1">
        <v>2</v>
      </c>
      <c r="L1716" s="1" t="str">
        <f t="shared" si="105"/>
        <v>Norrviken 2</v>
      </c>
      <c r="M1716" s="5" t="s">
        <v>218</v>
      </c>
      <c r="N1716" s="6">
        <v>6</v>
      </c>
      <c r="O1716" s="6">
        <v>6</v>
      </c>
      <c r="Q1716" s="6">
        <v>10.5</v>
      </c>
      <c r="R1716" s="6">
        <v>6.8</v>
      </c>
      <c r="S1716" s="6">
        <v>62</v>
      </c>
    </row>
    <row r="1717" spans="1:43" x14ac:dyDescent="0.3">
      <c r="A1717" s="6">
        <v>25417</v>
      </c>
      <c r="B1717" s="5" t="s">
        <v>215</v>
      </c>
      <c r="C1717" s="5" t="s">
        <v>216</v>
      </c>
      <c r="D1717" s="2">
        <f t="shared" si="103"/>
        <v>2013</v>
      </c>
      <c r="E1717" s="2">
        <f t="shared" si="104"/>
        <v>10</v>
      </c>
      <c r="F1717" s="3" t="s">
        <v>180</v>
      </c>
      <c r="G1717" s="7">
        <v>41563</v>
      </c>
      <c r="H1717" s="6">
        <v>6596620</v>
      </c>
      <c r="I1717" s="6">
        <v>1620350</v>
      </c>
      <c r="J1717" s="5" t="s">
        <v>186</v>
      </c>
      <c r="K1717" s="1">
        <v>2</v>
      </c>
      <c r="L1717" s="1" t="str">
        <f t="shared" si="105"/>
        <v>Norrviken 2</v>
      </c>
      <c r="M1717" s="5" t="s">
        <v>219</v>
      </c>
      <c r="N1717" s="6">
        <v>7</v>
      </c>
      <c r="O1717" s="6">
        <v>7</v>
      </c>
      <c r="Q1717" s="6">
        <v>10.5</v>
      </c>
      <c r="R1717" s="6">
        <v>6.8</v>
      </c>
      <c r="S1717" s="6">
        <v>61</v>
      </c>
    </row>
    <row r="1718" spans="1:43" x14ac:dyDescent="0.3">
      <c r="A1718" s="6">
        <v>25418</v>
      </c>
      <c r="B1718" s="5" t="s">
        <v>215</v>
      </c>
      <c r="C1718" s="5" t="s">
        <v>216</v>
      </c>
      <c r="D1718" s="2">
        <f t="shared" si="103"/>
        <v>2013</v>
      </c>
      <c r="E1718" s="2">
        <f t="shared" si="104"/>
        <v>10</v>
      </c>
      <c r="F1718" s="3" t="s">
        <v>180</v>
      </c>
      <c r="G1718" s="7">
        <v>41563</v>
      </c>
      <c r="H1718" s="6">
        <v>6596620</v>
      </c>
      <c r="I1718" s="6">
        <v>1620350</v>
      </c>
      <c r="J1718" s="5" t="s">
        <v>186</v>
      </c>
      <c r="K1718" s="1">
        <v>2</v>
      </c>
      <c r="L1718" s="1" t="str">
        <f t="shared" si="105"/>
        <v>Norrviken 2</v>
      </c>
      <c r="M1718" s="5" t="s">
        <v>220</v>
      </c>
      <c r="N1718" s="6">
        <v>8</v>
      </c>
      <c r="O1718" s="6">
        <v>8</v>
      </c>
      <c r="Q1718" s="6">
        <v>10.5</v>
      </c>
      <c r="R1718" s="6">
        <v>6.8</v>
      </c>
      <c r="S1718" s="6">
        <v>62</v>
      </c>
    </row>
    <row r="1719" spans="1:43" x14ac:dyDescent="0.3">
      <c r="A1719" s="6">
        <v>25419</v>
      </c>
      <c r="B1719" s="5" t="s">
        <v>215</v>
      </c>
      <c r="C1719" s="5" t="s">
        <v>216</v>
      </c>
      <c r="D1719" s="2">
        <f t="shared" si="103"/>
        <v>2013</v>
      </c>
      <c r="E1719" s="2">
        <f t="shared" si="104"/>
        <v>10</v>
      </c>
      <c r="F1719" s="3" t="s">
        <v>180</v>
      </c>
      <c r="G1719" s="7">
        <v>41563</v>
      </c>
      <c r="H1719" s="6">
        <v>6596620</v>
      </c>
      <c r="I1719" s="6">
        <v>1620350</v>
      </c>
      <c r="J1719" s="5" t="s">
        <v>186</v>
      </c>
      <c r="K1719" s="1">
        <v>2</v>
      </c>
      <c r="L1719" s="1" t="str">
        <f t="shared" si="105"/>
        <v>Norrviken 2</v>
      </c>
      <c r="M1719" s="1" t="s">
        <v>184</v>
      </c>
      <c r="N1719" s="6">
        <v>9</v>
      </c>
      <c r="O1719" s="6">
        <v>9</v>
      </c>
      <c r="Q1719" s="6">
        <v>10.5</v>
      </c>
      <c r="R1719" s="6">
        <v>6.8</v>
      </c>
      <c r="S1719" s="6">
        <v>61</v>
      </c>
    </row>
    <row r="1720" spans="1:43" x14ac:dyDescent="0.3">
      <c r="A1720" s="6">
        <v>25420</v>
      </c>
      <c r="B1720" s="5" t="s">
        <v>215</v>
      </c>
      <c r="C1720" s="5" t="s">
        <v>216</v>
      </c>
      <c r="D1720" s="2">
        <f t="shared" si="103"/>
        <v>2013</v>
      </c>
      <c r="E1720" s="2">
        <f t="shared" si="104"/>
        <v>10</v>
      </c>
      <c r="F1720" s="3" t="s">
        <v>180</v>
      </c>
      <c r="G1720" s="7">
        <v>41563</v>
      </c>
      <c r="H1720" s="6">
        <v>6594885</v>
      </c>
      <c r="I1720" s="6">
        <v>1620750</v>
      </c>
      <c r="J1720" s="5" t="s">
        <v>186</v>
      </c>
      <c r="K1720" s="1">
        <v>3</v>
      </c>
      <c r="L1720" s="1" t="str">
        <f t="shared" si="105"/>
        <v>Norrviken 3</v>
      </c>
      <c r="M1720" s="1" t="s">
        <v>177</v>
      </c>
      <c r="N1720" s="6">
        <v>0.5</v>
      </c>
      <c r="O1720" s="6">
        <v>0.5</v>
      </c>
      <c r="P1720" s="6">
        <v>2.5</v>
      </c>
      <c r="Q1720" s="6">
        <v>10.6</v>
      </c>
      <c r="R1720" s="6">
        <v>7.3</v>
      </c>
      <c r="S1720" s="6">
        <v>66</v>
      </c>
      <c r="V1720" s="6">
        <v>2.5901567999999999</v>
      </c>
      <c r="W1720" s="6">
        <v>251</v>
      </c>
      <c r="X1720" s="1">
        <f>W1720 * (1/((10^((0.0901821 + (2729.92 /(273.15 + Q1720)))-AE1720)+1)))</f>
        <v>2.8423796152922423</v>
      </c>
      <c r="Y1720" s="6">
        <v>0.04</v>
      </c>
      <c r="Z1720" s="6">
        <v>88.8</v>
      </c>
      <c r="AA1720" s="6">
        <v>2.9</v>
      </c>
      <c r="AB1720" s="6">
        <v>3.2661199999999999</v>
      </c>
      <c r="AD1720" s="6">
        <v>80.811000000000007</v>
      </c>
      <c r="AE1720" s="6">
        <v>7.77</v>
      </c>
      <c r="AK1720" s="6">
        <v>107.41</v>
      </c>
      <c r="AL1720" s="6">
        <v>925.84</v>
      </c>
      <c r="AM1720" s="6"/>
      <c r="AN1720" s="6"/>
      <c r="AO1720" s="6"/>
      <c r="AP1720" s="6"/>
      <c r="AQ1720" s="6"/>
    </row>
    <row r="1721" spans="1:43" x14ac:dyDescent="0.3">
      <c r="A1721" s="6">
        <v>25421</v>
      </c>
      <c r="B1721" s="5" t="s">
        <v>215</v>
      </c>
      <c r="C1721" s="5" t="s">
        <v>216</v>
      </c>
      <c r="D1721" s="2">
        <f t="shared" si="103"/>
        <v>2013</v>
      </c>
      <c r="E1721" s="2">
        <f t="shared" si="104"/>
        <v>10</v>
      </c>
      <c r="F1721" s="3" t="s">
        <v>180</v>
      </c>
      <c r="G1721" s="7">
        <v>41563</v>
      </c>
      <c r="H1721" s="6">
        <v>6594885</v>
      </c>
      <c r="I1721" s="6">
        <v>1620750</v>
      </c>
      <c r="J1721" s="5" t="s">
        <v>186</v>
      </c>
      <c r="K1721" s="1">
        <v>3</v>
      </c>
      <c r="L1721" s="1" t="str">
        <f t="shared" si="105"/>
        <v>Norrviken 3</v>
      </c>
      <c r="M1721" s="5" t="s">
        <v>211</v>
      </c>
      <c r="N1721" s="6">
        <v>1</v>
      </c>
      <c r="O1721" s="6">
        <v>1</v>
      </c>
      <c r="Q1721" s="6">
        <v>10.6</v>
      </c>
      <c r="R1721" s="6">
        <v>7.1</v>
      </c>
      <c r="S1721" s="6">
        <v>64</v>
      </c>
    </row>
    <row r="1722" spans="1:43" x14ac:dyDescent="0.3">
      <c r="A1722" s="6">
        <v>25422</v>
      </c>
      <c r="B1722" s="5" t="s">
        <v>215</v>
      </c>
      <c r="C1722" s="5" t="s">
        <v>216</v>
      </c>
      <c r="D1722" s="2">
        <f t="shared" si="103"/>
        <v>2013</v>
      </c>
      <c r="E1722" s="2">
        <f t="shared" si="104"/>
        <v>10</v>
      </c>
      <c r="F1722" s="3" t="s">
        <v>180</v>
      </c>
      <c r="G1722" s="7">
        <v>41563</v>
      </c>
      <c r="H1722" s="6">
        <v>6594885</v>
      </c>
      <c r="I1722" s="6">
        <v>1620750</v>
      </c>
      <c r="J1722" s="5" t="s">
        <v>186</v>
      </c>
      <c r="K1722" s="1">
        <v>3</v>
      </c>
      <c r="L1722" s="1" t="str">
        <f t="shared" si="105"/>
        <v>Norrviken 3</v>
      </c>
      <c r="M1722" s="5" t="s">
        <v>212</v>
      </c>
      <c r="N1722" s="6">
        <v>2</v>
      </c>
      <c r="O1722" s="6">
        <v>2</v>
      </c>
      <c r="Q1722" s="6">
        <v>10.6</v>
      </c>
      <c r="R1722" s="6">
        <v>7.1</v>
      </c>
      <c r="S1722" s="6">
        <v>64</v>
      </c>
    </row>
    <row r="1723" spans="1:43" x14ac:dyDescent="0.3">
      <c r="A1723" s="6">
        <v>25423</v>
      </c>
      <c r="B1723" s="5" t="s">
        <v>215</v>
      </c>
      <c r="C1723" s="5" t="s">
        <v>216</v>
      </c>
      <c r="D1723" s="2">
        <f t="shared" si="103"/>
        <v>2013</v>
      </c>
      <c r="E1723" s="2">
        <f t="shared" si="104"/>
        <v>10</v>
      </c>
      <c r="F1723" s="3" t="s">
        <v>180</v>
      </c>
      <c r="G1723" s="7">
        <v>41563</v>
      </c>
      <c r="H1723" s="6">
        <v>6594885</v>
      </c>
      <c r="I1723" s="6">
        <v>1620750</v>
      </c>
      <c r="J1723" s="5" t="s">
        <v>186</v>
      </c>
      <c r="K1723" s="1">
        <v>3</v>
      </c>
      <c r="L1723" s="1" t="str">
        <f t="shared" si="105"/>
        <v>Norrviken 3</v>
      </c>
      <c r="M1723" s="5" t="s">
        <v>213</v>
      </c>
      <c r="N1723" s="6">
        <v>3</v>
      </c>
      <c r="O1723" s="6">
        <v>3</v>
      </c>
      <c r="Q1723" s="6">
        <v>10.6</v>
      </c>
      <c r="R1723" s="6">
        <v>7.1</v>
      </c>
      <c r="S1723" s="6">
        <v>64</v>
      </c>
    </row>
    <row r="1724" spans="1:43" x14ac:dyDescent="0.3">
      <c r="A1724" s="6">
        <v>25424</v>
      </c>
      <c r="B1724" s="5" t="s">
        <v>215</v>
      </c>
      <c r="C1724" s="5" t="s">
        <v>216</v>
      </c>
      <c r="D1724" s="2">
        <f t="shared" si="103"/>
        <v>2013</v>
      </c>
      <c r="E1724" s="2">
        <f t="shared" si="104"/>
        <v>10</v>
      </c>
      <c r="F1724" s="3" t="s">
        <v>180</v>
      </c>
      <c r="G1724" s="7">
        <v>41563</v>
      </c>
      <c r="H1724" s="6">
        <v>6594885</v>
      </c>
      <c r="I1724" s="6">
        <v>1620750</v>
      </c>
      <c r="J1724" s="5" t="s">
        <v>186</v>
      </c>
      <c r="K1724" s="1">
        <v>3</v>
      </c>
      <c r="L1724" s="1" t="str">
        <f t="shared" si="105"/>
        <v>Norrviken 3</v>
      </c>
      <c r="M1724" s="5" t="s">
        <v>214</v>
      </c>
      <c r="N1724" s="6">
        <v>4</v>
      </c>
      <c r="O1724" s="6">
        <v>4</v>
      </c>
      <c r="Q1724" s="6">
        <v>10.6</v>
      </c>
      <c r="R1724" s="6">
        <v>7.1</v>
      </c>
      <c r="S1724" s="6">
        <v>64</v>
      </c>
    </row>
    <row r="1725" spans="1:43" x14ac:dyDescent="0.3">
      <c r="A1725" s="6">
        <v>25425</v>
      </c>
      <c r="B1725" s="5" t="s">
        <v>215</v>
      </c>
      <c r="C1725" s="5" t="s">
        <v>216</v>
      </c>
      <c r="D1725" s="2">
        <f t="shared" si="103"/>
        <v>2013</v>
      </c>
      <c r="E1725" s="2">
        <f t="shared" si="104"/>
        <v>10</v>
      </c>
      <c r="F1725" s="3" t="s">
        <v>180</v>
      </c>
      <c r="G1725" s="7">
        <v>41563</v>
      </c>
      <c r="H1725" s="6">
        <v>6594885</v>
      </c>
      <c r="I1725" s="6">
        <v>1620750</v>
      </c>
      <c r="J1725" s="5" t="s">
        <v>186</v>
      </c>
      <c r="K1725" s="1">
        <v>3</v>
      </c>
      <c r="L1725" s="1" t="str">
        <f t="shared" si="105"/>
        <v>Norrviken 3</v>
      </c>
      <c r="M1725" s="5" t="s">
        <v>217</v>
      </c>
      <c r="N1725" s="6">
        <v>5</v>
      </c>
      <c r="O1725" s="6">
        <v>5</v>
      </c>
      <c r="Q1725" s="6">
        <v>10.6</v>
      </c>
      <c r="R1725" s="6">
        <v>7.1</v>
      </c>
      <c r="S1725" s="6">
        <v>64</v>
      </c>
    </row>
    <row r="1726" spans="1:43" x14ac:dyDescent="0.3">
      <c r="A1726" s="6">
        <v>25426</v>
      </c>
      <c r="B1726" s="5" t="s">
        <v>215</v>
      </c>
      <c r="C1726" s="5" t="s">
        <v>216</v>
      </c>
      <c r="D1726" s="2">
        <f t="shared" si="103"/>
        <v>2013</v>
      </c>
      <c r="E1726" s="2">
        <f t="shared" si="104"/>
        <v>10</v>
      </c>
      <c r="F1726" s="3" t="s">
        <v>180</v>
      </c>
      <c r="G1726" s="7">
        <v>41563</v>
      </c>
      <c r="H1726" s="6">
        <v>6594885</v>
      </c>
      <c r="I1726" s="6">
        <v>1620750</v>
      </c>
      <c r="J1726" s="5" t="s">
        <v>186</v>
      </c>
      <c r="K1726" s="1">
        <v>3</v>
      </c>
      <c r="L1726" s="1" t="str">
        <f t="shared" si="105"/>
        <v>Norrviken 3</v>
      </c>
      <c r="M1726" s="5" t="s">
        <v>218</v>
      </c>
      <c r="N1726" s="6">
        <v>6</v>
      </c>
      <c r="O1726" s="6">
        <v>6</v>
      </c>
      <c r="Q1726" s="6">
        <v>10.6</v>
      </c>
      <c r="R1726" s="6">
        <v>7</v>
      </c>
      <c r="S1726" s="6">
        <v>63</v>
      </c>
    </row>
    <row r="1727" spans="1:43" x14ac:dyDescent="0.3">
      <c r="A1727" s="6">
        <v>25427</v>
      </c>
      <c r="B1727" s="5" t="s">
        <v>215</v>
      </c>
      <c r="C1727" s="5" t="s">
        <v>216</v>
      </c>
      <c r="D1727" s="2">
        <f t="shared" si="103"/>
        <v>2013</v>
      </c>
      <c r="E1727" s="2">
        <f t="shared" si="104"/>
        <v>10</v>
      </c>
      <c r="F1727" s="3" t="s">
        <v>180</v>
      </c>
      <c r="G1727" s="7">
        <v>41563</v>
      </c>
      <c r="H1727" s="6">
        <v>6594885</v>
      </c>
      <c r="I1727" s="6">
        <v>1620750</v>
      </c>
      <c r="J1727" s="5" t="s">
        <v>186</v>
      </c>
      <c r="K1727" s="1">
        <v>3</v>
      </c>
      <c r="L1727" s="1" t="str">
        <f t="shared" si="105"/>
        <v>Norrviken 3</v>
      </c>
      <c r="M1727" s="5" t="s">
        <v>219</v>
      </c>
      <c r="N1727" s="6">
        <v>7</v>
      </c>
      <c r="O1727" s="6">
        <v>7</v>
      </c>
      <c r="Q1727" s="6">
        <v>10.6</v>
      </c>
      <c r="R1727" s="6">
        <v>7</v>
      </c>
      <c r="S1727" s="6">
        <v>63</v>
      </c>
    </row>
    <row r="1728" spans="1:43" x14ac:dyDescent="0.3">
      <c r="A1728" s="6">
        <v>25428</v>
      </c>
      <c r="B1728" s="5" t="s">
        <v>215</v>
      </c>
      <c r="C1728" s="5" t="s">
        <v>216</v>
      </c>
      <c r="D1728" s="2">
        <f t="shared" si="103"/>
        <v>2013</v>
      </c>
      <c r="E1728" s="2">
        <f t="shared" si="104"/>
        <v>10</v>
      </c>
      <c r="F1728" s="3" t="s">
        <v>180</v>
      </c>
      <c r="G1728" s="7">
        <v>41563</v>
      </c>
      <c r="H1728" s="6">
        <v>6594885</v>
      </c>
      <c r="I1728" s="6">
        <v>1620750</v>
      </c>
      <c r="J1728" s="5" t="s">
        <v>186</v>
      </c>
      <c r="K1728" s="1">
        <v>3</v>
      </c>
      <c r="L1728" s="1" t="str">
        <f t="shared" si="105"/>
        <v>Norrviken 3</v>
      </c>
      <c r="M1728" s="5" t="s">
        <v>220</v>
      </c>
      <c r="N1728" s="6">
        <v>8</v>
      </c>
      <c r="O1728" s="6">
        <v>8</v>
      </c>
      <c r="Q1728" s="6">
        <v>10.6</v>
      </c>
      <c r="R1728" s="6">
        <v>7</v>
      </c>
      <c r="S1728" s="6">
        <v>63</v>
      </c>
    </row>
    <row r="1729" spans="1:50" x14ac:dyDescent="0.3">
      <c r="A1729" s="6">
        <v>25429</v>
      </c>
      <c r="B1729" s="5" t="s">
        <v>215</v>
      </c>
      <c r="C1729" s="5" t="s">
        <v>216</v>
      </c>
      <c r="D1729" s="2">
        <f t="shared" si="103"/>
        <v>2013</v>
      </c>
      <c r="E1729" s="2">
        <f t="shared" si="104"/>
        <v>10</v>
      </c>
      <c r="F1729" s="3" t="s">
        <v>180</v>
      </c>
      <c r="G1729" s="7">
        <v>41563</v>
      </c>
      <c r="H1729" s="6">
        <v>6594885</v>
      </c>
      <c r="I1729" s="6">
        <v>1620750</v>
      </c>
      <c r="J1729" s="5" t="s">
        <v>186</v>
      </c>
      <c r="K1729" s="1">
        <v>3</v>
      </c>
      <c r="L1729" s="1" t="str">
        <f t="shared" si="105"/>
        <v>Norrviken 3</v>
      </c>
      <c r="M1729" s="5" t="s">
        <v>221</v>
      </c>
      <c r="N1729" s="6">
        <v>9</v>
      </c>
      <c r="O1729" s="6">
        <v>9</v>
      </c>
      <c r="Q1729" s="6">
        <v>10.6</v>
      </c>
      <c r="R1729" s="6">
        <v>7</v>
      </c>
      <c r="S1729" s="6">
        <v>63</v>
      </c>
    </row>
    <row r="1730" spans="1:50" x14ac:dyDescent="0.3">
      <c r="A1730" s="6">
        <v>25430</v>
      </c>
      <c r="B1730" s="5" t="s">
        <v>215</v>
      </c>
      <c r="C1730" s="5" t="s">
        <v>216</v>
      </c>
      <c r="D1730" s="2">
        <f t="shared" ref="D1730:D1793" si="106">YEAR(G1730)</f>
        <v>2013</v>
      </c>
      <c r="E1730" s="2">
        <f t="shared" ref="E1730:E1793" si="107">MONTH(G1730)</f>
        <v>10</v>
      </c>
      <c r="F1730" s="3" t="s">
        <v>180</v>
      </c>
      <c r="G1730" s="7">
        <v>41563</v>
      </c>
      <c r="H1730" s="6">
        <v>6594885</v>
      </c>
      <c r="I1730" s="6">
        <v>1620750</v>
      </c>
      <c r="J1730" s="5" t="s">
        <v>186</v>
      </c>
      <c r="K1730" s="1">
        <v>3</v>
      </c>
      <c r="L1730" s="1" t="str">
        <f t="shared" ref="L1730:L1793" si="108">CONCATENATE(J1730," ",K1730)</f>
        <v>Norrviken 3</v>
      </c>
      <c r="M1730" s="5" t="s">
        <v>222</v>
      </c>
      <c r="N1730" s="6">
        <v>10</v>
      </c>
      <c r="O1730" s="6">
        <v>10</v>
      </c>
      <c r="Q1730" s="6">
        <v>10.6</v>
      </c>
      <c r="R1730" s="6">
        <v>7</v>
      </c>
      <c r="S1730" s="6">
        <v>63</v>
      </c>
    </row>
    <row r="1731" spans="1:50" x14ac:dyDescent="0.3">
      <c r="A1731" s="6">
        <v>25431</v>
      </c>
      <c r="B1731" s="5" t="s">
        <v>215</v>
      </c>
      <c r="C1731" s="5" t="s">
        <v>216</v>
      </c>
      <c r="D1731" s="2">
        <f t="shared" si="106"/>
        <v>2013</v>
      </c>
      <c r="E1731" s="2">
        <f t="shared" si="107"/>
        <v>10</v>
      </c>
      <c r="F1731" s="3" t="s">
        <v>180</v>
      </c>
      <c r="G1731" s="7">
        <v>41563</v>
      </c>
      <c r="H1731" s="6">
        <v>6594885</v>
      </c>
      <c r="I1731" s="6">
        <v>1620750</v>
      </c>
      <c r="J1731" s="5" t="s">
        <v>186</v>
      </c>
      <c r="K1731" s="1">
        <v>3</v>
      </c>
      <c r="L1731" s="1" t="str">
        <f t="shared" si="108"/>
        <v>Norrviken 3</v>
      </c>
      <c r="M1731" s="5" t="s">
        <v>223</v>
      </c>
      <c r="N1731" s="6">
        <v>11</v>
      </c>
      <c r="O1731" s="6">
        <v>11</v>
      </c>
      <c r="Q1731" s="6">
        <v>10.6</v>
      </c>
      <c r="R1731" s="6">
        <v>7</v>
      </c>
      <c r="S1731" s="6">
        <v>63</v>
      </c>
    </row>
    <row r="1732" spans="1:50" x14ac:dyDescent="0.3">
      <c r="A1732" s="6">
        <v>25432</v>
      </c>
      <c r="B1732" s="5" t="s">
        <v>215</v>
      </c>
      <c r="C1732" s="5" t="s">
        <v>216</v>
      </c>
      <c r="D1732" s="2">
        <f t="shared" si="106"/>
        <v>2013</v>
      </c>
      <c r="E1732" s="2">
        <f t="shared" si="107"/>
        <v>10</v>
      </c>
      <c r="F1732" s="3" t="s">
        <v>180</v>
      </c>
      <c r="G1732" s="7">
        <v>41563</v>
      </c>
      <c r="H1732" s="6">
        <v>6594885</v>
      </c>
      <c r="I1732" s="6">
        <v>1620750</v>
      </c>
      <c r="J1732" s="5" t="s">
        <v>186</v>
      </c>
      <c r="K1732" s="1">
        <v>3</v>
      </c>
      <c r="L1732" s="1" t="str">
        <f t="shared" si="108"/>
        <v>Norrviken 3</v>
      </c>
      <c r="M1732" s="1" t="s">
        <v>184</v>
      </c>
      <c r="N1732" s="6">
        <v>11.5</v>
      </c>
      <c r="O1732" s="6">
        <v>11.5</v>
      </c>
      <c r="Q1732" s="6">
        <v>10.6</v>
      </c>
      <c r="R1732" s="6">
        <v>7</v>
      </c>
      <c r="S1732" s="6">
        <v>63</v>
      </c>
    </row>
    <row r="1733" spans="1:50" x14ac:dyDescent="0.3">
      <c r="A1733" s="6">
        <v>25433</v>
      </c>
      <c r="B1733" s="5" t="s">
        <v>215</v>
      </c>
      <c r="C1733" s="5" t="s">
        <v>216</v>
      </c>
      <c r="D1733" s="2">
        <f t="shared" si="106"/>
        <v>2013</v>
      </c>
      <c r="E1733" s="2">
        <f t="shared" si="107"/>
        <v>10</v>
      </c>
      <c r="F1733" s="3" t="s">
        <v>180</v>
      </c>
      <c r="G1733" s="7">
        <v>41563</v>
      </c>
      <c r="H1733" s="6">
        <v>6597300</v>
      </c>
      <c r="I1733" s="6">
        <v>1619975</v>
      </c>
      <c r="J1733" s="5" t="s">
        <v>186</v>
      </c>
      <c r="K1733" s="1">
        <v>4</v>
      </c>
      <c r="L1733" s="1" t="str">
        <f t="shared" si="108"/>
        <v>Norrviken 4</v>
      </c>
      <c r="M1733" s="1" t="s">
        <v>177</v>
      </c>
      <c r="N1733" s="6">
        <v>0.5</v>
      </c>
      <c r="O1733" s="6">
        <v>0.5</v>
      </c>
      <c r="P1733" s="6">
        <v>2</v>
      </c>
      <c r="Q1733" s="6">
        <v>9.9</v>
      </c>
      <c r="R1733" s="6">
        <v>7.2</v>
      </c>
      <c r="S1733" s="6">
        <v>64</v>
      </c>
      <c r="V1733" s="6">
        <v>2.6294016</v>
      </c>
      <c r="W1733" s="6">
        <v>214.15299999999999</v>
      </c>
      <c r="X1733" s="1">
        <f>W1733 * (1/((10^((0.0901821 + (2729.92 /(273.15 + Q1733)))-AE1733)+1)))</f>
        <v>2.1948837841034501</v>
      </c>
      <c r="Y1733" s="6">
        <v>4.2000000000000003E-2</v>
      </c>
      <c r="Z1733" s="6">
        <v>84.11</v>
      </c>
      <c r="AA1733" s="6">
        <v>2</v>
      </c>
      <c r="AB1733" s="6">
        <v>2.6997550000000001</v>
      </c>
      <c r="AD1733" s="6">
        <v>95.087000000000003</v>
      </c>
      <c r="AE1733" s="6">
        <v>7.75</v>
      </c>
      <c r="AK1733" s="6">
        <v>104.46</v>
      </c>
      <c r="AL1733" s="6">
        <v>897.88800000000003</v>
      </c>
      <c r="AM1733" s="6"/>
      <c r="AN1733" s="6"/>
      <c r="AO1733" s="6"/>
      <c r="AP1733" s="6"/>
      <c r="AQ1733" s="6"/>
    </row>
    <row r="1734" spans="1:50" x14ac:dyDescent="0.3">
      <c r="A1734" s="6">
        <v>25434</v>
      </c>
      <c r="B1734" s="5" t="s">
        <v>215</v>
      </c>
      <c r="C1734" s="5" t="s">
        <v>216</v>
      </c>
      <c r="D1734" s="2">
        <f t="shared" si="106"/>
        <v>2013</v>
      </c>
      <c r="E1734" s="2">
        <f t="shared" si="107"/>
        <v>10</v>
      </c>
      <c r="F1734" s="3" t="s">
        <v>180</v>
      </c>
      <c r="G1734" s="7">
        <v>41563</v>
      </c>
      <c r="H1734" s="6">
        <v>6597300</v>
      </c>
      <c r="I1734" s="6">
        <v>1619975</v>
      </c>
      <c r="J1734" s="5" t="s">
        <v>186</v>
      </c>
      <c r="K1734" s="1">
        <v>4</v>
      </c>
      <c r="L1734" s="1" t="str">
        <f t="shared" si="108"/>
        <v>Norrviken 4</v>
      </c>
      <c r="M1734" s="5" t="s">
        <v>211</v>
      </c>
      <c r="N1734" s="6">
        <v>1</v>
      </c>
      <c r="O1734" s="6">
        <v>1</v>
      </c>
      <c r="Q1734" s="6">
        <v>9.9</v>
      </c>
      <c r="R1734" s="6">
        <v>7.1</v>
      </c>
      <c r="S1734" s="6">
        <v>63</v>
      </c>
    </row>
    <row r="1735" spans="1:50" x14ac:dyDescent="0.3">
      <c r="A1735" s="6">
        <v>25435</v>
      </c>
      <c r="B1735" s="5" t="s">
        <v>215</v>
      </c>
      <c r="C1735" s="5" t="s">
        <v>216</v>
      </c>
      <c r="D1735" s="2">
        <f t="shared" si="106"/>
        <v>2013</v>
      </c>
      <c r="E1735" s="2">
        <f t="shared" si="107"/>
        <v>10</v>
      </c>
      <c r="F1735" s="3" t="s">
        <v>180</v>
      </c>
      <c r="G1735" s="7">
        <v>41563</v>
      </c>
      <c r="H1735" s="6">
        <v>6597300</v>
      </c>
      <c r="I1735" s="6">
        <v>1619975</v>
      </c>
      <c r="J1735" s="5" t="s">
        <v>186</v>
      </c>
      <c r="K1735" s="1">
        <v>4</v>
      </c>
      <c r="L1735" s="1" t="str">
        <f t="shared" si="108"/>
        <v>Norrviken 4</v>
      </c>
      <c r="M1735" s="1" t="s">
        <v>184</v>
      </c>
      <c r="N1735" s="6">
        <v>2</v>
      </c>
      <c r="O1735" s="6">
        <v>2</v>
      </c>
      <c r="Q1735" s="6">
        <v>9.9</v>
      </c>
      <c r="R1735" s="6">
        <v>7.1</v>
      </c>
      <c r="S1735" s="6">
        <v>63</v>
      </c>
    </row>
    <row r="1736" spans="1:50" x14ac:dyDescent="0.3">
      <c r="A1736" s="6">
        <v>25436</v>
      </c>
      <c r="B1736" s="5" t="s">
        <v>215</v>
      </c>
      <c r="C1736" s="5" t="s">
        <v>216</v>
      </c>
      <c r="D1736" s="2">
        <f t="shared" si="106"/>
        <v>2013</v>
      </c>
      <c r="E1736" s="2">
        <f t="shared" si="107"/>
        <v>10</v>
      </c>
      <c r="F1736" s="3" t="s">
        <v>180</v>
      </c>
      <c r="G1736" s="7">
        <v>41563</v>
      </c>
      <c r="J1736" s="5" t="s">
        <v>186</v>
      </c>
      <c r="K1736" s="5" t="s">
        <v>224</v>
      </c>
      <c r="L1736" s="1" t="str">
        <f t="shared" si="108"/>
        <v>Norrviken Norra</v>
      </c>
      <c r="M1736" s="5" t="s">
        <v>225</v>
      </c>
      <c r="N1736" s="6">
        <v>2</v>
      </c>
      <c r="O1736" s="6">
        <v>0</v>
      </c>
      <c r="V1736" s="6">
        <v>2.5901567999999999</v>
      </c>
      <c r="W1736" s="6">
        <v>42.564</v>
      </c>
      <c r="X1736" s="6">
        <v>0.28297480980213274</v>
      </c>
      <c r="Y1736" s="6">
        <v>4.7E-2</v>
      </c>
      <c r="Z1736" s="6">
        <v>43.94</v>
      </c>
      <c r="AA1736" s="6">
        <v>3.6</v>
      </c>
      <c r="AB1736" s="6">
        <v>16.412154000000001</v>
      </c>
      <c r="AD1736" s="6">
        <v>61.795000000000002</v>
      </c>
      <c r="AE1736" s="6">
        <v>7.91</v>
      </c>
      <c r="AK1736" s="6">
        <v>81.12</v>
      </c>
      <c r="AL1736" s="6">
        <v>866.202</v>
      </c>
      <c r="AM1736" s="6"/>
      <c r="AN1736" s="6"/>
      <c r="AO1736" s="6"/>
      <c r="AP1736" s="6"/>
      <c r="AQ1736" s="6"/>
    </row>
    <row r="1737" spans="1:50" x14ac:dyDescent="0.3">
      <c r="A1737" s="6">
        <v>25437</v>
      </c>
      <c r="B1737" s="5" t="s">
        <v>215</v>
      </c>
      <c r="C1737" s="5" t="s">
        <v>216</v>
      </c>
      <c r="D1737" s="2">
        <f t="shared" si="106"/>
        <v>2013</v>
      </c>
      <c r="E1737" s="2">
        <f t="shared" si="107"/>
        <v>10</v>
      </c>
      <c r="F1737" s="3" t="s">
        <v>180</v>
      </c>
      <c r="G1737" s="7">
        <v>41563</v>
      </c>
      <c r="J1737" s="5" t="s">
        <v>186</v>
      </c>
      <c r="K1737" s="5" t="s">
        <v>226</v>
      </c>
      <c r="L1737" s="1" t="str">
        <f t="shared" si="108"/>
        <v>Norrviken Huvudbassäng</v>
      </c>
      <c r="M1737" s="5" t="s">
        <v>228</v>
      </c>
      <c r="N1737" s="6">
        <v>4</v>
      </c>
      <c r="O1737" s="6">
        <v>0</v>
      </c>
      <c r="V1737" s="6">
        <v>2.5901567999999999</v>
      </c>
      <c r="W1737" s="6">
        <v>239</v>
      </c>
      <c r="X1737" s="6">
        <v>1.3230896157690444</v>
      </c>
      <c r="Y1737" s="6">
        <v>4.1000000000000002E-2</v>
      </c>
      <c r="Z1737" s="6">
        <v>86.56</v>
      </c>
      <c r="AA1737" s="6">
        <v>2.8</v>
      </c>
      <c r="AB1737" s="6">
        <v>2.9371149999999999</v>
      </c>
      <c r="AD1737" s="6">
        <v>83.784999999999997</v>
      </c>
      <c r="AE1737" s="6">
        <v>7.83</v>
      </c>
      <c r="AK1737" s="6">
        <v>102.58</v>
      </c>
      <c r="AL1737" s="6">
        <v>939.35799999999995</v>
      </c>
      <c r="AM1737" s="6"/>
      <c r="AN1737" s="6"/>
      <c r="AO1737" s="6"/>
      <c r="AP1737" s="6"/>
      <c r="AQ1737" s="6"/>
    </row>
    <row r="1738" spans="1:50" x14ac:dyDescent="0.3">
      <c r="A1738" s="6">
        <v>25438</v>
      </c>
      <c r="B1738" s="5" t="s">
        <v>215</v>
      </c>
      <c r="C1738" s="5" t="s">
        <v>216</v>
      </c>
      <c r="D1738" s="2">
        <f t="shared" si="106"/>
        <v>2013</v>
      </c>
      <c r="E1738" s="2">
        <f t="shared" si="107"/>
        <v>10</v>
      </c>
      <c r="F1738" s="3" t="s">
        <v>180</v>
      </c>
      <c r="G1738" s="7">
        <v>41563</v>
      </c>
      <c r="H1738" s="6">
        <v>6594430</v>
      </c>
      <c r="I1738" s="6">
        <v>1625370</v>
      </c>
      <c r="J1738" s="5" t="s">
        <v>201</v>
      </c>
      <c r="K1738" s="1"/>
      <c r="L1738" s="1" t="str">
        <f t="shared" si="108"/>
        <v xml:space="preserve">Mörtsjön </v>
      </c>
      <c r="M1738" s="1" t="s">
        <v>177</v>
      </c>
      <c r="N1738" s="6">
        <v>0.5</v>
      </c>
      <c r="O1738" s="6">
        <v>0.5</v>
      </c>
      <c r="P1738" s="6">
        <v>2.6</v>
      </c>
      <c r="Q1738" s="6">
        <v>9</v>
      </c>
      <c r="R1738" s="6">
        <v>7.3</v>
      </c>
      <c r="S1738" s="6">
        <v>64</v>
      </c>
      <c r="V1738" s="6">
        <v>2.1584639999999999</v>
      </c>
      <c r="W1738" s="6">
        <v>50.652000000000001</v>
      </c>
      <c r="X1738" s="1">
        <f>W1738 * (1/((10^((0.0901821 + (2729.92 /(273.15 + Q1738)))-AE1738)+1)))</f>
        <v>0.30644893994124583</v>
      </c>
      <c r="Y1738" s="6">
        <v>0.114</v>
      </c>
      <c r="Z1738" s="6">
        <v>2.91</v>
      </c>
      <c r="AA1738" s="6">
        <v>1.62</v>
      </c>
      <c r="AB1738" s="6">
        <v>10.92285</v>
      </c>
      <c r="AD1738" s="6">
        <v>10.228</v>
      </c>
      <c r="AE1738" s="6">
        <v>7.55</v>
      </c>
      <c r="AK1738" s="6">
        <v>24.99</v>
      </c>
      <c r="AL1738" s="6">
        <v>690.399</v>
      </c>
      <c r="AM1738" s="6"/>
      <c r="AN1738" s="6"/>
      <c r="AO1738" s="6"/>
      <c r="AP1738" s="6"/>
      <c r="AQ1738" s="6"/>
    </row>
    <row r="1739" spans="1:50" x14ac:dyDescent="0.3">
      <c r="A1739" s="6">
        <v>25439</v>
      </c>
      <c r="B1739" s="5" t="s">
        <v>215</v>
      </c>
      <c r="C1739" s="5" t="s">
        <v>216</v>
      </c>
      <c r="D1739" s="2">
        <f t="shared" si="106"/>
        <v>2013</v>
      </c>
      <c r="E1739" s="2">
        <f t="shared" si="107"/>
        <v>10</v>
      </c>
      <c r="F1739" s="3" t="s">
        <v>180</v>
      </c>
      <c r="G1739" s="7">
        <v>41563</v>
      </c>
      <c r="H1739" s="6">
        <v>6594430</v>
      </c>
      <c r="I1739" s="6">
        <v>1625370</v>
      </c>
      <c r="J1739" s="5" t="s">
        <v>201</v>
      </c>
      <c r="K1739" s="1"/>
      <c r="L1739" s="1" t="str">
        <f t="shared" si="108"/>
        <v xml:space="preserve">Mörtsjön </v>
      </c>
      <c r="M1739" s="5" t="s">
        <v>211</v>
      </c>
      <c r="N1739" s="6">
        <v>1</v>
      </c>
      <c r="O1739" s="6">
        <v>1</v>
      </c>
      <c r="Q1739" s="6">
        <v>9</v>
      </c>
      <c r="R1739" s="6">
        <v>7.3</v>
      </c>
      <c r="S1739" s="6">
        <v>64</v>
      </c>
    </row>
    <row r="1740" spans="1:50" x14ac:dyDescent="0.3">
      <c r="A1740" s="6">
        <v>25440</v>
      </c>
      <c r="B1740" s="5" t="s">
        <v>215</v>
      </c>
      <c r="C1740" s="5" t="s">
        <v>216</v>
      </c>
      <c r="D1740" s="2">
        <f t="shared" si="106"/>
        <v>2013</v>
      </c>
      <c r="E1740" s="2">
        <f t="shared" si="107"/>
        <v>10</v>
      </c>
      <c r="F1740" s="3" t="s">
        <v>180</v>
      </c>
      <c r="G1740" s="7">
        <v>41563</v>
      </c>
      <c r="H1740" s="6">
        <v>6594430</v>
      </c>
      <c r="I1740" s="6">
        <v>1625370</v>
      </c>
      <c r="J1740" s="5" t="s">
        <v>201</v>
      </c>
      <c r="K1740" s="1"/>
      <c r="L1740" s="1" t="str">
        <f t="shared" si="108"/>
        <v xml:space="preserve">Mörtsjön </v>
      </c>
      <c r="M1740" s="5" t="s">
        <v>212</v>
      </c>
      <c r="N1740" s="6">
        <v>2</v>
      </c>
      <c r="O1740" s="6">
        <v>2</v>
      </c>
      <c r="Q1740" s="6">
        <v>8.9</v>
      </c>
      <c r="R1740" s="6">
        <v>7.3</v>
      </c>
      <c r="S1740" s="6">
        <v>64</v>
      </c>
    </row>
    <row r="1741" spans="1:50" x14ac:dyDescent="0.3">
      <c r="A1741" s="6">
        <v>25441</v>
      </c>
      <c r="B1741" s="5" t="s">
        <v>215</v>
      </c>
      <c r="C1741" s="5" t="s">
        <v>216</v>
      </c>
      <c r="D1741" s="2">
        <f t="shared" si="106"/>
        <v>2013</v>
      </c>
      <c r="E1741" s="2">
        <f t="shared" si="107"/>
        <v>10</v>
      </c>
      <c r="F1741" s="3" t="s">
        <v>180</v>
      </c>
      <c r="G1741" s="7">
        <v>41563</v>
      </c>
      <c r="H1741" s="6">
        <v>6594430</v>
      </c>
      <c r="I1741" s="6">
        <v>1625370</v>
      </c>
      <c r="J1741" s="5" t="s">
        <v>201</v>
      </c>
      <c r="K1741" s="1"/>
      <c r="L1741" s="1" t="str">
        <f t="shared" si="108"/>
        <v xml:space="preserve">Mörtsjön </v>
      </c>
      <c r="M1741" s="5" t="s">
        <v>213</v>
      </c>
      <c r="N1741" s="6">
        <v>3</v>
      </c>
      <c r="O1741" s="6">
        <v>3</v>
      </c>
      <c r="Q1741" s="6">
        <v>8.9</v>
      </c>
      <c r="R1741" s="6">
        <v>7.3</v>
      </c>
      <c r="S1741" s="6">
        <v>64</v>
      </c>
    </row>
    <row r="1742" spans="1:50" x14ac:dyDescent="0.3">
      <c r="A1742" s="6">
        <v>25442</v>
      </c>
      <c r="B1742" s="5" t="s">
        <v>215</v>
      </c>
      <c r="C1742" s="5" t="s">
        <v>216</v>
      </c>
      <c r="D1742" s="2">
        <f t="shared" si="106"/>
        <v>2013</v>
      </c>
      <c r="E1742" s="2">
        <f t="shared" si="107"/>
        <v>10</v>
      </c>
      <c r="F1742" s="3" t="s">
        <v>180</v>
      </c>
      <c r="G1742" s="7">
        <v>41563</v>
      </c>
      <c r="H1742" s="6">
        <v>6594430</v>
      </c>
      <c r="I1742" s="6">
        <v>1625370</v>
      </c>
      <c r="J1742" s="5" t="s">
        <v>201</v>
      </c>
      <c r="K1742" s="1"/>
      <c r="L1742" s="1" t="str">
        <f t="shared" si="108"/>
        <v xml:space="preserve">Mörtsjön </v>
      </c>
      <c r="M1742" s="1" t="s">
        <v>184</v>
      </c>
      <c r="N1742" s="6">
        <v>3.8</v>
      </c>
      <c r="O1742" s="6">
        <v>3.8</v>
      </c>
      <c r="Q1742" s="6">
        <v>8.9</v>
      </c>
      <c r="R1742" s="6">
        <v>7.1</v>
      </c>
      <c r="S1742" s="6">
        <v>62</v>
      </c>
    </row>
    <row r="1743" spans="1:50" x14ac:dyDescent="0.3">
      <c r="A1743" s="6">
        <v>25443</v>
      </c>
      <c r="B1743" s="5" t="s">
        <v>215</v>
      </c>
      <c r="C1743" s="5" t="s">
        <v>216</v>
      </c>
      <c r="D1743" s="2">
        <f t="shared" si="106"/>
        <v>2013</v>
      </c>
      <c r="E1743" s="2">
        <f t="shared" si="107"/>
        <v>10</v>
      </c>
      <c r="F1743" s="3" t="s">
        <v>180</v>
      </c>
      <c r="G1743" s="7">
        <v>41563</v>
      </c>
      <c r="H1743" s="6">
        <v>6595470</v>
      </c>
      <c r="I1743" s="6">
        <v>1622370</v>
      </c>
      <c r="J1743" s="5" t="s">
        <v>190</v>
      </c>
      <c r="K1743" s="1"/>
      <c r="L1743" s="1" t="str">
        <f t="shared" si="108"/>
        <v xml:space="preserve">Snuggan </v>
      </c>
      <c r="M1743" s="1" t="s">
        <v>177</v>
      </c>
      <c r="N1743" s="6">
        <v>0.5</v>
      </c>
      <c r="O1743" s="6">
        <v>0.5</v>
      </c>
      <c r="P1743" s="6">
        <v>0.6</v>
      </c>
      <c r="Q1743" s="6">
        <v>8.1999999999999993</v>
      </c>
      <c r="R1743" s="6">
        <v>7</v>
      </c>
      <c r="S1743" s="6">
        <v>60</v>
      </c>
      <c r="V1743" s="6">
        <v>8.2414080000000001E-2</v>
      </c>
      <c r="W1743" s="6">
        <v>270</v>
      </c>
      <c r="X1743" s="1">
        <f>W1743 * (1/((10^((0.0901821 + (2729.92 /(273.15 + Q1743)))-AE1743)+1)))</f>
        <v>4.1512854275127596E-2</v>
      </c>
      <c r="Y1743" s="6">
        <v>0.63400000000000001</v>
      </c>
      <c r="Z1743" s="6">
        <v>5.38</v>
      </c>
      <c r="AA1743" s="6">
        <v>2.6</v>
      </c>
      <c r="AB1743" s="6">
        <v>14.7939111111111</v>
      </c>
      <c r="AD1743" s="6">
        <v>0.32999999999999902</v>
      </c>
      <c r="AE1743" s="6">
        <v>5.98</v>
      </c>
      <c r="AI1743" s="6">
        <v>29.06</v>
      </c>
      <c r="AK1743" s="6">
        <v>37.229999999999997</v>
      </c>
      <c r="AL1743" s="6">
        <v>1192.105</v>
      </c>
      <c r="AM1743" s="6"/>
      <c r="AN1743" s="6"/>
      <c r="AO1743" s="6"/>
      <c r="AP1743" s="6"/>
      <c r="AQ1743" s="6"/>
      <c r="AR1743" s="6">
        <v>3.23</v>
      </c>
      <c r="AT1743" s="6">
        <v>0.58199999999999896</v>
      </c>
      <c r="AU1743" s="6">
        <v>0.77800000000000002</v>
      </c>
      <c r="AV1743" s="6">
        <v>5.66</v>
      </c>
      <c r="AW1743" s="6">
        <v>4.75</v>
      </c>
      <c r="AX1743" s="6">
        <v>2.5</v>
      </c>
    </row>
    <row r="1744" spans="1:50" x14ac:dyDescent="0.3">
      <c r="A1744" s="6">
        <v>25444</v>
      </c>
      <c r="B1744" s="5" t="s">
        <v>215</v>
      </c>
      <c r="C1744" s="5" t="s">
        <v>216</v>
      </c>
      <c r="D1744" s="2">
        <f t="shared" si="106"/>
        <v>2013</v>
      </c>
      <c r="E1744" s="2">
        <f t="shared" si="107"/>
        <v>10</v>
      </c>
      <c r="F1744" s="3" t="s">
        <v>180</v>
      </c>
      <c r="G1744" s="7">
        <v>41563</v>
      </c>
      <c r="H1744" s="6">
        <v>6595470</v>
      </c>
      <c r="I1744" s="6">
        <v>1622370</v>
      </c>
      <c r="J1744" s="5" t="s">
        <v>190</v>
      </c>
      <c r="K1744" s="1"/>
      <c r="L1744" s="1" t="str">
        <f t="shared" si="108"/>
        <v xml:space="preserve">Snuggan </v>
      </c>
      <c r="M1744" s="5" t="s">
        <v>211</v>
      </c>
      <c r="N1744" s="6">
        <v>1</v>
      </c>
      <c r="O1744" s="6">
        <v>1</v>
      </c>
      <c r="Q1744" s="6">
        <v>8.1</v>
      </c>
      <c r="R1744" s="6">
        <v>6.7</v>
      </c>
      <c r="S1744" s="6">
        <v>57</v>
      </c>
    </row>
    <row r="1745" spans="1:81" x14ac:dyDescent="0.3">
      <c r="A1745" s="6">
        <v>25445</v>
      </c>
      <c r="B1745" s="5" t="s">
        <v>215</v>
      </c>
      <c r="C1745" s="5" t="s">
        <v>216</v>
      </c>
      <c r="D1745" s="2">
        <f t="shared" si="106"/>
        <v>2013</v>
      </c>
      <c r="E1745" s="2">
        <f t="shared" si="107"/>
        <v>10</v>
      </c>
      <c r="F1745" s="3" t="s">
        <v>180</v>
      </c>
      <c r="G1745" s="7">
        <v>41563</v>
      </c>
      <c r="H1745" s="6">
        <v>6595470</v>
      </c>
      <c r="I1745" s="6">
        <v>1622370</v>
      </c>
      <c r="J1745" s="5" t="s">
        <v>190</v>
      </c>
      <c r="K1745" s="1"/>
      <c r="L1745" s="1" t="str">
        <f t="shared" si="108"/>
        <v xml:space="preserve">Snuggan </v>
      </c>
      <c r="M1745" s="5" t="s">
        <v>212</v>
      </c>
      <c r="N1745" s="6">
        <v>2</v>
      </c>
      <c r="O1745" s="6">
        <v>2</v>
      </c>
      <c r="Q1745" s="6">
        <v>8.1</v>
      </c>
      <c r="R1745" s="6">
        <v>6.6</v>
      </c>
      <c r="S1745" s="6">
        <v>57</v>
      </c>
    </row>
    <row r="1746" spans="1:81" x14ac:dyDescent="0.3">
      <c r="A1746" s="6">
        <v>25446</v>
      </c>
      <c r="B1746" s="5" t="s">
        <v>215</v>
      </c>
      <c r="C1746" s="5" t="s">
        <v>216</v>
      </c>
      <c r="D1746" s="2">
        <f t="shared" si="106"/>
        <v>2013</v>
      </c>
      <c r="E1746" s="2">
        <f t="shared" si="107"/>
        <v>10</v>
      </c>
      <c r="F1746" s="3" t="s">
        <v>180</v>
      </c>
      <c r="G1746" s="7">
        <v>41563</v>
      </c>
      <c r="H1746" s="6">
        <v>6595470</v>
      </c>
      <c r="I1746" s="6">
        <v>1622370</v>
      </c>
      <c r="J1746" s="5" t="s">
        <v>190</v>
      </c>
      <c r="K1746" s="1"/>
      <c r="L1746" s="1" t="str">
        <f t="shared" si="108"/>
        <v xml:space="preserve">Snuggan </v>
      </c>
      <c r="M1746" s="1" t="s">
        <v>184</v>
      </c>
      <c r="N1746" s="6">
        <v>3</v>
      </c>
      <c r="O1746" s="6">
        <v>3</v>
      </c>
      <c r="Q1746" s="6">
        <v>8</v>
      </c>
      <c r="R1746" s="6">
        <v>6.6</v>
      </c>
      <c r="S1746" s="6">
        <v>56</v>
      </c>
    </row>
    <row r="1747" spans="1:81" x14ac:dyDescent="0.3">
      <c r="A1747" s="6">
        <v>25447</v>
      </c>
      <c r="B1747" s="5" t="s">
        <v>215</v>
      </c>
      <c r="C1747" s="5" t="s">
        <v>216</v>
      </c>
      <c r="D1747" s="2">
        <f t="shared" si="106"/>
        <v>2013</v>
      </c>
      <c r="E1747" s="2">
        <f t="shared" si="107"/>
        <v>10</v>
      </c>
      <c r="F1747" s="3" t="s">
        <v>180</v>
      </c>
      <c r="G1747" s="7">
        <v>41563</v>
      </c>
      <c r="H1747" s="6">
        <v>6597555</v>
      </c>
      <c r="I1747" s="6">
        <v>1629125</v>
      </c>
      <c r="J1747" s="5" t="s">
        <v>185</v>
      </c>
      <c r="K1747" s="1"/>
      <c r="L1747" s="1" t="str">
        <f t="shared" si="108"/>
        <v xml:space="preserve">Gullsjön </v>
      </c>
      <c r="M1747" s="1" t="s">
        <v>177</v>
      </c>
      <c r="N1747" s="6">
        <v>0.5</v>
      </c>
      <c r="O1747" s="6">
        <v>0.5</v>
      </c>
      <c r="P1747" s="6">
        <v>1.8</v>
      </c>
      <c r="Q1747" s="6">
        <v>8.4</v>
      </c>
      <c r="R1747" s="6">
        <v>6.4</v>
      </c>
      <c r="S1747" s="6">
        <v>55</v>
      </c>
      <c r="V1747" s="6">
        <v>1.6482816</v>
      </c>
      <c r="W1747" s="6">
        <v>114.255</v>
      </c>
      <c r="X1747" s="1">
        <f>W1747 * (1/((10^((0.0901821 + (2729.92 /(273.15 + Q1747)))-AE1747)+1)))</f>
        <v>0.32390703741605625</v>
      </c>
      <c r="Y1747" s="6">
        <v>0.15</v>
      </c>
      <c r="Z1747" s="6">
        <v>2.17</v>
      </c>
      <c r="AA1747" s="6">
        <v>0.64</v>
      </c>
      <c r="AB1747" s="6">
        <v>3.7112224999999999</v>
      </c>
      <c r="AD1747" s="6">
        <v>4.7069999999999999</v>
      </c>
      <c r="AE1747" s="6">
        <v>7.24</v>
      </c>
      <c r="AK1747" s="6">
        <v>24.59</v>
      </c>
      <c r="AL1747" s="6">
        <v>735.90599999999995</v>
      </c>
      <c r="AM1747" s="6"/>
      <c r="AN1747" s="6"/>
      <c r="AO1747" s="6"/>
      <c r="AP1747" s="6"/>
      <c r="AQ1747" s="6"/>
    </row>
    <row r="1748" spans="1:81" x14ac:dyDescent="0.3">
      <c r="A1748" s="6">
        <v>25448</v>
      </c>
      <c r="B1748" s="5" t="s">
        <v>215</v>
      </c>
      <c r="C1748" s="5" t="s">
        <v>216</v>
      </c>
      <c r="D1748" s="2">
        <f t="shared" si="106"/>
        <v>2013</v>
      </c>
      <c r="E1748" s="2">
        <f t="shared" si="107"/>
        <v>10</v>
      </c>
      <c r="F1748" s="3" t="s">
        <v>180</v>
      </c>
      <c r="G1748" s="7">
        <v>41563</v>
      </c>
      <c r="H1748" s="6">
        <v>6597555</v>
      </c>
      <c r="I1748" s="6">
        <v>1629125</v>
      </c>
      <c r="J1748" s="5" t="s">
        <v>185</v>
      </c>
      <c r="K1748" s="1"/>
      <c r="L1748" s="1" t="str">
        <f t="shared" si="108"/>
        <v xml:space="preserve">Gullsjön </v>
      </c>
      <c r="M1748" s="5" t="s">
        <v>211</v>
      </c>
      <c r="N1748" s="6">
        <v>1</v>
      </c>
      <c r="O1748" s="6">
        <v>1</v>
      </c>
      <c r="Q1748" s="6">
        <v>8</v>
      </c>
      <c r="R1748" s="6">
        <v>6.4</v>
      </c>
      <c r="S1748" s="6">
        <v>55</v>
      </c>
    </row>
    <row r="1749" spans="1:81" x14ac:dyDescent="0.3">
      <c r="A1749" s="6">
        <v>25449</v>
      </c>
      <c r="B1749" s="5" t="s">
        <v>215</v>
      </c>
      <c r="C1749" s="5" t="s">
        <v>216</v>
      </c>
      <c r="D1749" s="2">
        <f t="shared" si="106"/>
        <v>2013</v>
      </c>
      <c r="E1749" s="2">
        <f t="shared" si="107"/>
        <v>10</v>
      </c>
      <c r="F1749" s="3" t="s">
        <v>180</v>
      </c>
      <c r="G1749" s="7">
        <v>41563</v>
      </c>
      <c r="H1749" s="6">
        <v>6597555</v>
      </c>
      <c r="I1749" s="6">
        <v>1629125</v>
      </c>
      <c r="J1749" s="5" t="s">
        <v>185</v>
      </c>
      <c r="K1749" s="1"/>
      <c r="L1749" s="1" t="str">
        <f t="shared" si="108"/>
        <v xml:space="preserve">Gullsjön </v>
      </c>
      <c r="M1749" s="1" t="s">
        <v>184</v>
      </c>
      <c r="N1749" s="6">
        <v>2</v>
      </c>
      <c r="O1749" s="6">
        <v>2</v>
      </c>
      <c r="Q1749" s="6">
        <v>7.8</v>
      </c>
      <c r="R1749" s="6">
        <v>5.8</v>
      </c>
      <c r="S1749" s="6">
        <v>49</v>
      </c>
    </row>
    <row r="1750" spans="1:81" x14ac:dyDescent="0.3">
      <c r="A1750" s="1">
        <v>25453</v>
      </c>
      <c r="B1750" s="1" t="s">
        <v>208</v>
      </c>
      <c r="C1750" s="1" t="s">
        <v>209</v>
      </c>
      <c r="D1750" s="2">
        <f t="shared" si="106"/>
        <v>2013</v>
      </c>
      <c r="E1750" s="2">
        <f t="shared" si="107"/>
        <v>10</v>
      </c>
      <c r="F1750" s="3" t="s">
        <v>180</v>
      </c>
      <c r="G1750" s="4">
        <v>41563</v>
      </c>
      <c r="H1750" s="1">
        <v>6600935</v>
      </c>
      <c r="I1750" s="1">
        <v>1626764</v>
      </c>
      <c r="J1750" s="1" t="s">
        <v>191</v>
      </c>
      <c r="K1750" s="1" t="s">
        <v>210</v>
      </c>
      <c r="L1750" s="1" t="str">
        <f t="shared" si="108"/>
        <v>Vallentunasjön Va2</v>
      </c>
      <c r="M1750" s="1" t="s">
        <v>177</v>
      </c>
      <c r="N1750" s="1">
        <v>0.5</v>
      </c>
      <c r="O1750" s="1">
        <v>0.5</v>
      </c>
      <c r="P1750" s="1">
        <v>0.8</v>
      </c>
      <c r="Q1750" s="1">
        <v>9.3000000000000007</v>
      </c>
      <c r="R1750" s="1">
        <v>10.3</v>
      </c>
      <c r="S1750" s="1">
        <v>90</v>
      </c>
    </row>
    <row r="1751" spans="1:81" x14ac:dyDescent="0.3">
      <c r="A1751" s="1">
        <v>25454</v>
      </c>
      <c r="B1751" s="1" t="s">
        <v>208</v>
      </c>
      <c r="C1751" s="1" t="s">
        <v>209</v>
      </c>
      <c r="D1751" s="2">
        <f t="shared" si="106"/>
        <v>2013</v>
      </c>
      <c r="E1751" s="2">
        <f t="shared" si="107"/>
        <v>10</v>
      </c>
      <c r="F1751" s="3" t="s">
        <v>180</v>
      </c>
      <c r="G1751" s="4">
        <v>41563</v>
      </c>
      <c r="H1751" s="1">
        <v>6600935</v>
      </c>
      <c r="I1751" s="1">
        <v>1626764</v>
      </c>
      <c r="J1751" s="1" t="s">
        <v>191</v>
      </c>
      <c r="K1751" s="1" t="s">
        <v>210</v>
      </c>
      <c r="L1751" s="1" t="str">
        <f t="shared" si="108"/>
        <v>Vallentunasjön Va2</v>
      </c>
      <c r="M1751" s="1" t="s">
        <v>211</v>
      </c>
      <c r="N1751" s="1">
        <v>1</v>
      </c>
      <c r="O1751" s="1">
        <v>1</v>
      </c>
      <c r="Q1751" s="1">
        <v>9.3000000000000007</v>
      </c>
      <c r="R1751" s="1">
        <v>10.199999999999999</v>
      </c>
      <c r="S1751" s="1">
        <v>89</v>
      </c>
    </row>
    <row r="1752" spans="1:81" x14ac:dyDescent="0.3">
      <c r="A1752" s="1">
        <v>25455</v>
      </c>
      <c r="B1752" s="1" t="s">
        <v>208</v>
      </c>
      <c r="C1752" s="1" t="s">
        <v>209</v>
      </c>
      <c r="D1752" s="2">
        <f t="shared" si="106"/>
        <v>2013</v>
      </c>
      <c r="E1752" s="2">
        <f t="shared" si="107"/>
        <v>10</v>
      </c>
      <c r="F1752" s="3" t="s">
        <v>180</v>
      </c>
      <c r="G1752" s="4">
        <v>41563</v>
      </c>
      <c r="H1752" s="1">
        <v>6600935</v>
      </c>
      <c r="I1752" s="1">
        <v>1626764</v>
      </c>
      <c r="J1752" s="1" t="s">
        <v>191</v>
      </c>
      <c r="K1752" s="1" t="s">
        <v>210</v>
      </c>
      <c r="L1752" s="1" t="str">
        <f t="shared" si="108"/>
        <v>Vallentunasjön Va2</v>
      </c>
      <c r="M1752" s="1" t="s">
        <v>212</v>
      </c>
      <c r="N1752" s="1">
        <v>2</v>
      </c>
      <c r="O1752" s="1">
        <v>2</v>
      </c>
      <c r="Q1752" s="1">
        <v>9.3000000000000007</v>
      </c>
      <c r="R1752" s="1">
        <v>10.1</v>
      </c>
      <c r="S1752" s="1">
        <v>89</v>
      </c>
    </row>
    <row r="1753" spans="1:81" x14ac:dyDescent="0.3">
      <c r="A1753" s="1">
        <v>25456</v>
      </c>
      <c r="B1753" s="1" t="s">
        <v>208</v>
      </c>
      <c r="C1753" s="1" t="s">
        <v>209</v>
      </c>
      <c r="D1753" s="2">
        <f t="shared" si="106"/>
        <v>2013</v>
      </c>
      <c r="E1753" s="2">
        <f t="shared" si="107"/>
        <v>10</v>
      </c>
      <c r="F1753" s="3" t="s">
        <v>180</v>
      </c>
      <c r="G1753" s="4">
        <v>41563</v>
      </c>
      <c r="H1753" s="1">
        <v>6600935</v>
      </c>
      <c r="I1753" s="1">
        <v>1626764</v>
      </c>
      <c r="J1753" s="1" t="s">
        <v>191</v>
      </c>
      <c r="K1753" s="1" t="s">
        <v>210</v>
      </c>
      <c r="L1753" s="1" t="str">
        <f t="shared" si="108"/>
        <v>Vallentunasjön Va2</v>
      </c>
      <c r="M1753" s="1" t="s">
        <v>213</v>
      </c>
      <c r="N1753" s="1">
        <v>3</v>
      </c>
      <c r="O1753" s="1">
        <v>3</v>
      </c>
      <c r="Q1753" s="1">
        <v>9.3000000000000007</v>
      </c>
      <c r="R1753" s="1">
        <v>10.1</v>
      </c>
      <c r="S1753" s="1">
        <v>89</v>
      </c>
    </row>
    <row r="1754" spans="1:81" x14ac:dyDescent="0.3">
      <c r="A1754" s="1">
        <v>25457</v>
      </c>
      <c r="B1754" s="1" t="s">
        <v>208</v>
      </c>
      <c r="C1754" s="1" t="s">
        <v>209</v>
      </c>
      <c r="D1754" s="2">
        <f t="shared" si="106"/>
        <v>2013</v>
      </c>
      <c r="E1754" s="2">
        <f t="shared" si="107"/>
        <v>10</v>
      </c>
      <c r="F1754" s="3" t="s">
        <v>180</v>
      </c>
      <c r="G1754" s="4">
        <v>41563</v>
      </c>
      <c r="H1754" s="1">
        <v>6600935</v>
      </c>
      <c r="I1754" s="1">
        <v>1626764</v>
      </c>
      <c r="J1754" s="1" t="s">
        <v>191</v>
      </c>
      <c r="K1754" s="1" t="s">
        <v>210</v>
      </c>
      <c r="L1754" s="1" t="str">
        <f t="shared" si="108"/>
        <v>Vallentunasjön Va2</v>
      </c>
      <c r="M1754" s="1" t="s">
        <v>184</v>
      </c>
      <c r="N1754" s="1">
        <v>4</v>
      </c>
      <c r="O1754" s="1">
        <v>4</v>
      </c>
      <c r="Q1754" s="1">
        <v>9.3000000000000007</v>
      </c>
      <c r="R1754" s="1">
        <v>9.8000000000000007</v>
      </c>
      <c r="S1754" s="1">
        <v>86</v>
      </c>
    </row>
    <row r="1755" spans="1:81" x14ac:dyDescent="0.3">
      <c r="A1755" s="1">
        <v>25458</v>
      </c>
      <c r="B1755" s="1" t="s">
        <v>208</v>
      </c>
      <c r="C1755" s="1" t="s">
        <v>209</v>
      </c>
      <c r="D1755" s="2">
        <f t="shared" si="106"/>
        <v>2013</v>
      </c>
      <c r="E1755" s="2">
        <f t="shared" si="107"/>
        <v>10</v>
      </c>
      <c r="F1755" s="3" t="s">
        <v>180</v>
      </c>
      <c r="G1755" s="4">
        <v>41563</v>
      </c>
      <c r="J1755" s="1" t="s">
        <v>191</v>
      </c>
      <c r="K1755" s="1" t="s">
        <v>206</v>
      </c>
      <c r="L1755" s="1" t="str">
        <f t="shared" si="108"/>
        <v>Vallentunasjön Blandprov</v>
      </c>
      <c r="M1755" s="1" t="s">
        <v>177</v>
      </c>
      <c r="W1755" s="1">
        <v>20.760999999999999</v>
      </c>
      <c r="Z1755" s="1">
        <v>4.6899999999999995</v>
      </c>
      <c r="AB1755" s="1">
        <v>45.763635483870999</v>
      </c>
      <c r="AD1755" s="6">
        <v>0</v>
      </c>
      <c r="AG1755" s="1">
        <v>20</v>
      </c>
      <c r="AK1755" s="1">
        <v>75.63</v>
      </c>
      <c r="AL1755" s="1">
        <v>1410.9670000000001</v>
      </c>
    </row>
    <row r="1756" spans="1:81" x14ac:dyDescent="0.3">
      <c r="D1756" s="2">
        <f t="shared" si="106"/>
        <v>2013</v>
      </c>
      <c r="E1756" s="2">
        <f t="shared" si="107"/>
        <v>10</v>
      </c>
      <c r="F1756" s="3" t="s">
        <v>180</v>
      </c>
      <c r="G1756" s="4">
        <v>41564</v>
      </c>
      <c r="H1756" s="1">
        <v>6606238</v>
      </c>
      <c r="I1756" s="1">
        <v>661152</v>
      </c>
      <c r="J1756" s="5" t="s">
        <v>176</v>
      </c>
      <c r="K1756" s="1"/>
      <c r="L1756" s="1" t="str">
        <f t="shared" si="108"/>
        <v xml:space="preserve">Oxundaån </v>
      </c>
      <c r="M1756" s="1" t="s">
        <v>177</v>
      </c>
      <c r="N1756" s="1">
        <v>0.5</v>
      </c>
      <c r="O1756" s="1">
        <v>0.5</v>
      </c>
      <c r="Q1756" s="1">
        <v>9</v>
      </c>
      <c r="T1756" s="1">
        <v>44.4</v>
      </c>
      <c r="V1756" s="1">
        <v>2.5099999999999998</v>
      </c>
      <c r="W1756" s="1">
        <v>80</v>
      </c>
      <c r="X1756" s="1">
        <f>W1756 * (1/((10^((0.0901821 + (2729.92 /(273.15 + Q1756)))-AE1756)+1)))</f>
        <v>0.7303048962678238</v>
      </c>
      <c r="Y1756" s="1">
        <v>4.2000000000000003E-2</v>
      </c>
      <c r="Z1756" s="1">
        <v>71</v>
      </c>
      <c r="AA1756" s="1">
        <v>1.3</v>
      </c>
      <c r="AD1756" s="1">
        <v>34</v>
      </c>
      <c r="AE1756" s="1">
        <v>7.73</v>
      </c>
      <c r="AG1756" s="1">
        <v>1</v>
      </c>
      <c r="AI1756" s="1">
        <v>10.4</v>
      </c>
      <c r="AK1756" s="1">
        <v>95</v>
      </c>
      <c r="AL1756" s="1">
        <v>743</v>
      </c>
      <c r="AR1756" s="1">
        <v>48.6</v>
      </c>
      <c r="AT1756" s="1">
        <v>5.2003000000000004</v>
      </c>
      <c r="AU1756" s="1">
        <v>8.5183999999999997</v>
      </c>
      <c r="AV1756" s="1">
        <v>38.073300000000003</v>
      </c>
      <c r="AW1756" s="1">
        <v>25.692800000000005</v>
      </c>
      <c r="AX1756" s="1">
        <v>35.989449999999998</v>
      </c>
      <c r="AY1756" s="1">
        <v>1.67</v>
      </c>
      <c r="CC1756" s="1">
        <v>5.0000000000000001E-3</v>
      </c>
    </row>
    <row r="1757" spans="1:81" x14ac:dyDescent="0.3">
      <c r="A1757" s="6">
        <v>25675</v>
      </c>
      <c r="B1757" s="5" t="s">
        <v>215</v>
      </c>
      <c r="C1757" s="5" t="s">
        <v>216</v>
      </c>
      <c r="D1757" s="2">
        <f t="shared" si="106"/>
        <v>2013</v>
      </c>
      <c r="E1757" s="2">
        <f t="shared" si="107"/>
        <v>10</v>
      </c>
      <c r="F1757" s="3" t="s">
        <v>180</v>
      </c>
      <c r="G1757" s="7">
        <v>41570</v>
      </c>
      <c r="H1757" s="6">
        <v>6594420</v>
      </c>
      <c r="I1757" s="6">
        <v>1615795</v>
      </c>
      <c r="J1757" s="5" t="s">
        <v>193</v>
      </c>
      <c r="K1757" s="1"/>
      <c r="L1757" s="1" t="str">
        <f t="shared" si="108"/>
        <v xml:space="preserve">Översjön </v>
      </c>
      <c r="M1757" s="1" t="s">
        <v>177</v>
      </c>
      <c r="N1757" s="6">
        <v>0.5</v>
      </c>
      <c r="O1757" s="6">
        <v>0.5</v>
      </c>
      <c r="P1757" s="6">
        <v>2.9</v>
      </c>
      <c r="Q1757" s="6">
        <v>7.2</v>
      </c>
      <c r="R1757" s="6">
        <v>10</v>
      </c>
      <c r="S1757" s="6">
        <v>85</v>
      </c>
      <c r="V1757" s="6">
        <v>1.9237647058823502</v>
      </c>
      <c r="W1757" s="6">
        <v>52.308</v>
      </c>
      <c r="X1757" s="1">
        <f>W1757 * (1/((10^((0.0901821 + (2729.92 /(273.15 + Q1757)))-AE1757)+1)))</f>
        <v>0.44375534738641104</v>
      </c>
      <c r="Y1757" s="6">
        <v>4.4999999999999998E-2</v>
      </c>
      <c r="Z1757" s="6">
        <v>2.52</v>
      </c>
      <c r="AA1757" s="6">
        <v>2.2000000000000002</v>
      </c>
      <c r="AB1757" s="6">
        <v>11.270864</v>
      </c>
      <c r="AD1757" s="6">
        <v>2.3260000000000001</v>
      </c>
      <c r="AE1757" s="6">
        <v>7.76</v>
      </c>
      <c r="AK1757" s="6">
        <v>28.61</v>
      </c>
      <c r="AL1757" s="6">
        <v>852.53499999999997</v>
      </c>
      <c r="AM1757" s="6"/>
      <c r="AN1757" s="6"/>
      <c r="AO1757" s="6"/>
      <c r="AP1757" s="6"/>
      <c r="AQ1757" s="6"/>
    </row>
    <row r="1758" spans="1:81" x14ac:dyDescent="0.3">
      <c r="A1758" s="6">
        <v>25676</v>
      </c>
      <c r="B1758" s="5" t="s">
        <v>215</v>
      </c>
      <c r="C1758" s="5" t="s">
        <v>216</v>
      </c>
      <c r="D1758" s="2">
        <f t="shared" si="106"/>
        <v>2013</v>
      </c>
      <c r="E1758" s="2">
        <f t="shared" si="107"/>
        <v>10</v>
      </c>
      <c r="F1758" s="3" t="s">
        <v>180</v>
      </c>
      <c r="G1758" s="7">
        <v>41570</v>
      </c>
      <c r="H1758" s="6">
        <v>6594420</v>
      </c>
      <c r="I1758" s="6">
        <v>1615795</v>
      </c>
      <c r="J1758" s="5" t="s">
        <v>193</v>
      </c>
      <c r="K1758" s="1"/>
      <c r="L1758" s="1" t="str">
        <f t="shared" si="108"/>
        <v xml:space="preserve">Översjön </v>
      </c>
      <c r="M1758" s="5" t="s">
        <v>211</v>
      </c>
      <c r="N1758" s="6">
        <v>1</v>
      </c>
      <c r="O1758" s="6">
        <v>1</v>
      </c>
      <c r="Q1758" s="6">
        <v>7.1</v>
      </c>
      <c r="R1758" s="6">
        <v>10</v>
      </c>
      <c r="S1758" s="6">
        <v>85</v>
      </c>
    </row>
    <row r="1759" spans="1:81" x14ac:dyDescent="0.3">
      <c r="A1759" s="6">
        <v>25677</v>
      </c>
      <c r="B1759" s="5" t="s">
        <v>215</v>
      </c>
      <c r="C1759" s="5" t="s">
        <v>216</v>
      </c>
      <c r="D1759" s="2">
        <f t="shared" si="106"/>
        <v>2013</v>
      </c>
      <c r="E1759" s="2">
        <f t="shared" si="107"/>
        <v>10</v>
      </c>
      <c r="F1759" s="3" t="s">
        <v>180</v>
      </c>
      <c r="G1759" s="7">
        <v>41570</v>
      </c>
      <c r="H1759" s="6">
        <v>6594420</v>
      </c>
      <c r="I1759" s="6">
        <v>1615795</v>
      </c>
      <c r="J1759" s="5" t="s">
        <v>193</v>
      </c>
      <c r="K1759" s="1"/>
      <c r="L1759" s="1" t="str">
        <f t="shared" si="108"/>
        <v xml:space="preserve">Översjön </v>
      </c>
      <c r="M1759" s="5" t="s">
        <v>212</v>
      </c>
      <c r="N1759" s="6">
        <v>2</v>
      </c>
      <c r="O1759" s="6">
        <v>2</v>
      </c>
      <c r="Q1759" s="6">
        <v>7</v>
      </c>
      <c r="R1759" s="6">
        <v>10</v>
      </c>
      <c r="S1759" s="6">
        <v>85</v>
      </c>
    </row>
    <row r="1760" spans="1:81" x14ac:dyDescent="0.3">
      <c r="A1760" s="6">
        <v>25678</v>
      </c>
      <c r="B1760" s="5" t="s">
        <v>215</v>
      </c>
      <c r="C1760" s="5" t="s">
        <v>216</v>
      </c>
      <c r="D1760" s="2">
        <f t="shared" si="106"/>
        <v>2013</v>
      </c>
      <c r="E1760" s="2">
        <f t="shared" si="107"/>
        <v>10</v>
      </c>
      <c r="F1760" s="3" t="s">
        <v>180</v>
      </c>
      <c r="G1760" s="7">
        <v>41570</v>
      </c>
      <c r="H1760" s="6">
        <v>6594420</v>
      </c>
      <c r="I1760" s="6">
        <v>1615795</v>
      </c>
      <c r="J1760" s="5" t="s">
        <v>193</v>
      </c>
      <c r="K1760" s="1"/>
      <c r="L1760" s="1" t="str">
        <f t="shared" si="108"/>
        <v xml:space="preserve">Översjön </v>
      </c>
      <c r="M1760" s="5" t="s">
        <v>213</v>
      </c>
      <c r="N1760" s="6">
        <v>3</v>
      </c>
      <c r="O1760" s="6">
        <v>3</v>
      </c>
      <c r="Q1760" s="6">
        <v>7</v>
      </c>
      <c r="R1760" s="6">
        <v>10</v>
      </c>
      <c r="S1760" s="6">
        <v>85</v>
      </c>
    </row>
    <row r="1761" spans="1:43" x14ac:dyDescent="0.3">
      <c r="A1761" s="6">
        <v>25679</v>
      </c>
      <c r="B1761" s="5" t="s">
        <v>215</v>
      </c>
      <c r="C1761" s="5" t="s">
        <v>216</v>
      </c>
      <c r="D1761" s="2">
        <f t="shared" si="106"/>
        <v>2013</v>
      </c>
      <c r="E1761" s="2">
        <f t="shared" si="107"/>
        <v>10</v>
      </c>
      <c r="F1761" s="3" t="s">
        <v>180</v>
      </c>
      <c r="G1761" s="7">
        <v>41570</v>
      </c>
      <c r="H1761" s="6">
        <v>6594420</v>
      </c>
      <c r="I1761" s="6">
        <v>1615795</v>
      </c>
      <c r="J1761" s="5" t="s">
        <v>193</v>
      </c>
      <c r="K1761" s="1"/>
      <c r="L1761" s="1" t="str">
        <f t="shared" si="108"/>
        <v xml:space="preserve">Översjön </v>
      </c>
      <c r="M1761" s="1" t="s">
        <v>184</v>
      </c>
      <c r="N1761" s="6">
        <v>3.5</v>
      </c>
      <c r="O1761" s="6">
        <v>3.5</v>
      </c>
      <c r="Q1761" s="6">
        <v>7</v>
      </c>
      <c r="R1761" s="6">
        <v>9.9</v>
      </c>
      <c r="S1761" s="6">
        <v>83</v>
      </c>
    </row>
    <row r="1762" spans="1:43" x14ac:dyDescent="0.3">
      <c r="A1762" s="6">
        <v>25680</v>
      </c>
      <c r="B1762" s="5" t="s">
        <v>215</v>
      </c>
      <c r="C1762" s="5" t="s">
        <v>216</v>
      </c>
      <c r="D1762" s="2">
        <f t="shared" si="106"/>
        <v>2013</v>
      </c>
      <c r="E1762" s="2">
        <f t="shared" si="107"/>
        <v>10</v>
      </c>
      <c r="F1762" s="3" t="s">
        <v>180</v>
      </c>
      <c r="G1762" s="7">
        <v>41570</v>
      </c>
      <c r="H1762" s="6">
        <v>6594980</v>
      </c>
      <c r="I1762" s="6">
        <v>1622960</v>
      </c>
      <c r="J1762" s="5" t="s">
        <v>192</v>
      </c>
      <c r="K1762" s="1"/>
      <c r="L1762" s="1" t="str">
        <f t="shared" si="108"/>
        <v xml:space="preserve">Väsjön </v>
      </c>
      <c r="M1762" s="1" t="s">
        <v>177</v>
      </c>
      <c r="N1762" s="6">
        <v>0.5</v>
      </c>
      <c r="O1762" s="6">
        <v>0.5</v>
      </c>
      <c r="P1762" s="6">
        <v>2.5</v>
      </c>
      <c r="Q1762" s="6">
        <v>6.8</v>
      </c>
      <c r="R1762" s="6">
        <v>8.6</v>
      </c>
      <c r="S1762" s="6">
        <v>72</v>
      </c>
      <c r="V1762" s="6">
        <v>2.8279341176470503</v>
      </c>
      <c r="W1762" s="6">
        <v>5.016</v>
      </c>
      <c r="X1762" s="1">
        <f>W1762 * (1/((10^((0.0901821 + (2729.92 /(273.15 + Q1762)))-AE1762)+1)))</f>
        <v>3.3558649725637671E-2</v>
      </c>
      <c r="Y1762" s="6">
        <v>5.5E-2</v>
      </c>
      <c r="Z1762" s="6">
        <v>0.62</v>
      </c>
      <c r="AA1762" s="6">
        <v>0.92</v>
      </c>
      <c r="AB1762" s="6">
        <v>12.062336</v>
      </c>
      <c r="AD1762" s="6">
        <v>0.10199999999999999</v>
      </c>
      <c r="AE1762" s="6">
        <v>7.67</v>
      </c>
      <c r="AK1762" s="6">
        <v>21.16</v>
      </c>
      <c r="AL1762" s="6">
        <v>619.71299999999997</v>
      </c>
      <c r="AM1762" s="6"/>
      <c r="AN1762" s="6"/>
      <c r="AO1762" s="6"/>
      <c r="AP1762" s="6"/>
      <c r="AQ1762" s="6"/>
    </row>
    <row r="1763" spans="1:43" x14ac:dyDescent="0.3">
      <c r="A1763" s="6">
        <v>25681</v>
      </c>
      <c r="B1763" s="5" t="s">
        <v>215</v>
      </c>
      <c r="C1763" s="5" t="s">
        <v>216</v>
      </c>
      <c r="D1763" s="2">
        <f t="shared" si="106"/>
        <v>2013</v>
      </c>
      <c r="E1763" s="2">
        <f t="shared" si="107"/>
        <v>10</v>
      </c>
      <c r="F1763" s="3" t="s">
        <v>180</v>
      </c>
      <c r="G1763" s="7">
        <v>41570</v>
      </c>
      <c r="H1763" s="6">
        <v>6594980</v>
      </c>
      <c r="I1763" s="6">
        <v>1622960</v>
      </c>
      <c r="J1763" s="5" t="s">
        <v>192</v>
      </c>
      <c r="K1763" s="1"/>
      <c r="L1763" s="1" t="str">
        <f t="shared" si="108"/>
        <v xml:space="preserve">Väsjön </v>
      </c>
      <c r="M1763" s="5" t="s">
        <v>211</v>
      </c>
      <c r="N1763" s="6">
        <v>1</v>
      </c>
      <c r="O1763" s="6">
        <v>1</v>
      </c>
      <c r="Q1763" s="6">
        <v>6.7</v>
      </c>
      <c r="R1763" s="6">
        <v>8.6</v>
      </c>
      <c r="S1763" s="6">
        <v>71</v>
      </c>
    </row>
    <row r="1764" spans="1:43" x14ac:dyDescent="0.3">
      <c r="A1764" s="6">
        <v>25682</v>
      </c>
      <c r="B1764" s="5" t="s">
        <v>215</v>
      </c>
      <c r="C1764" s="5" t="s">
        <v>216</v>
      </c>
      <c r="D1764" s="2">
        <f t="shared" si="106"/>
        <v>2013</v>
      </c>
      <c r="E1764" s="2">
        <f t="shared" si="107"/>
        <v>10</v>
      </c>
      <c r="F1764" s="3" t="s">
        <v>180</v>
      </c>
      <c r="G1764" s="7">
        <v>41570</v>
      </c>
      <c r="H1764" s="6">
        <v>6594980</v>
      </c>
      <c r="I1764" s="6">
        <v>1622960</v>
      </c>
      <c r="J1764" s="5" t="s">
        <v>192</v>
      </c>
      <c r="K1764" s="1"/>
      <c r="L1764" s="1" t="str">
        <f t="shared" si="108"/>
        <v xml:space="preserve">Väsjön </v>
      </c>
      <c r="M1764" s="5" t="s">
        <v>212</v>
      </c>
      <c r="N1764" s="6">
        <v>2</v>
      </c>
      <c r="O1764" s="6">
        <v>2</v>
      </c>
      <c r="Q1764" s="6">
        <v>6.6</v>
      </c>
      <c r="R1764" s="6">
        <v>8.6</v>
      </c>
      <c r="S1764" s="6">
        <v>71</v>
      </c>
    </row>
    <row r="1765" spans="1:43" x14ac:dyDescent="0.3">
      <c r="A1765" s="6">
        <v>25683</v>
      </c>
      <c r="B1765" s="5" t="s">
        <v>215</v>
      </c>
      <c r="C1765" s="5" t="s">
        <v>216</v>
      </c>
      <c r="D1765" s="2">
        <f t="shared" si="106"/>
        <v>2013</v>
      </c>
      <c r="E1765" s="2">
        <f t="shared" si="107"/>
        <v>10</v>
      </c>
      <c r="F1765" s="3" t="s">
        <v>180</v>
      </c>
      <c r="G1765" s="7">
        <v>41570</v>
      </c>
      <c r="H1765" s="6">
        <v>6594980</v>
      </c>
      <c r="I1765" s="6">
        <v>1622960</v>
      </c>
      <c r="J1765" s="5" t="s">
        <v>192</v>
      </c>
      <c r="K1765" s="1"/>
      <c r="L1765" s="1" t="str">
        <f t="shared" si="108"/>
        <v xml:space="preserve">Väsjön </v>
      </c>
      <c r="M1765" s="1" t="s">
        <v>184</v>
      </c>
      <c r="N1765" s="6">
        <v>2.5</v>
      </c>
      <c r="O1765" s="6">
        <v>2.5</v>
      </c>
      <c r="Q1765" s="6">
        <v>6.6</v>
      </c>
      <c r="R1765" s="6">
        <v>8.5</v>
      </c>
      <c r="S1765" s="6">
        <v>70</v>
      </c>
    </row>
    <row r="1766" spans="1:43" x14ac:dyDescent="0.3">
      <c r="A1766" s="6">
        <v>25684</v>
      </c>
      <c r="B1766" s="5" t="s">
        <v>215</v>
      </c>
      <c r="C1766" s="5" t="s">
        <v>216</v>
      </c>
      <c r="D1766" s="2">
        <f t="shared" si="106"/>
        <v>2013</v>
      </c>
      <c r="E1766" s="2">
        <f t="shared" si="107"/>
        <v>10</v>
      </c>
      <c r="F1766" s="3" t="s">
        <v>180</v>
      </c>
      <c r="G1766" s="7">
        <v>41570</v>
      </c>
      <c r="H1766" s="6">
        <v>6595400</v>
      </c>
      <c r="I1766" s="6">
        <v>1624045</v>
      </c>
      <c r="J1766" s="5" t="s">
        <v>183</v>
      </c>
      <c r="K1766" s="1"/>
      <c r="L1766" s="1" t="str">
        <f t="shared" si="108"/>
        <v xml:space="preserve">Fjäturen </v>
      </c>
      <c r="M1766" s="1" t="s">
        <v>177</v>
      </c>
      <c r="N1766" s="6">
        <v>0.5</v>
      </c>
      <c r="O1766" s="6">
        <v>0.5</v>
      </c>
      <c r="P1766" s="6">
        <v>2.5</v>
      </c>
      <c r="Q1766" s="6">
        <v>7.9</v>
      </c>
      <c r="R1766" s="6">
        <v>10.4</v>
      </c>
      <c r="S1766" s="6">
        <v>89</v>
      </c>
      <c r="V1766" s="6">
        <v>1.8852894117646999</v>
      </c>
      <c r="W1766" s="6">
        <v>23.251000000000001</v>
      </c>
      <c r="X1766" s="1">
        <f>W1766 * (1/((10^((0.0901821 + (2729.92 /(273.15 + Q1766)))-AE1766)+1)))</f>
        <v>0.25595447294023421</v>
      </c>
      <c r="Y1766" s="6">
        <v>5.7000000000000002E-2</v>
      </c>
      <c r="Z1766" s="6">
        <v>3.46</v>
      </c>
      <c r="AA1766" s="6">
        <v>3</v>
      </c>
      <c r="AB1766" s="6">
        <v>11.858447999999999</v>
      </c>
      <c r="AD1766" s="6">
        <v>15.884</v>
      </c>
      <c r="AE1766" s="6">
        <v>7.85</v>
      </c>
      <c r="AK1766" s="6">
        <v>25.98</v>
      </c>
      <c r="AL1766" s="6">
        <v>661.96299999999997</v>
      </c>
      <c r="AM1766" s="6"/>
      <c r="AN1766" s="6"/>
      <c r="AO1766" s="6"/>
      <c r="AP1766" s="6"/>
      <c r="AQ1766" s="6"/>
    </row>
    <row r="1767" spans="1:43" x14ac:dyDescent="0.3">
      <c r="A1767" s="6">
        <v>25685</v>
      </c>
      <c r="B1767" s="5" t="s">
        <v>215</v>
      </c>
      <c r="C1767" s="5" t="s">
        <v>216</v>
      </c>
      <c r="D1767" s="2">
        <f t="shared" si="106"/>
        <v>2013</v>
      </c>
      <c r="E1767" s="2">
        <f t="shared" si="107"/>
        <v>10</v>
      </c>
      <c r="F1767" s="3" t="s">
        <v>180</v>
      </c>
      <c r="G1767" s="7">
        <v>41570</v>
      </c>
      <c r="H1767" s="6">
        <v>6595400</v>
      </c>
      <c r="I1767" s="6">
        <v>1624045</v>
      </c>
      <c r="J1767" s="5" t="s">
        <v>183</v>
      </c>
      <c r="K1767" s="1"/>
      <c r="L1767" s="1" t="str">
        <f t="shared" si="108"/>
        <v xml:space="preserve">Fjäturen </v>
      </c>
      <c r="M1767" s="5" t="s">
        <v>211</v>
      </c>
      <c r="N1767" s="6">
        <v>1</v>
      </c>
      <c r="O1767" s="6">
        <v>1</v>
      </c>
      <c r="Q1767" s="6">
        <v>7.8</v>
      </c>
      <c r="R1767" s="6">
        <v>10.4</v>
      </c>
      <c r="S1767" s="6">
        <v>89</v>
      </c>
    </row>
    <row r="1768" spans="1:43" x14ac:dyDescent="0.3">
      <c r="A1768" s="6">
        <v>25686</v>
      </c>
      <c r="B1768" s="5" t="s">
        <v>215</v>
      </c>
      <c r="C1768" s="5" t="s">
        <v>216</v>
      </c>
      <c r="D1768" s="2">
        <f t="shared" si="106"/>
        <v>2013</v>
      </c>
      <c r="E1768" s="2">
        <f t="shared" si="107"/>
        <v>10</v>
      </c>
      <c r="F1768" s="3" t="s">
        <v>180</v>
      </c>
      <c r="G1768" s="7">
        <v>41570</v>
      </c>
      <c r="H1768" s="6">
        <v>6595400</v>
      </c>
      <c r="I1768" s="6">
        <v>1624045</v>
      </c>
      <c r="J1768" s="5" t="s">
        <v>183</v>
      </c>
      <c r="K1768" s="1"/>
      <c r="L1768" s="1" t="str">
        <f t="shared" si="108"/>
        <v xml:space="preserve">Fjäturen </v>
      </c>
      <c r="M1768" s="5" t="s">
        <v>212</v>
      </c>
      <c r="N1768" s="6">
        <v>2</v>
      </c>
      <c r="O1768" s="6">
        <v>2</v>
      </c>
      <c r="Q1768" s="6">
        <v>7.8</v>
      </c>
      <c r="R1768" s="6">
        <v>10.3</v>
      </c>
      <c r="S1768" s="6">
        <v>88</v>
      </c>
    </row>
    <row r="1769" spans="1:43" x14ac:dyDescent="0.3">
      <c r="A1769" s="6">
        <v>25687</v>
      </c>
      <c r="B1769" s="5" t="s">
        <v>215</v>
      </c>
      <c r="C1769" s="5" t="s">
        <v>216</v>
      </c>
      <c r="D1769" s="2">
        <f t="shared" si="106"/>
        <v>2013</v>
      </c>
      <c r="E1769" s="2">
        <f t="shared" si="107"/>
        <v>10</v>
      </c>
      <c r="F1769" s="3" t="s">
        <v>180</v>
      </c>
      <c r="G1769" s="7">
        <v>41570</v>
      </c>
      <c r="H1769" s="6">
        <v>6595400</v>
      </c>
      <c r="I1769" s="6">
        <v>1624045</v>
      </c>
      <c r="J1769" s="5" t="s">
        <v>183</v>
      </c>
      <c r="K1769" s="1"/>
      <c r="L1769" s="1" t="str">
        <f t="shared" si="108"/>
        <v xml:space="preserve">Fjäturen </v>
      </c>
      <c r="M1769" s="5" t="s">
        <v>213</v>
      </c>
      <c r="N1769" s="6">
        <v>3</v>
      </c>
      <c r="O1769" s="6">
        <v>3</v>
      </c>
      <c r="Q1769" s="6">
        <v>7.7</v>
      </c>
      <c r="R1769" s="6">
        <v>10.3</v>
      </c>
      <c r="S1769" s="6">
        <v>88</v>
      </c>
    </row>
    <row r="1770" spans="1:43" x14ac:dyDescent="0.3">
      <c r="A1770" s="6">
        <v>25688</v>
      </c>
      <c r="B1770" s="5" t="s">
        <v>215</v>
      </c>
      <c r="C1770" s="5" t="s">
        <v>216</v>
      </c>
      <c r="D1770" s="2">
        <f t="shared" si="106"/>
        <v>2013</v>
      </c>
      <c r="E1770" s="2">
        <f t="shared" si="107"/>
        <v>10</v>
      </c>
      <c r="F1770" s="3" t="s">
        <v>180</v>
      </c>
      <c r="G1770" s="7">
        <v>41570</v>
      </c>
      <c r="H1770" s="6">
        <v>6595400</v>
      </c>
      <c r="I1770" s="6">
        <v>1624045</v>
      </c>
      <c r="J1770" s="5" t="s">
        <v>183</v>
      </c>
      <c r="K1770" s="1"/>
      <c r="L1770" s="1" t="str">
        <f t="shared" si="108"/>
        <v xml:space="preserve">Fjäturen </v>
      </c>
      <c r="M1770" s="5" t="s">
        <v>214</v>
      </c>
      <c r="N1770" s="6">
        <v>4</v>
      </c>
      <c r="O1770" s="6">
        <v>4</v>
      </c>
      <c r="Q1770" s="6">
        <v>7.7</v>
      </c>
      <c r="R1770" s="6">
        <v>10.3</v>
      </c>
      <c r="S1770" s="6">
        <v>88</v>
      </c>
    </row>
    <row r="1771" spans="1:43" x14ac:dyDescent="0.3">
      <c r="A1771" s="6">
        <v>25689</v>
      </c>
      <c r="B1771" s="5" t="s">
        <v>215</v>
      </c>
      <c r="C1771" s="5" t="s">
        <v>216</v>
      </c>
      <c r="D1771" s="2">
        <f t="shared" si="106"/>
        <v>2013</v>
      </c>
      <c r="E1771" s="2">
        <f t="shared" si="107"/>
        <v>10</v>
      </c>
      <c r="F1771" s="3" t="s">
        <v>180</v>
      </c>
      <c r="G1771" s="7">
        <v>41570</v>
      </c>
      <c r="H1771" s="6">
        <v>6595400</v>
      </c>
      <c r="I1771" s="6">
        <v>1624045</v>
      </c>
      <c r="J1771" s="5" t="s">
        <v>183</v>
      </c>
      <c r="K1771" s="1"/>
      <c r="L1771" s="1" t="str">
        <f t="shared" si="108"/>
        <v xml:space="preserve">Fjäturen </v>
      </c>
      <c r="M1771" s="5" t="s">
        <v>217</v>
      </c>
      <c r="N1771" s="6">
        <v>5</v>
      </c>
      <c r="O1771" s="6">
        <v>5</v>
      </c>
      <c r="Q1771" s="6">
        <v>7.7</v>
      </c>
      <c r="R1771" s="6">
        <v>10.199999999999999</v>
      </c>
      <c r="S1771" s="6">
        <v>87</v>
      </c>
    </row>
    <row r="1772" spans="1:43" x14ac:dyDescent="0.3">
      <c r="A1772" s="6">
        <v>25690</v>
      </c>
      <c r="B1772" s="5" t="s">
        <v>215</v>
      </c>
      <c r="C1772" s="5" t="s">
        <v>216</v>
      </c>
      <c r="D1772" s="2">
        <f t="shared" si="106"/>
        <v>2013</v>
      </c>
      <c r="E1772" s="2">
        <f t="shared" si="107"/>
        <v>10</v>
      </c>
      <c r="F1772" s="3" t="s">
        <v>180</v>
      </c>
      <c r="G1772" s="7">
        <v>41570</v>
      </c>
      <c r="H1772" s="6">
        <v>6595400</v>
      </c>
      <c r="I1772" s="6">
        <v>1624045</v>
      </c>
      <c r="J1772" s="5" t="s">
        <v>183</v>
      </c>
      <c r="K1772" s="1"/>
      <c r="L1772" s="1" t="str">
        <f t="shared" si="108"/>
        <v xml:space="preserve">Fjäturen </v>
      </c>
      <c r="M1772" s="5" t="s">
        <v>218</v>
      </c>
      <c r="N1772" s="6">
        <v>6</v>
      </c>
      <c r="O1772" s="6">
        <v>6</v>
      </c>
      <c r="Q1772" s="6">
        <v>7.7</v>
      </c>
      <c r="R1772" s="6">
        <v>10.199999999999999</v>
      </c>
      <c r="S1772" s="6">
        <v>87</v>
      </c>
    </row>
    <row r="1773" spans="1:43" x14ac:dyDescent="0.3">
      <c r="A1773" s="6">
        <v>25691</v>
      </c>
      <c r="B1773" s="5" t="s">
        <v>215</v>
      </c>
      <c r="C1773" s="5" t="s">
        <v>216</v>
      </c>
      <c r="D1773" s="2">
        <f t="shared" si="106"/>
        <v>2013</v>
      </c>
      <c r="E1773" s="2">
        <f t="shared" si="107"/>
        <v>10</v>
      </c>
      <c r="F1773" s="3" t="s">
        <v>180</v>
      </c>
      <c r="G1773" s="7">
        <v>41570</v>
      </c>
      <c r="H1773" s="6">
        <v>6593820</v>
      </c>
      <c r="I1773" s="6">
        <v>1624215</v>
      </c>
      <c r="J1773" s="5" t="s">
        <v>189</v>
      </c>
      <c r="K1773" s="1"/>
      <c r="L1773" s="1" t="str">
        <f t="shared" si="108"/>
        <v xml:space="preserve">Rösjön </v>
      </c>
      <c r="M1773" s="1" t="s">
        <v>177</v>
      </c>
      <c r="N1773" s="6">
        <v>0.5</v>
      </c>
      <c r="O1773" s="6">
        <v>0.5</v>
      </c>
      <c r="P1773" s="6">
        <v>3.5</v>
      </c>
      <c r="Q1773" s="6">
        <v>8.1</v>
      </c>
      <c r="R1773" s="6">
        <v>9.8000000000000007</v>
      </c>
      <c r="S1773" s="6">
        <v>84</v>
      </c>
      <c r="V1773" s="6">
        <v>1.65443764705882</v>
      </c>
      <c r="W1773" s="6">
        <v>45.043999999999997</v>
      </c>
      <c r="X1773" s="1">
        <f>W1773 * (1/((10^((0.0901821 + (2729.92 /(273.15 + Q1773)))-AE1773)+1)))</f>
        <v>0.43935519219599239</v>
      </c>
      <c r="Y1773" s="6">
        <v>0.03</v>
      </c>
      <c r="Z1773" s="6">
        <v>4.6500000000000004</v>
      </c>
      <c r="AA1773" s="6">
        <v>1.79</v>
      </c>
      <c r="AB1773" s="6">
        <v>4.7043920000000004</v>
      </c>
      <c r="AD1773" s="6">
        <v>10.048</v>
      </c>
      <c r="AE1773" s="6">
        <v>7.79</v>
      </c>
      <c r="AK1773" s="6">
        <v>21.31</v>
      </c>
      <c r="AL1773" s="6">
        <v>559.39400000000001</v>
      </c>
      <c r="AM1773" s="6"/>
      <c r="AN1773" s="6"/>
      <c r="AO1773" s="6"/>
      <c r="AP1773" s="6"/>
      <c r="AQ1773" s="6"/>
    </row>
    <row r="1774" spans="1:43" x14ac:dyDescent="0.3">
      <c r="A1774" s="6">
        <v>25692</v>
      </c>
      <c r="B1774" s="5" t="s">
        <v>215</v>
      </c>
      <c r="C1774" s="5" t="s">
        <v>216</v>
      </c>
      <c r="D1774" s="2">
        <f t="shared" si="106"/>
        <v>2013</v>
      </c>
      <c r="E1774" s="2">
        <f t="shared" si="107"/>
        <v>10</v>
      </c>
      <c r="F1774" s="3" t="s">
        <v>180</v>
      </c>
      <c r="G1774" s="7">
        <v>41570</v>
      </c>
      <c r="H1774" s="6">
        <v>6593820</v>
      </c>
      <c r="I1774" s="6">
        <v>1624215</v>
      </c>
      <c r="J1774" s="5" t="s">
        <v>189</v>
      </c>
      <c r="K1774" s="1"/>
      <c r="L1774" s="1" t="str">
        <f t="shared" si="108"/>
        <v xml:space="preserve">Rösjön </v>
      </c>
      <c r="M1774" s="5" t="s">
        <v>211</v>
      </c>
      <c r="N1774" s="6">
        <v>1</v>
      </c>
      <c r="O1774" s="6">
        <v>1</v>
      </c>
      <c r="Q1774" s="6">
        <v>8</v>
      </c>
      <c r="R1774" s="6">
        <v>9.8000000000000007</v>
      </c>
      <c r="S1774" s="6">
        <v>84</v>
      </c>
    </row>
    <row r="1775" spans="1:43" x14ac:dyDescent="0.3">
      <c r="A1775" s="6">
        <v>25693</v>
      </c>
      <c r="B1775" s="5" t="s">
        <v>215</v>
      </c>
      <c r="C1775" s="5" t="s">
        <v>216</v>
      </c>
      <c r="D1775" s="2">
        <f t="shared" si="106"/>
        <v>2013</v>
      </c>
      <c r="E1775" s="2">
        <f t="shared" si="107"/>
        <v>10</v>
      </c>
      <c r="F1775" s="3" t="s">
        <v>180</v>
      </c>
      <c r="G1775" s="7">
        <v>41570</v>
      </c>
      <c r="H1775" s="6">
        <v>6593820</v>
      </c>
      <c r="I1775" s="6">
        <v>1624215</v>
      </c>
      <c r="J1775" s="5" t="s">
        <v>189</v>
      </c>
      <c r="K1775" s="1"/>
      <c r="L1775" s="1" t="str">
        <f t="shared" si="108"/>
        <v xml:space="preserve">Rösjön </v>
      </c>
      <c r="M1775" s="5" t="s">
        <v>212</v>
      </c>
      <c r="N1775" s="6">
        <v>2</v>
      </c>
      <c r="O1775" s="6">
        <v>2</v>
      </c>
      <c r="Q1775" s="6">
        <v>8</v>
      </c>
      <c r="R1775" s="6">
        <v>9.8000000000000007</v>
      </c>
      <c r="S1775" s="6">
        <v>84</v>
      </c>
    </row>
    <row r="1776" spans="1:43" x14ac:dyDescent="0.3">
      <c r="A1776" s="6">
        <v>25694</v>
      </c>
      <c r="B1776" s="5" t="s">
        <v>215</v>
      </c>
      <c r="C1776" s="5" t="s">
        <v>216</v>
      </c>
      <c r="D1776" s="2">
        <f t="shared" si="106"/>
        <v>2013</v>
      </c>
      <c r="E1776" s="2">
        <f t="shared" si="107"/>
        <v>10</v>
      </c>
      <c r="F1776" s="3" t="s">
        <v>180</v>
      </c>
      <c r="G1776" s="7">
        <v>41570</v>
      </c>
      <c r="H1776" s="6">
        <v>6593820</v>
      </c>
      <c r="I1776" s="6">
        <v>1624215</v>
      </c>
      <c r="J1776" s="5" t="s">
        <v>189</v>
      </c>
      <c r="K1776" s="1"/>
      <c r="L1776" s="1" t="str">
        <f t="shared" si="108"/>
        <v xml:space="preserve">Rösjön </v>
      </c>
      <c r="M1776" s="5" t="s">
        <v>213</v>
      </c>
      <c r="N1776" s="6">
        <v>3</v>
      </c>
      <c r="O1776" s="6">
        <v>3</v>
      </c>
      <c r="Q1776" s="6">
        <v>8</v>
      </c>
      <c r="R1776" s="6">
        <v>9.8000000000000007</v>
      </c>
      <c r="S1776" s="6">
        <v>84</v>
      </c>
    </row>
    <row r="1777" spans="1:38" x14ac:dyDescent="0.3">
      <c r="A1777" s="6">
        <v>25695</v>
      </c>
      <c r="B1777" s="5" t="s">
        <v>215</v>
      </c>
      <c r="C1777" s="5" t="s">
        <v>216</v>
      </c>
      <c r="D1777" s="2">
        <f t="shared" si="106"/>
        <v>2013</v>
      </c>
      <c r="E1777" s="2">
        <f t="shared" si="107"/>
        <v>10</v>
      </c>
      <c r="F1777" s="3" t="s">
        <v>180</v>
      </c>
      <c r="G1777" s="7">
        <v>41570</v>
      </c>
      <c r="H1777" s="6">
        <v>6593820</v>
      </c>
      <c r="I1777" s="6">
        <v>1624215</v>
      </c>
      <c r="J1777" s="5" t="s">
        <v>189</v>
      </c>
      <c r="K1777" s="1"/>
      <c r="L1777" s="1" t="str">
        <f t="shared" si="108"/>
        <v xml:space="preserve">Rösjön </v>
      </c>
      <c r="M1777" s="5" t="s">
        <v>214</v>
      </c>
      <c r="N1777" s="6">
        <v>4</v>
      </c>
      <c r="O1777" s="6">
        <v>4</v>
      </c>
      <c r="Q1777" s="6">
        <v>8</v>
      </c>
      <c r="R1777" s="6">
        <v>9.8000000000000007</v>
      </c>
      <c r="S1777" s="6">
        <v>84</v>
      </c>
    </row>
    <row r="1778" spans="1:38" x14ac:dyDescent="0.3">
      <c r="A1778" s="6">
        <v>25696</v>
      </c>
      <c r="B1778" s="5" t="s">
        <v>215</v>
      </c>
      <c r="C1778" s="5" t="s">
        <v>216</v>
      </c>
      <c r="D1778" s="2">
        <f t="shared" si="106"/>
        <v>2013</v>
      </c>
      <c r="E1778" s="2">
        <f t="shared" si="107"/>
        <v>10</v>
      </c>
      <c r="F1778" s="3" t="s">
        <v>180</v>
      </c>
      <c r="G1778" s="7">
        <v>41570</v>
      </c>
      <c r="H1778" s="6">
        <v>6593820</v>
      </c>
      <c r="I1778" s="6">
        <v>1624215</v>
      </c>
      <c r="J1778" s="5" t="s">
        <v>189</v>
      </c>
      <c r="K1778" s="1"/>
      <c r="L1778" s="1" t="str">
        <f t="shared" si="108"/>
        <v xml:space="preserve">Rösjön </v>
      </c>
      <c r="M1778" s="5" t="s">
        <v>217</v>
      </c>
      <c r="N1778" s="6">
        <v>5</v>
      </c>
      <c r="O1778" s="6">
        <v>5</v>
      </c>
      <c r="Q1778" s="6">
        <v>8</v>
      </c>
      <c r="R1778" s="6">
        <v>9.6999999999999993</v>
      </c>
      <c r="S1778" s="6">
        <v>84</v>
      </c>
    </row>
    <row r="1779" spans="1:38" x14ac:dyDescent="0.3">
      <c r="A1779" s="6">
        <v>25697</v>
      </c>
      <c r="B1779" s="5" t="s">
        <v>215</v>
      </c>
      <c r="C1779" s="5" t="s">
        <v>216</v>
      </c>
      <c r="D1779" s="2">
        <f t="shared" si="106"/>
        <v>2013</v>
      </c>
      <c r="E1779" s="2">
        <f t="shared" si="107"/>
        <v>10</v>
      </c>
      <c r="F1779" s="3" t="s">
        <v>180</v>
      </c>
      <c r="G1779" s="7">
        <v>41570</v>
      </c>
      <c r="H1779" s="6">
        <v>6593820</v>
      </c>
      <c r="I1779" s="6">
        <v>1624215</v>
      </c>
      <c r="J1779" s="5" t="s">
        <v>189</v>
      </c>
      <c r="K1779" s="1"/>
      <c r="L1779" s="1" t="str">
        <f t="shared" si="108"/>
        <v xml:space="preserve">Rösjön </v>
      </c>
      <c r="M1779" s="5" t="s">
        <v>218</v>
      </c>
      <c r="N1779" s="6">
        <v>6</v>
      </c>
      <c r="O1779" s="6">
        <v>6</v>
      </c>
      <c r="Q1779" s="6">
        <v>8</v>
      </c>
      <c r="R1779" s="6">
        <v>9.6999999999999993</v>
      </c>
      <c r="S1779" s="6">
        <v>83</v>
      </c>
    </row>
    <row r="1780" spans="1:38" x14ac:dyDescent="0.3">
      <c r="A1780" s="6">
        <v>25698</v>
      </c>
      <c r="B1780" s="5" t="s">
        <v>215</v>
      </c>
      <c r="C1780" s="5" t="s">
        <v>216</v>
      </c>
      <c r="D1780" s="2">
        <f t="shared" si="106"/>
        <v>2013</v>
      </c>
      <c r="E1780" s="2">
        <f t="shared" si="107"/>
        <v>10</v>
      </c>
      <c r="F1780" s="3" t="s">
        <v>180</v>
      </c>
      <c r="G1780" s="7">
        <v>41570</v>
      </c>
      <c r="H1780" s="6">
        <v>6593820</v>
      </c>
      <c r="I1780" s="6">
        <v>1624215</v>
      </c>
      <c r="J1780" s="5" t="s">
        <v>189</v>
      </c>
      <c r="K1780" s="1"/>
      <c r="L1780" s="1" t="str">
        <f t="shared" si="108"/>
        <v xml:space="preserve">Rösjön </v>
      </c>
      <c r="M1780" s="1" t="s">
        <v>184</v>
      </c>
      <c r="N1780" s="6">
        <v>6.5</v>
      </c>
      <c r="O1780" s="6">
        <v>6.5</v>
      </c>
      <c r="Q1780" s="6">
        <v>8</v>
      </c>
      <c r="R1780" s="6">
        <v>9.6999999999999993</v>
      </c>
      <c r="S1780" s="6">
        <v>83</v>
      </c>
    </row>
    <row r="1781" spans="1:38" x14ac:dyDescent="0.3">
      <c r="A1781" s="1">
        <v>25789</v>
      </c>
      <c r="B1781" s="1" t="s">
        <v>208</v>
      </c>
      <c r="C1781" s="1" t="s">
        <v>209</v>
      </c>
      <c r="D1781" s="2">
        <f t="shared" si="106"/>
        <v>2013</v>
      </c>
      <c r="E1781" s="2">
        <f t="shared" si="107"/>
        <v>10</v>
      </c>
      <c r="F1781" s="3" t="s">
        <v>180</v>
      </c>
      <c r="G1781" s="4">
        <v>41577</v>
      </c>
      <c r="H1781" s="1">
        <v>6600935</v>
      </c>
      <c r="I1781" s="1">
        <v>1626764</v>
      </c>
      <c r="J1781" s="1" t="s">
        <v>191</v>
      </c>
      <c r="K1781" s="1" t="s">
        <v>210</v>
      </c>
      <c r="L1781" s="1" t="str">
        <f t="shared" si="108"/>
        <v>Vallentunasjön Va2</v>
      </c>
      <c r="M1781" s="1" t="s">
        <v>177</v>
      </c>
      <c r="N1781" s="1">
        <v>0.5</v>
      </c>
      <c r="O1781" s="1">
        <v>0.5</v>
      </c>
      <c r="P1781" s="1">
        <v>0.7</v>
      </c>
      <c r="Q1781" s="1">
        <v>10</v>
      </c>
      <c r="R1781" s="1">
        <v>10.8</v>
      </c>
      <c r="S1781" s="1">
        <v>97</v>
      </c>
    </row>
    <row r="1782" spans="1:38" x14ac:dyDescent="0.3">
      <c r="A1782" s="1">
        <v>25790</v>
      </c>
      <c r="B1782" s="1" t="s">
        <v>208</v>
      </c>
      <c r="C1782" s="1" t="s">
        <v>209</v>
      </c>
      <c r="D1782" s="2">
        <f t="shared" si="106"/>
        <v>2013</v>
      </c>
      <c r="E1782" s="2">
        <f t="shared" si="107"/>
        <v>10</v>
      </c>
      <c r="F1782" s="3" t="s">
        <v>180</v>
      </c>
      <c r="G1782" s="4">
        <v>41577</v>
      </c>
      <c r="H1782" s="1">
        <v>6600935</v>
      </c>
      <c r="I1782" s="1">
        <v>1626764</v>
      </c>
      <c r="J1782" s="1" t="s">
        <v>191</v>
      </c>
      <c r="K1782" s="1" t="s">
        <v>210</v>
      </c>
      <c r="L1782" s="1" t="str">
        <f t="shared" si="108"/>
        <v>Vallentunasjön Va2</v>
      </c>
      <c r="M1782" s="1" t="s">
        <v>211</v>
      </c>
      <c r="N1782" s="1">
        <v>1</v>
      </c>
      <c r="O1782" s="1">
        <v>1</v>
      </c>
      <c r="Q1782" s="1">
        <v>9.5</v>
      </c>
      <c r="R1782" s="1">
        <v>11</v>
      </c>
      <c r="S1782" s="1">
        <v>97</v>
      </c>
    </row>
    <row r="1783" spans="1:38" x14ac:dyDescent="0.3">
      <c r="A1783" s="1">
        <v>25791</v>
      </c>
      <c r="B1783" s="1" t="s">
        <v>208</v>
      </c>
      <c r="C1783" s="1" t="s">
        <v>209</v>
      </c>
      <c r="D1783" s="2">
        <f t="shared" si="106"/>
        <v>2013</v>
      </c>
      <c r="E1783" s="2">
        <f t="shared" si="107"/>
        <v>10</v>
      </c>
      <c r="F1783" s="3" t="s">
        <v>180</v>
      </c>
      <c r="G1783" s="4">
        <v>41577</v>
      </c>
      <c r="H1783" s="1">
        <v>6600935</v>
      </c>
      <c r="I1783" s="1">
        <v>1626764</v>
      </c>
      <c r="J1783" s="1" t="s">
        <v>191</v>
      </c>
      <c r="K1783" s="1" t="s">
        <v>210</v>
      </c>
      <c r="L1783" s="1" t="str">
        <f t="shared" si="108"/>
        <v>Vallentunasjön Va2</v>
      </c>
      <c r="M1783" s="1" t="s">
        <v>212</v>
      </c>
      <c r="N1783" s="1">
        <v>2</v>
      </c>
      <c r="O1783" s="1">
        <v>2</v>
      </c>
      <c r="Q1783" s="1">
        <v>9.5</v>
      </c>
      <c r="R1783" s="1">
        <v>11.2</v>
      </c>
      <c r="S1783" s="1">
        <v>99</v>
      </c>
    </row>
    <row r="1784" spans="1:38" x14ac:dyDescent="0.3">
      <c r="A1784" s="1">
        <v>25792</v>
      </c>
      <c r="B1784" s="1" t="s">
        <v>208</v>
      </c>
      <c r="C1784" s="1" t="s">
        <v>209</v>
      </c>
      <c r="D1784" s="2">
        <f t="shared" si="106"/>
        <v>2013</v>
      </c>
      <c r="E1784" s="2">
        <f t="shared" si="107"/>
        <v>10</v>
      </c>
      <c r="F1784" s="3" t="s">
        <v>180</v>
      </c>
      <c r="G1784" s="4">
        <v>41577</v>
      </c>
      <c r="H1784" s="1">
        <v>6600935</v>
      </c>
      <c r="I1784" s="1">
        <v>1626764</v>
      </c>
      <c r="J1784" s="1" t="s">
        <v>191</v>
      </c>
      <c r="K1784" s="1" t="s">
        <v>210</v>
      </c>
      <c r="L1784" s="1" t="str">
        <f t="shared" si="108"/>
        <v>Vallentunasjön Va2</v>
      </c>
      <c r="M1784" s="1" t="s">
        <v>213</v>
      </c>
      <c r="N1784" s="1">
        <v>3</v>
      </c>
      <c r="O1784" s="1">
        <v>3</v>
      </c>
      <c r="Q1784" s="1">
        <v>9.4</v>
      </c>
      <c r="R1784" s="1">
        <v>11.5</v>
      </c>
      <c r="S1784" s="1">
        <v>101</v>
      </c>
    </row>
    <row r="1785" spans="1:38" x14ac:dyDescent="0.3">
      <c r="A1785" s="1">
        <v>25793</v>
      </c>
      <c r="B1785" s="1" t="s">
        <v>208</v>
      </c>
      <c r="C1785" s="1" t="s">
        <v>209</v>
      </c>
      <c r="D1785" s="2">
        <f t="shared" si="106"/>
        <v>2013</v>
      </c>
      <c r="E1785" s="2">
        <f t="shared" si="107"/>
        <v>10</v>
      </c>
      <c r="F1785" s="3" t="s">
        <v>180</v>
      </c>
      <c r="G1785" s="4">
        <v>41577</v>
      </c>
      <c r="H1785" s="1">
        <v>6600935</v>
      </c>
      <c r="I1785" s="1">
        <v>1626764</v>
      </c>
      <c r="J1785" s="1" t="s">
        <v>191</v>
      </c>
      <c r="K1785" s="1" t="s">
        <v>210</v>
      </c>
      <c r="L1785" s="1" t="str">
        <f t="shared" si="108"/>
        <v>Vallentunasjön Va2</v>
      </c>
      <c r="M1785" s="1" t="s">
        <v>214</v>
      </c>
      <c r="N1785" s="1">
        <v>4</v>
      </c>
      <c r="O1785" s="1">
        <v>4</v>
      </c>
      <c r="Q1785" s="1">
        <v>9.3000000000000007</v>
      </c>
      <c r="R1785" s="1">
        <v>11.6</v>
      </c>
      <c r="S1785" s="1">
        <v>102</v>
      </c>
    </row>
    <row r="1786" spans="1:38" x14ac:dyDescent="0.3">
      <c r="A1786" s="1">
        <v>25794</v>
      </c>
      <c r="B1786" s="1" t="s">
        <v>208</v>
      </c>
      <c r="C1786" s="1" t="s">
        <v>209</v>
      </c>
      <c r="D1786" s="2">
        <f t="shared" si="106"/>
        <v>2013</v>
      </c>
      <c r="E1786" s="2">
        <f t="shared" si="107"/>
        <v>10</v>
      </c>
      <c r="F1786" s="3" t="s">
        <v>180</v>
      </c>
      <c r="G1786" s="4">
        <v>41577</v>
      </c>
      <c r="J1786" s="1" t="s">
        <v>191</v>
      </c>
      <c r="K1786" s="1" t="s">
        <v>206</v>
      </c>
      <c r="L1786" s="1" t="str">
        <f t="shared" si="108"/>
        <v>Vallentunasjön Blandprov</v>
      </c>
      <c r="M1786" s="1" t="s">
        <v>177</v>
      </c>
      <c r="W1786" s="1">
        <v>36.572000000000003</v>
      </c>
      <c r="Z1786" s="1">
        <v>5.79</v>
      </c>
      <c r="AB1786" s="1">
        <v>55.729226666666698</v>
      </c>
      <c r="AD1786" s="6">
        <v>0</v>
      </c>
      <c r="AG1786" s="1">
        <v>19.230769230769202</v>
      </c>
      <c r="AK1786" s="1">
        <v>74.31</v>
      </c>
      <c r="AL1786" s="1">
        <v>1476.6669999999999</v>
      </c>
    </row>
    <row r="1787" spans="1:38" x14ac:dyDescent="0.3">
      <c r="A1787" s="1">
        <v>25873</v>
      </c>
      <c r="B1787" s="1" t="s">
        <v>208</v>
      </c>
      <c r="C1787" s="1" t="s">
        <v>209</v>
      </c>
      <c r="D1787" s="2">
        <f t="shared" si="106"/>
        <v>2013</v>
      </c>
      <c r="E1787" s="2">
        <f t="shared" si="107"/>
        <v>11</v>
      </c>
      <c r="F1787" s="3" t="s">
        <v>180</v>
      </c>
      <c r="G1787" s="4">
        <v>41591</v>
      </c>
      <c r="H1787" s="1">
        <v>6600935</v>
      </c>
      <c r="I1787" s="1">
        <v>1626764</v>
      </c>
      <c r="J1787" s="1" t="s">
        <v>191</v>
      </c>
      <c r="K1787" s="1" t="s">
        <v>210</v>
      </c>
      <c r="L1787" s="1" t="str">
        <f t="shared" si="108"/>
        <v>Vallentunasjön Va2</v>
      </c>
      <c r="M1787" s="1" t="s">
        <v>177</v>
      </c>
      <c r="N1787" s="1">
        <v>0.5</v>
      </c>
      <c r="O1787" s="1">
        <v>0.5</v>
      </c>
      <c r="P1787" s="1">
        <v>0.9</v>
      </c>
      <c r="Q1787" s="1">
        <v>5.0999999999999996</v>
      </c>
      <c r="R1787" s="1">
        <v>12.2</v>
      </c>
      <c r="S1787" s="1">
        <v>96</v>
      </c>
    </row>
    <row r="1788" spans="1:38" x14ac:dyDescent="0.3">
      <c r="A1788" s="1">
        <v>25874</v>
      </c>
      <c r="B1788" s="1" t="s">
        <v>208</v>
      </c>
      <c r="C1788" s="1" t="s">
        <v>209</v>
      </c>
      <c r="D1788" s="2">
        <f t="shared" si="106"/>
        <v>2013</v>
      </c>
      <c r="E1788" s="2">
        <f t="shared" si="107"/>
        <v>11</v>
      </c>
      <c r="F1788" s="3" t="s">
        <v>180</v>
      </c>
      <c r="G1788" s="4">
        <v>41591</v>
      </c>
      <c r="H1788" s="1">
        <v>6600935</v>
      </c>
      <c r="I1788" s="1">
        <v>1626764</v>
      </c>
      <c r="J1788" s="1" t="s">
        <v>191</v>
      </c>
      <c r="K1788" s="1" t="s">
        <v>210</v>
      </c>
      <c r="L1788" s="1" t="str">
        <f t="shared" si="108"/>
        <v>Vallentunasjön Va2</v>
      </c>
      <c r="M1788" s="1" t="s">
        <v>211</v>
      </c>
      <c r="N1788" s="1">
        <v>1</v>
      </c>
      <c r="O1788" s="1">
        <v>1</v>
      </c>
      <c r="Q1788" s="1">
        <v>5.0999999999999996</v>
      </c>
      <c r="R1788" s="1">
        <v>12.2</v>
      </c>
      <c r="S1788" s="1">
        <v>97</v>
      </c>
    </row>
    <row r="1789" spans="1:38" x14ac:dyDescent="0.3">
      <c r="A1789" s="1">
        <v>25875</v>
      </c>
      <c r="B1789" s="1" t="s">
        <v>208</v>
      </c>
      <c r="C1789" s="1" t="s">
        <v>209</v>
      </c>
      <c r="D1789" s="2">
        <f t="shared" si="106"/>
        <v>2013</v>
      </c>
      <c r="E1789" s="2">
        <f t="shared" si="107"/>
        <v>11</v>
      </c>
      <c r="F1789" s="3" t="s">
        <v>180</v>
      </c>
      <c r="G1789" s="4">
        <v>41591</v>
      </c>
      <c r="H1789" s="1">
        <v>6600935</v>
      </c>
      <c r="I1789" s="1">
        <v>1626764</v>
      </c>
      <c r="J1789" s="1" t="s">
        <v>191</v>
      </c>
      <c r="K1789" s="1" t="s">
        <v>210</v>
      </c>
      <c r="L1789" s="1" t="str">
        <f t="shared" si="108"/>
        <v>Vallentunasjön Va2</v>
      </c>
      <c r="M1789" s="1" t="s">
        <v>212</v>
      </c>
      <c r="N1789" s="1">
        <v>2</v>
      </c>
      <c r="O1789" s="1">
        <v>2</v>
      </c>
      <c r="Q1789" s="1">
        <v>5.0999999999999996</v>
      </c>
      <c r="R1789" s="1">
        <v>12.4</v>
      </c>
      <c r="S1789" s="1">
        <v>99</v>
      </c>
    </row>
    <row r="1790" spans="1:38" x14ac:dyDescent="0.3">
      <c r="A1790" s="1">
        <v>25876</v>
      </c>
      <c r="B1790" s="1" t="s">
        <v>208</v>
      </c>
      <c r="C1790" s="1" t="s">
        <v>209</v>
      </c>
      <c r="D1790" s="2">
        <f t="shared" si="106"/>
        <v>2013</v>
      </c>
      <c r="E1790" s="2">
        <f t="shared" si="107"/>
        <v>11</v>
      </c>
      <c r="F1790" s="3" t="s">
        <v>180</v>
      </c>
      <c r="G1790" s="4">
        <v>41591</v>
      </c>
      <c r="H1790" s="1">
        <v>6600935</v>
      </c>
      <c r="I1790" s="1">
        <v>1626764</v>
      </c>
      <c r="J1790" s="1" t="s">
        <v>191</v>
      </c>
      <c r="K1790" s="1" t="s">
        <v>210</v>
      </c>
      <c r="L1790" s="1" t="str">
        <f t="shared" si="108"/>
        <v>Vallentunasjön Va2</v>
      </c>
      <c r="M1790" s="1" t="s">
        <v>213</v>
      </c>
      <c r="N1790" s="1">
        <v>3</v>
      </c>
      <c r="O1790" s="1">
        <v>3</v>
      </c>
      <c r="Q1790" s="1">
        <v>5.0999999999999996</v>
      </c>
      <c r="R1790" s="1">
        <v>12.7</v>
      </c>
      <c r="S1790" s="1">
        <v>101</v>
      </c>
    </row>
    <row r="1791" spans="1:38" x14ac:dyDescent="0.3">
      <c r="A1791" s="1">
        <v>25877</v>
      </c>
      <c r="B1791" s="1" t="s">
        <v>208</v>
      </c>
      <c r="C1791" s="1" t="s">
        <v>209</v>
      </c>
      <c r="D1791" s="2">
        <f t="shared" si="106"/>
        <v>2013</v>
      </c>
      <c r="E1791" s="2">
        <f t="shared" si="107"/>
        <v>11</v>
      </c>
      <c r="F1791" s="3" t="s">
        <v>180</v>
      </c>
      <c r="G1791" s="4">
        <v>41591</v>
      </c>
      <c r="H1791" s="1">
        <v>6600935</v>
      </c>
      <c r="I1791" s="1">
        <v>1626764</v>
      </c>
      <c r="J1791" s="1" t="s">
        <v>191</v>
      </c>
      <c r="K1791" s="1" t="s">
        <v>210</v>
      </c>
      <c r="L1791" s="1" t="str">
        <f t="shared" si="108"/>
        <v>Vallentunasjön Va2</v>
      </c>
      <c r="M1791" s="1" t="s">
        <v>214</v>
      </c>
      <c r="N1791" s="1">
        <v>4</v>
      </c>
      <c r="O1791" s="1">
        <v>4</v>
      </c>
      <c r="Q1791" s="1">
        <v>5.0999999999999996</v>
      </c>
      <c r="R1791" s="1">
        <v>12.8</v>
      </c>
      <c r="S1791" s="1">
        <v>102</v>
      </c>
    </row>
    <row r="1792" spans="1:38" x14ac:dyDescent="0.3">
      <c r="A1792" s="1">
        <v>25878</v>
      </c>
      <c r="B1792" s="1" t="s">
        <v>208</v>
      </c>
      <c r="C1792" s="1" t="s">
        <v>209</v>
      </c>
      <c r="D1792" s="2">
        <f t="shared" si="106"/>
        <v>2013</v>
      </c>
      <c r="E1792" s="2">
        <f t="shared" si="107"/>
        <v>11</v>
      </c>
      <c r="F1792" s="3" t="s">
        <v>180</v>
      </c>
      <c r="G1792" s="4">
        <v>41591</v>
      </c>
      <c r="J1792" s="1" t="s">
        <v>191</v>
      </c>
      <c r="K1792" s="1" t="s">
        <v>206</v>
      </c>
      <c r="L1792" s="1" t="str">
        <f t="shared" si="108"/>
        <v>Vallentunasjön Blandprov</v>
      </c>
      <c r="M1792" s="1" t="s">
        <v>177</v>
      </c>
      <c r="W1792" s="1">
        <v>112.64100000000001</v>
      </c>
      <c r="Z1792" s="1">
        <v>4.38</v>
      </c>
      <c r="AB1792" s="1">
        <v>48.726999999999997</v>
      </c>
      <c r="AD1792" s="1">
        <v>36.164999999999999</v>
      </c>
      <c r="AG1792" s="1">
        <v>19.3333333333334</v>
      </c>
      <c r="AK1792" s="1">
        <v>58.8</v>
      </c>
      <c r="AL1792" s="1">
        <v>1397.077</v>
      </c>
    </row>
    <row r="1793" spans="1:81" x14ac:dyDescent="0.3">
      <c r="D1793" s="2">
        <f t="shared" si="106"/>
        <v>2013</v>
      </c>
      <c r="E1793" s="2">
        <f t="shared" si="107"/>
        <v>11</v>
      </c>
      <c r="F1793" s="3" t="s">
        <v>180</v>
      </c>
      <c r="G1793" s="4">
        <v>41597</v>
      </c>
      <c r="H1793" s="1">
        <v>6606238</v>
      </c>
      <c r="I1793" s="1">
        <v>661152</v>
      </c>
      <c r="J1793" s="5" t="s">
        <v>176</v>
      </c>
      <c r="K1793" s="1"/>
      <c r="L1793" s="1" t="str">
        <f t="shared" si="108"/>
        <v xml:space="preserve">Oxundaån </v>
      </c>
      <c r="M1793" s="1" t="s">
        <v>177</v>
      </c>
      <c r="N1793" s="1">
        <v>0.5</v>
      </c>
      <c r="O1793" s="1">
        <v>0.5</v>
      </c>
      <c r="Q1793" s="1">
        <v>5.2</v>
      </c>
      <c r="T1793" s="1">
        <v>44</v>
      </c>
      <c r="V1793" s="1">
        <v>2.484</v>
      </c>
      <c r="W1793" s="1">
        <v>107</v>
      </c>
      <c r="X1793" s="1">
        <f>W1793 * (1/((10^((0.0901821 + (2729.92 /(273.15 + Q1793)))-AE1793)+1)))</f>
        <v>0.72235600227110641</v>
      </c>
      <c r="Y1793" s="1">
        <v>4.2000000000000003E-2</v>
      </c>
      <c r="Z1793" s="1">
        <v>70</v>
      </c>
      <c r="AA1793" s="1">
        <v>2.1</v>
      </c>
      <c r="AD1793" s="1">
        <v>178</v>
      </c>
      <c r="AE1793" s="1">
        <v>7.73</v>
      </c>
      <c r="AG1793" s="1">
        <v>1.6</v>
      </c>
      <c r="AI1793" s="1">
        <v>10.199999999999999</v>
      </c>
      <c r="AK1793" s="1">
        <v>86</v>
      </c>
      <c r="AL1793" s="1">
        <v>859</v>
      </c>
      <c r="AR1793" s="1">
        <v>48.4</v>
      </c>
      <c r="AT1793" s="1">
        <v>5.2394000000000007</v>
      </c>
      <c r="AU1793" s="1">
        <v>8.4457999999999984</v>
      </c>
      <c r="AV1793" s="1">
        <v>37.435200000000002</v>
      </c>
      <c r="AW1793" s="1">
        <v>25.692800000000005</v>
      </c>
      <c r="AX1793" s="1">
        <v>36.950449999999996</v>
      </c>
      <c r="AY1793" s="1">
        <v>2.09</v>
      </c>
      <c r="CC1793" s="1">
        <v>5.0000000000000001E-3</v>
      </c>
    </row>
    <row r="1794" spans="1:81" x14ac:dyDescent="0.3">
      <c r="A1794" s="1">
        <v>26368</v>
      </c>
      <c r="B1794" s="1" t="s">
        <v>208</v>
      </c>
      <c r="C1794" s="1" t="s">
        <v>209</v>
      </c>
      <c r="D1794" s="2">
        <f t="shared" ref="D1794:D1857" si="109">YEAR(G1794)</f>
        <v>2013</v>
      </c>
      <c r="E1794" s="2">
        <f t="shared" ref="E1794:E1857" si="110">MONTH(G1794)</f>
        <v>12</v>
      </c>
      <c r="F1794" s="3" t="s">
        <v>175</v>
      </c>
      <c r="G1794" s="4">
        <v>41624</v>
      </c>
      <c r="H1794" s="1">
        <v>6600935</v>
      </c>
      <c r="I1794" s="1">
        <v>1626764</v>
      </c>
      <c r="J1794" s="1" t="s">
        <v>191</v>
      </c>
      <c r="K1794" s="1" t="s">
        <v>210</v>
      </c>
      <c r="L1794" s="1" t="str">
        <f t="shared" ref="L1794:L1857" si="111">CONCATENATE(J1794," ",K1794)</f>
        <v>Vallentunasjön Va2</v>
      </c>
      <c r="M1794" s="1" t="s">
        <v>177</v>
      </c>
      <c r="N1794" s="1">
        <v>0.5</v>
      </c>
      <c r="O1794" s="1">
        <v>0.5</v>
      </c>
      <c r="P1794" s="1">
        <v>1.3</v>
      </c>
      <c r="Q1794" s="1">
        <v>2.4</v>
      </c>
      <c r="R1794" s="1">
        <v>11.8</v>
      </c>
      <c r="S1794" s="1">
        <v>86</v>
      </c>
    </row>
    <row r="1795" spans="1:81" x14ac:dyDescent="0.3">
      <c r="A1795" s="1">
        <v>26369</v>
      </c>
      <c r="B1795" s="1" t="s">
        <v>208</v>
      </c>
      <c r="C1795" s="1" t="s">
        <v>209</v>
      </c>
      <c r="D1795" s="2">
        <f t="shared" si="109"/>
        <v>2013</v>
      </c>
      <c r="E1795" s="2">
        <f t="shared" si="110"/>
        <v>12</v>
      </c>
      <c r="F1795" s="3" t="s">
        <v>175</v>
      </c>
      <c r="G1795" s="4">
        <v>41624</v>
      </c>
      <c r="H1795" s="1">
        <v>6600935</v>
      </c>
      <c r="I1795" s="1">
        <v>1626764</v>
      </c>
      <c r="J1795" s="1" t="s">
        <v>191</v>
      </c>
      <c r="K1795" s="1" t="s">
        <v>210</v>
      </c>
      <c r="L1795" s="1" t="str">
        <f t="shared" si="111"/>
        <v>Vallentunasjön Va2</v>
      </c>
      <c r="M1795" s="1" t="s">
        <v>211</v>
      </c>
      <c r="N1795" s="1">
        <v>1</v>
      </c>
      <c r="O1795" s="1">
        <v>1</v>
      </c>
      <c r="Q1795" s="1">
        <v>2.4</v>
      </c>
      <c r="R1795" s="1">
        <v>11.8</v>
      </c>
      <c r="S1795" s="1">
        <v>86</v>
      </c>
    </row>
    <row r="1796" spans="1:81" x14ac:dyDescent="0.3">
      <c r="A1796" s="1">
        <v>26370</v>
      </c>
      <c r="B1796" s="1" t="s">
        <v>208</v>
      </c>
      <c r="C1796" s="1" t="s">
        <v>209</v>
      </c>
      <c r="D1796" s="2">
        <f t="shared" si="109"/>
        <v>2013</v>
      </c>
      <c r="E1796" s="2">
        <f t="shared" si="110"/>
        <v>12</v>
      </c>
      <c r="F1796" s="3" t="s">
        <v>175</v>
      </c>
      <c r="G1796" s="4">
        <v>41624</v>
      </c>
      <c r="H1796" s="1">
        <v>6600935</v>
      </c>
      <c r="I1796" s="1">
        <v>1626764</v>
      </c>
      <c r="J1796" s="1" t="s">
        <v>191</v>
      </c>
      <c r="K1796" s="1" t="s">
        <v>210</v>
      </c>
      <c r="L1796" s="1" t="str">
        <f t="shared" si="111"/>
        <v>Vallentunasjön Va2</v>
      </c>
      <c r="M1796" s="1" t="s">
        <v>212</v>
      </c>
      <c r="N1796" s="1">
        <v>2</v>
      </c>
      <c r="O1796" s="1">
        <v>2</v>
      </c>
      <c r="Q1796" s="1">
        <v>2.2999999999999998</v>
      </c>
      <c r="R1796" s="1">
        <v>11.8</v>
      </c>
      <c r="S1796" s="1">
        <v>85</v>
      </c>
    </row>
    <row r="1797" spans="1:81" x14ac:dyDescent="0.3">
      <c r="A1797" s="1">
        <v>26371</v>
      </c>
      <c r="B1797" s="1" t="s">
        <v>208</v>
      </c>
      <c r="C1797" s="1" t="s">
        <v>209</v>
      </c>
      <c r="D1797" s="2">
        <f t="shared" si="109"/>
        <v>2013</v>
      </c>
      <c r="E1797" s="2">
        <f t="shared" si="110"/>
        <v>12</v>
      </c>
      <c r="F1797" s="3" t="s">
        <v>175</v>
      </c>
      <c r="G1797" s="4">
        <v>41624</v>
      </c>
      <c r="H1797" s="1">
        <v>6600935</v>
      </c>
      <c r="I1797" s="1">
        <v>1626764</v>
      </c>
      <c r="J1797" s="1" t="s">
        <v>191</v>
      </c>
      <c r="K1797" s="1" t="s">
        <v>210</v>
      </c>
      <c r="L1797" s="1" t="str">
        <f t="shared" si="111"/>
        <v>Vallentunasjön Va2</v>
      </c>
      <c r="M1797" s="1" t="s">
        <v>213</v>
      </c>
      <c r="N1797" s="1">
        <v>3</v>
      </c>
      <c r="O1797" s="1">
        <v>3</v>
      </c>
      <c r="Q1797" s="1">
        <v>2.2999999999999998</v>
      </c>
      <c r="R1797" s="1">
        <v>11.7</v>
      </c>
      <c r="S1797" s="1">
        <v>85</v>
      </c>
    </row>
    <row r="1798" spans="1:81" x14ac:dyDescent="0.3">
      <c r="A1798" s="1">
        <v>26372</v>
      </c>
      <c r="B1798" s="1" t="s">
        <v>208</v>
      </c>
      <c r="C1798" s="1" t="s">
        <v>209</v>
      </c>
      <c r="D1798" s="2">
        <f t="shared" si="109"/>
        <v>2013</v>
      </c>
      <c r="E1798" s="2">
        <f t="shared" si="110"/>
        <v>12</v>
      </c>
      <c r="F1798" s="3" t="s">
        <v>175</v>
      </c>
      <c r="G1798" s="4">
        <v>41624</v>
      </c>
      <c r="H1798" s="1">
        <v>6600935</v>
      </c>
      <c r="I1798" s="1">
        <v>1626764</v>
      </c>
      <c r="J1798" s="1" t="s">
        <v>191</v>
      </c>
      <c r="K1798" s="1" t="s">
        <v>210</v>
      </c>
      <c r="L1798" s="1" t="str">
        <f t="shared" si="111"/>
        <v>Vallentunasjön Va2</v>
      </c>
      <c r="M1798" s="1" t="s">
        <v>214</v>
      </c>
      <c r="N1798" s="1">
        <v>4</v>
      </c>
      <c r="O1798" s="1">
        <v>4</v>
      </c>
      <c r="Q1798" s="1">
        <v>2.2999999999999998</v>
      </c>
      <c r="R1798" s="1">
        <v>11.7</v>
      </c>
      <c r="S1798" s="1">
        <v>85</v>
      </c>
    </row>
    <row r="1799" spans="1:81" x14ac:dyDescent="0.3">
      <c r="A1799" s="1">
        <v>26373</v>
      </c>
      <c r="B1799" s="1" t="s">
        <v>208</v>
      </c>
      <c r="C1799" s="1" t="s">
        <v>209</v>
      </c>
      <c r="D1799" s="2">
        <f t="shared" si="109"/>
        <v>2013</v>
      </c>
      <c r="E1799" s="2">
        <f t="shared" si="110"/>
        <v>12</v>
      </c>
      <c r="F1799" s="3" t="s">
        <v>175</v>
      </c>
      <c r="G1799" s="4">
        <v>41624</v>
      </c>
      <c r="H1799" s="1">
        <v>6600935</v>
      </c>
      <c r="I1799" s="1">
        <v>1626764</v>
      </c>
      <c r="J1799" s="1" t="s">
        <v>191</v>
      </c>
      <c r="K1799" s="1" t="s">
        <v>210</v>
      </c>
      <c r="L1799" s="1" t="str">
        <f t="shared" si="111"/>
        <v>Vallentunasjön Va2</v>
      </c>
      <c r="M1799" s="1" t="s">
        <v>229</v>
      </c>
      <c r="N1799" s="1">
        <v>4.5</v>
      </c>
      <c r="O1799" s="1">
        <v>4.5</v>
      </c>
      <c r="Q1799" s="1">
        <v>2.2999999999999998</v>
      </c>
      <c r="R1799" s="1">
        <v>11.6</v>
      </c>
      <c r="S1799" s="1">
        <v>84</v>
      </c>
    </row>
    <row r="1800" spans="1:81" x14ac:dyDescent="0.3">
      <c r="A1800" s="1">
        <v>26374</v>
      </c>
      <c r="B1800" s="1" t="s">
        <v>208</v>
      </c>
      <c r="C1800" s="1" t="s">
        <v>209</v>
      </c>
      <c r="D1800" s="2">
        <f t="shared" si="109"/>
        <v>2013</v>
      </c>
      <c r="E1800" s="2">
        <f t="shared" si="110"/>
        <v>12</v>
      </c>
      <c r="F1800" s="3" t="s">
        <v>175</v>
      </c>
      <c r="G1800" s="4">
        <v>41624</v>
      </c>
      <c r="J1800" s="1" t="s">
        <v>191</v>
      </c>
      <c r="K1800" s="1" t="s">
        <v>206</v>
      </c>
      <c r="L1800" s="1" t="str">
        <f t="shared" si="111"/>
        <v>Vallentunasjön Blandprov</v>
      </c>
      <c r="M1800" s="1" t="s">
        <v>177</v>
      </c>
      <c r="Q1800" s="1">
        <v>2.2999999999999998</v>
      </c>
      <c r="W1800" s="1">
        <v>260</v>
      </c>
      <c r="Z1800" s="1">
        <v>3.09</v>
      </c>
      <c r="AB1800" s="1">
        <v>33.533866666666697</v>
      </c>
      <c r="AD1800" s="1">
        <v>82.16</v>
      </c>
      <c r="AG1800" s="1">
        <v>10.6666666666666</v>
      </c>
      <c r="AK1800" s="1">
        <v>39.03</v>
      </c>
      <c r="AL1800" s="1">
        <v>1239.2280000000001</v>
      </c>
    </row>
    <row r="1801" spans="1:81" x14ac:dyDescent="0.3">
      <c r="D1801" s="2">
        <f t="shared" si="109"/>
        <v>2013</v>
      </c>
      <c r="E1801" s="2">
        <f t="shared" si="110"/>
        <v>12</v>
      </c>
      <c r="F1801" s="3" t="s">
        <v>175</v>
      </c>
      <c r="G1801" s="4">
        <v>41624</v>
      </c>
      <c r="H1801" s="1">
        <v>6606238</v>
      </c>
      <c r="I1801" s="1">
        <v>661152</v>
      </c>
      <c r="J1801" s="5" t="s">
        <v>176</v>
      </c>
      <c r="K1801" s="1"/>
      <c r="L1801" s="1" t="str">
        <f t="shared" si="111"/>
        <v xml:space="preserve">Oxundaån </v>
      </c>
      <c r="M1801" s="1" t="s">
        <v>177</v>
      </c>
      <c r="N1801" s="1">
        <v>0.5</v>
      </c>
      <c r="O1801" s="1">
        <v>0.5</v>
      </c>
      <c r="Q1801" s="1">
        <v>1.6</v>
      </c>
      <c r="T1801" s="1">
        <v>45</v>
      </c>
      <c r="V1801" s="1">
        <v>2.5419999999999998</v>
      </c>
      <c r="W1801" s="1">
        <v>105</v>
      </c>
      <c r="X1801" s="1">
        <f>W1801 * (1/((10^((0.0901821 + (2729.92 /(273.15 + Q1801)))-AE1801)+1)))</f>
        <v>0.48194188669957133</v>
      </c>
      <c r="Y1801" s="1">
        <v>4.1000000000000002E-2</v>
      </c>
      <c r="Z1801" s="1">
        <v>59</v>
      </c>
      <c r="AA1801" s="1">
        <v>1.4</v>
      </c>
      <c r="AD1801" s="1">
        <v>286</v>
      </c>
      <c r="AE1801" s="1">
        <v>7.69</v>
      </c>
      <c r="AG1801" s="1">
        <v>0.5</v>
      </c>
      <c r="AI1801" s="1">
        <v>9.8000000000000007</v>
      </c>
      <c r="AK1801" s="1">
        <v>76</v>
      </c>
      <c r="AL1801" s="1">
        <v>930</v>
      </c>
      <c r="AR1801" s="1">
        <v>52.199999999999996</v>
      </c>
      <c r="AT1801" s="1">
        <v>5.3567000000000009</v>
      </c>
      <c r="AU1801" s="1">
        <v>8.7966999999999995</v>
      </c>
      <c r="AV1801" s="1">
        <v>39.314050000000002</v>
      </c>
      <c r="AW1801" s="1">
        <v>27.757400000000001</v>
      </c>
      <c r="AX1801" s="1">
        <v>39.545149999999992</v>
      </c>
      <c r="AY1801" s="1">
        <v>2.5099999999999998</v>
      </c>
      <c r="CC1801" s="1">
        <v>5.0000000000000001E-3</v>
      </c>
    </row>
    <row r="1802" spans="1:81" x14ac:dyDescent="0.3">
      <c r="D1802" s="2">
        <f t="shared" si="109"/>
        <v>2014</v>
      </c>
      <c r="E1802" s="2">
        <f t="shared" si="110"/>
        <v>1</v>
      </c>
      <c r="F1802" s="3" t="s">
        <v>175</v>
      </c>
      <c r="G1802" s="4">
        <v>41653</v>
      </c>
      <c r="H1802" s="1">
        <v>6606238</v>
      </c>
      <c r="I1802" s="1">
        <v>661152</v>
      </c>
      <c r="J1802" s="5" t="s">
        <v>176</v>
      </c>
      <c r="K1802" s="1"/>
      <c r="L1802" s="1" t="str">
        <f t="shared" si="111"/>
        <v xml:space="preserve">Oxundaån </v>
      </c>
      <c r="M1802" s="1" t="s">
        <v>177</v>
      </c>
      <c r="N1802" s="1">
        <v>0.5</v>
      </c>
      <c r="O1802" s="1">
        <v>0.5</v>
      </c>
      <c r="Q1802" s="1">
        <v>0.2</v>
      </c>
      <c r="T1802" s="1">
        <v>47.2</v>
      </c>
      <c r="V1802" s="1">
        <v>2.4630000000000001</v>
      </c>
      <c r="W1802" s="1">
        <v>75</v>
      </c>
      <c r="X1802" s="1">
        <f>W1802 * (1/((10^((0.0901821 + (2729.92 /(273.15 + Q1802)))-AE1802)+1)))</f>
        <v>0.32071172128982378</v>
      </c>
      <c r="Y1802" s="1">
        <v>5.0999999999999997E-2</v>
      </c>
      <c r="Z1802" s="1">
        <v>47</v>
      </c>
      <c r="AA1802" s="1">
        <v>5.6</v>
      </c>
      <c r="AD1802" s="1">
        <v>592</v>
      </c>
      <c r="AE1802" s="1">
        <v>7.71</v>
      </c>
      <c r="AI1802" s="1">
        <v>10.3</v>
      </c>
      <c r="AK1802" s="1">
        <v>64</v>
      </c>
      <c r="AL1802" s="1">
        <v>1120</v>
      </c>
      <c r="AR1802" s="1">
        <v>52.199999999999996</v>
      </c>
      <c r="AT1802" s="1">
        <v>5.3567000000000009</v>
      </c>
      <c r="AU1802" s="1">
        <v>9.0266000000000002</v>
      </c>
      <c r="AV1802" s="1">
        <v>39.668550000000003</v>
      </c>
      <c r="AW1802" s="1">
        <v>27.757400000000001</v>
      </c>
      <c r="AX1802" s="1">
        <v>46.368249999999996</v>
      </c>
      <c r="AY1802" s="1">
        <v>3.47</v>
      </c>
    </row>
    <row r="1803" spans="1:81" x14ac:dyDescent="0.3">
      <c r="A1803" s="1">
        <v>27577</v>
      </c>
      <c r="B1803" s="1" t="s">
        <v>208</v>
      </c>
      <c r="C1803" s="1" t="s">
        <v>209</v>
      </c>
      <c r="D1803" s="2">
        <f t="shared" si="109"/>
        <v>2014</v>
      </c>
      <c r="E1803" s="2">
        <f t="shared" si="110"/>
        <v>1</v>
      </c>
      <c r="F1803" s="3" t="s">
        <v>175</v>
      </c>
      <c r="G1803" s="4">
        <v>41662</v>
      </c>
      <c r="H1803" s="1">
        <v>6600935</v>
      </c>
      <c r="I1803" s="1">
        <v>1626764</v>
      </c>
      <c r="J1803" s="1" t="s">
        <v>191</v>
      </c>
      <c r="K1803" s="1" t="s">
        <v>210</v>
      </c>
      <c r="L1803" s="1" t="str">
        <f t="shared" si="111"/>
        <v>Vallentunasjön Va2</v>
      </c>
      <c r="M1803" s="1" t="s">
        <v>177</v>
      </c>
      <c r="N1803" s="1">
        <v>0.5</v>
      </c>
      <c r="O1803" s="1">
        <v>0.5</v>
      </c>
      <c r="P1803" s="1">
        <v>1.4</v>
      </c>
      <c r="Q1803" s="1">
        <v>0.2</v>
      </c>
      <c r="R1803" s="1">
        <v>14.2</v>
      </c>
      <c r="S1803" s="1">
        <v>96</v>
      </c>
    </row>
    <row r="1804" spans="1:81" x14ac:dyDescent="0.3">
      <c r="A1804" s="1">
        <v>27578</v>
      </c>
      <c r="B1804" s="1" t="s">
        <v>208</v>
      </c>
      <c r="C1804" s="1" t="s">
        <v>209</v>
      </c>
      <c r="D1804" s="2">
        <f t="shared" si="109"/>
        <v>2014</v>
      </c>
      <c r="E1804" s="2">
        <f t="shared" si="110"/>
        <v>1</v>
      </c>
      <c r="F1804" s="3" t="s">
        <v>175</v>
      </c>
      <c r="G1804" s="4">
        <v>41662</v>
      </c>
      <c r="H1804" s="1">
        <v>6600935</v>
      </c>
      <c r="I1804" s="1">
        <v>1626764</v>
      </c>
      <c r="J1804" s="1" t="s">
        <v>191</v>
      </c>
      <c r="K1804" s="1" t="s">
        <v>210</v>
      </c>
      <c r="L1804" s="1" t="str">
        <f t="shared" si="111"/>
        <v>Vallentunasjön Va2</v>
      </c>
      <c r="M1804" s="1" t="s">
        <v>211</v>
      </c>
      <c r="N1804" s="1">
        <v>1</v>
      </c>
      <c r="O1804" s="1">
        <v>1</v>
      </c>
      <c r="Q1804" s="1">
        <v>0.3</v>
      </c>
      <c r="R1804" s="1">
        <v>13.9</v>
      </c>
      <c r="S1804" s="1">
        <v>95</v>
      </c>
    </row>
    <row r="1805" spans="1:81" x14ac:dyDescent="0.3">
      <c r="A1805" s="1">
        <v>27579</v>
      </c>
      <c r="B1805" s="1" t="s">
        <v>208</v>
      </c>
      <c r="C1805" s="1" t="s">
        <v>209</v>
      </c>
      <c r="D1805" s="2">
        <f t="shared" si="109"/>
        <v>2014</v>
      </c>
      <c r="E1805" s="2">
        <f t="shared" si="110"/>
        <v>1</v>
      </c>
      <c r="F1805" s="3" t="s">
        <v>175</v>
      </c>
      <c r="G1805" s="4">
        <v>41662</v>
      </c>
      <c r="H1805" s="1">
        <v>6600935</v>
      </c>
      <c r="I1805" s="1">
        <v>1626764</v>
      </c>
      <c r="J1805" s="1" t="s">
        <v>191</v>
      </c>
      <c r="K1805" s="1" t="s">
        <v>210</v>
      </c>
      <c r="L1805" s="1" t="str">
        <f t="shared" si="111"/>
        <v>Vallentunasjön Va2</v>
      </c>
      <c r="M1805" s="1" t="s">
        <v>212</v>
      </c>
      <c r="N1805" s="1">
        <v>2</v>
      </c>
      <c r="O1805" s="1">
        <v>2</v>
      </c>
      <c r="Q1805" s="1">
        <v>0.5</v>
      </c>
      <c r="R1805" s="1">
        <v>13.3</v>
      </c>
      <c r="S1805" s="1">
        <v>91</v>
      </c>
    </row>
    <row r="1806" spans="1:81" x14ac:dyDescent="0.3">
      <c r="A1806" s="1">
        <v>27580</v>
      </c>
      <c r="B1806" s="1" t="s">
        <v>208</v>
      </c>
      <c r="C1806" s="1" t="s">
        <v>209</v>
      </c>
      <c r="D1806" s="2">
        <f t="shared" si="109"/>
        <v>2014</v>
      </c>
      <c r="E1806" s="2">
        <f t="shared" si="110"/>
        <v>1</v>
      </c>
      <c r="F1806" s="3" t="s">
        <v>175</v>
      </c>
      <c r="G1806" s="4">
        <v>41662</v>
      </c>
      <c r="H1806" s="1">
        <v>6600935</v>
      </c>
      <c r="I1806" s="1">
        <v>1626764</v>
      </c>
      <c r="J1806" s="1" t="s">
        <v>191</v>
      </c>
      <c r="K1806" s="1" t="s">
        <v>210</v>
      </c>
      <c r="L1806" s="1" t="str">
        <f t="shared" si="111"/>
        <v>Vallentunasjön Va2</v>
      </c>
      <c r="M1806" s="1" t="s">
        <v>213</v>
      </c>
      <c r="N1806" s="1">
        <v>3</v>
      </c>
      <c r="O1806" s="1">
        <v>3</v>
      </c>
      <c r="Q1806" s="1">
        <v>1.1000000000000001</v>
      </c>
      <c r="R1806" s="1">
        <v>10.7</v>
      </c>
      <c r="S1806" s="1">
        <v>75</v>
      </c>
    </row>
    <row r="1807" spans="1:81" x14ac:dyDescent="0.3">
      <c r="A1807" s="1">
        <v>27581</v>
      </c>
      <c r="B1807" s="1" t="s">
        <v>208</v>
      </c>
      <c r="C1807" s="1" t="s">
        <v>209</v>
      </c>
      <c r="D1807" s="2">
        <f t="shared" si="109"/>
        <v>2014</v>
      </c>
      <c r="E1807" s="2">
        <f t="shared" si="110"/>
        <v>1</v>
      </c>
      <c r="F1807" s="3" t="s">
        <v>175</v>
      </c>
      <c r="G1807" s="4">
        <v>41662</v>
      </c>
      <c r="H1807" s="1">
        <v>6600935</v>
      </c>
      <c r="I1807" s="1">
        <v>1626764</v>
      </c>
      <c r="J1807" s="1" t="s">
        <v>191</v>
      </c>
      <c r="K1807" s="1" t="s">
        <v>210</v>
      </c>
      <c r="L1807" s="1" t="str">
        <f t="shared" si="111"/>
        <v>Vallentunasjön Va2</v>
      </c>
      <c r="M1807" s="1" t="s">
        <v>214</v>
      </c>
      <c r="N1807" s="1">
        <v>4</v>
      </c>
      <c r="O1807" s="1">
        <v>4</v>
      </c>
      <c r="Q1807" s="1">
        <v>1.9</v>
      </c>
      <c r="R1807" s="1">
        <v>6.6</v>
      </c>
      <c r="S1807" s="1">
        <v>47</v>
      </c>
    </row>
    <row r="1808" spans="1:81" x14ac:dyDescent="0.3">
      <c r="A1808" s="1">
        <v>27582</v>
      </c>
      <c r="B1808" s="1" t="s">
        <v>208</v>
      </c>
      <c r="C1808" s="1" t="s">
        <v>209</v>
      </c>
      <c r="D1808" s="2">
        <f t="shared" si="109"/>
        <v>2014</v>
      </c>
      <c r="E1808" s="2">
        <f t="shared" si="110"/>
        <v>1</v>
      </c>
      <c r="F1808" s="3" t="s">
        <v>175</v>
      </c>
      <c r="G1808" s="4">
        <v>41662</v>
      </c>
      <c r="H1808" s="1">
        <v>6600935</v>
      </c>
      <c r="I1808" s="1">
        <v>1626764</v>
      </c>
      <c r="J1808" s="1" t="s">
        <v>191</v>
      </c>
      <c r="K1808" s="1" t="s">
        <v>210</v>
      </c>
      <c r="L1808" s="1" t="str">
        <f t="shared" si="111"/>
        <v>Vallentunasjön Va2</v>
      </c>
      <c r="M1808" s="1" t="s">
        <v>184</v>
      </c>
      <c r="N1808" s="1">
        <v>4.5</v>
      </c>
      <c r="O1808" s="1">
        <v>4.5</v>
      </c>
      <c r="Q1808" s="1">
        <v>2.2999999999999998</v>
      </c>
      <c r="R1808" s="1">
        <v>2.7</v>
      </c>
      <c r="S1808" s="1">
        <v>20</v>
      </c>
    </row>
    <row r="1809" spans="1:52" x14ac:dyDescent="0.3">
      <c r="A1809" s="1">
        <v>27583</v>
      </c>
      <c r="B1809" s="1" t="s">
        <v>208</v>
      </c>
      <c r="C1809" s="1" t="s">
        <v>209</v>
      </c>
      <c r="D1809" s="2">
        <f t="shared" si="109"/>
        <v>2014</v>
      </c>
      <c r="E1809" s="2">
        <f t="shared" si="110"/>
        <v>1</v>
      </c>
      <c r="F1809" s="3" t="s">
        <v>175</v>
      </c>
      <c r="G1809" s="4">
        <v>41662</v>
      </c>
      <c r="J1809" s="1" t="s">
        <v>191</v>
      </c>
      <c r="K1809" s="1" t="s">
        <v>206</v>
      </c>
      <c r="L1809" s="1" t="str">
        <f t="shared" si="111"/>
        <v>Vallentunasjön Blandprov</v>
      </c>
      <c r="M1809" s="1" t="s">
        <v>177</v>
      </c>
      <c r="N1809" s="1">
        <v>4</v>
      </c>
      <c r="O1809" s="1">
        <v>0</v>
      </c>
      <c r="W1809" s="1">
        <v>362.32310000000001</v>
      </c>
      <c r="Z1809" s="1">
        <v>2.95</v>
      </c>
      <c r="AB1809" s="1">
        <v>25.608710833333301</v>
      </c>
      <c r="AD1809" s="1">
        <v>188.56</v>
      </c>
      <c r="AG1809" s="1">
        <v>8.9999999999999609</v>
      </c>
      <c r="AK1809" s="1">
        <v>37.56</v>
      </c>
      <c r="AL1809" s="1">
        <v>1394.87</v>
      </c>
    </row>
    <row r="1810" spans="1:52" x14ac:dyDescent="0.3">
      <c r="D1810" s="2">
        <f t="shared" si="109"/>
        <v>2014</v>
      </c>
      <c r="E1810" s="2">
        <f t="shared" si="110"/>
        <v>2</v>
      </c>
      <c r="F1810" s="3" t="s">
        <v>175</v>
      </c>
      <c r="G1810" s="4">
        <v>41679</v>
      </c>
      <c r="J1810" s="1" t="s">
        <v>181</v>
      </c>
      <c r="K1810" s="1"/>
      <c r="L1810" s="1" t="str">
        <f t="shared" si="111"/>
        <v xml:space="preserve">Fysingen </v>
      </c>
      <c r="M1810" s="1" t="s">
        <v>177</v>
      </c>
      <c r="N1810" s="1">
        <v>0.5</v>
      </c>
      <c r="O1810" s="1">
        <v>0.5</v>
      </c>
      <c r="Q1810" s="1">
        <v>0.5</v>
      </c>
      <c r="V1810" s="1">
        <v>1.8140000000000001</v>
      </c>
      <c r="W1810" s="1">
        <v>91</v>
      </c>
      <c r="X1810" s="1">
        <f>W1810 * (1/((10^((0.0901821 + (2729.92 /(273.15 + Q1810)))-AE1810)+1)))</f>
        <v>0.37249738292511986</v>
      </c>
      <c r="Y1810" s="1">
        <v>3.6999999999999998E-2</v>
      </c>
      <c r="Z1810" s="1">
        <v>6</v>
      </c>
      <c r="AA1810" s="1">
        <v>3.9</v>
      </c>
      <c r="AB1810" s="1">
        <v>5.4</v>
      </c>
      <c r="AC1810" s="1">
        <v>42.9</v>
      </c>
      <c r="AD1810" s="1">
        <v>994</v>
      </c>
      <c r="AE1810" s="1">
        <v>7.68</v>
      </c>
      <c r="AI1810" s="1">
        <v>8.4</v>
      </c>
      <c r="AK1810" s="1">
        <v>14.8</v>
      </c>
      <c r="AL1810" s="1">
        <v>1480</v>
      </c>
      <c r="AR1810" s="1">
        <v>45</v>
      </c>
      <c r="AS1810" s="1">
        <v>0.11</v>
      </c>
      <c r="AT1810" s="1">
        <v>4.8875000000000002</v>
      </c>
      <c r="AU1810" s="1">
        <v>9.4259000000000004</v>
      </c>
      <c r="AV1810" s="1">
        <v>30.983300000000003</v>
      </c>
      <c r="AW1810" s="1">
        <v>21.701239999999999</v>
      </c>
      <c r="AX1810" s="1">
        <v>66.837549999999993</v>
      </c>
      <c r="AY1810" s="1">
        <v>3.42</v>
      </c>
      <c r="AZ1810" s="1">
        <v>150</v>
      </c>
    </row>
    <row r="1811" spans="1:52" x14ac:dyDescent="0.3">
      <c r="A1811" s="6">
        <v>27814</v>
      </c>
      <c r="B1811" s="5" t="s">
        <v>230</v>
      </c>
      <c r="C1811" s="5" t="s">
        <v>231</v>
      </c>
      <c r="D1811" s="2">
        <f t="shared" si="109"/>
        <v>2014</v>
      </c>
      <c r="E1811" s="2">
        <f t="shared" si="110"/>
        <v>2</v>
      </c>
      <c r="F1811" s="3" t="s">
        <v>175</v>
      </c>
      <c r="G1811" s="7">
        <v>41682</v>
      </c>
      <c r="H1811" s="6">
        <v>6595400</v>
      </c>
      <c r="I1811" s="6">
        <v>1624045</v>
      </c>
      <c r="J1811" s="5" t="s">
        <v>183</v>
      </c>
      <c r="K1811" s="1"/>
      <c r="L1811" s="1" t="str">
        <f t="shared" si="111"/>
        <v xml:space="preserve">Fjäturen </v>
      </c>
      <c r="M1811" s="1" t="s">
        <v>177</v>
      </c>
      <c r="N1811" s="6">
        <v>0.5</v>
      </c>
      <c r="O1811" s="6">
        <v>0.5</v>
      </c>
      <c r="P1811" s="6">
        <v>3.5</v>
      </c>
      <c r="Q1811" s="6">
        <v>1.2</v>
      </c>
      <c r="R1811" s="6">
        <v>12.4</v>
      </c>
      <c r="S1811" s="6">
        <v>89</v>
      </c>
      <c r="W1811" s="6">
        <v>41.66</v>
      </c>
      <c r="Y1811" s="6">
        <v>6.9000000000000006E-2</v>
      </c>
      <c r="Z1811" s="6">
        <v>1.8399999999999999</v>
      </c>
      <c r="AA1811" s="6">
        <v>3</v>
      </c>
      <c r="AD1811" s="6">
        <v>249.64</v>
      </c>
      <c r="AK1811" s="6">
        <v>11.08</v>
      </c>
      <c r="AL1811" s="6">
        <v>704.89</v>
      </c>
      <c r="AM1811" s="6"/>
      <c r="AN1811" s="6"/>
      <c r="AO1811" s="6"/>
      <c r="AP1811" s="6"/>
      <c r="AQ1811" s="6"/>
    </row>
    <row r="1812" spans="1:52" x14ac:dyDescent="0.3">
      <c r="A1812" s="6">
        <v>27815</v>
      </c>
      <c r="B1812" s="5" t="s">
        <v>230</v>
      </c>
      <c r="C1812" s="5" t="s">
        <v>231</v>
      </c>
      <c r="D1812" s="2">
        <f t="shared" si="109"/>
        <v>2014</v>
      </c>
      <c r="E1812" s="2">
        <f t="shared" si="110"/>
        <v>2</v>
      </c>
      <c r="F1812" s="3" t="s">
        <v>175</v>
      </c>
      <c r="G1812" s="7">
        <v>41682</v>
      </c>
      <c r="H1812" s="6">
        <v>6595400</v>
      </c>
      <c r="I1812" s="6">
        <v>1624045</v>
      </c>
      <c r="J1812" s="5" t="s">
        <v>183</v>
      </c>
      <c r="K1812" s="1"/>
      <c r="L1812" s="1" t="str">
        <f t="shared" si="111"/>
        <v xml:space="preserve">Fjäturen </v>
      </c>
      <c r="M1812" s="5" t="s">
        <v>211</v>
      </c>
      <c r="N1812" s="6">
        <v>1</v>
      </c>
      <c r="O1812" s="6">
        <v>1</v>
      </c>
      <c r="Q1812" s="6">
        <v>1.2</v>
      </c>
      <c r="R1812" s="6">
        <v>12.3</v>
      </c>
      <c r="S1812" s="6">
        <v>89</v>
      </c>
    </row>
    <row r="1813" spans="1:52" x14ac:dyDescent="0.3">
      <c r="A1813" s="6">
        <v>27816</v>
      </c>
      <c r="B1813" s="5" t="s">
        <v>230</v>
      </c>
      <c r="C1813" s="5" t="s">
        <v>231</v>
      </c>
      <c r="D1813" s="2">
        <f t="shared" si="109"/>
        <v>2014</v>
      </c>
      <c r="E1813" s="2">
        <f t="shared" si="110"/>
        <v>2</v>
      </c>
      <c r="F1813" s="3" t="s">
        <v>175</v>
      </c>
      <c r="G1813" s="7">
        <v>41682</v>
      </c>
      <c r="H1813" s="6">
        <v>6595400</v>
      </c>
      <c r="I1813" s="6">
        <v>1624045</v>
      </c>
      <c r="J1813" s="5" t="s">
        <v>183</v>
      </c>
      <c r="K1813" s="1"/>
      <c r="L1813" s="1" t="str">
        <f t="shared" si="111"/>
        <v xml:space="preserve">Fjäturen </v>
      </c>
      <c r="M1813" s="5" t="s">
        <v>212</v>
      </c>
      <c r="N1813" s="6">
        <v>2</v>
      </c>
      <c r="O1813" s="6">
        <v>2</v>
      </c>
      <c r="Q1813" s="6">
        <v>1.2</v>
      </c>
      <c r="R1813" s="6">
        <v>12.3</v>
      </c>
      <c r="S1813" s="6">
        <v>88</v>
      </c>
    </row>
    <row r="1814" spans="1:52" x14ac:dyDescent="0.3">
      <c r="A1814" s="6">
        <v>27817</v>
      </c>
      <c r="B1814" s="5" t="s">
        <v>230</v>
      </c>
      <c r="C1814" s="5" t="s">
        <v>231</v>
      </c>
      <c r="D1814" s="2">
        <f t="shared" si="109"/>
        <v>2014</v>
      </c>
      <c r="E1814" s="2">
        <f t="shared" si="110"/>
        <v>2</v>
      </c>
      <c r="F1814" s="3" t="s">
        <v>175</v>
      </c>
      <c r="G1814" s="7">
        <v>41682</v>
      </c>
      <c r="H1814" s="6">
        <v>6595400</v>
      </c>
      <c r="I1814" s="6">
        <v>1624045</v>
      </c>
      <c r="J1814" s="5" t="s">
        <v>183</v>
      </c>
      <c r="K1814" s="1"/>
      <c r="L1814" s="1" t="str">
        <f t="shared" si="111"/>
        <v xml:space="preserve">Fjäturen </v>
      </c>
      <c r="M1814" s="5" t="s">
        <v>213</v>
      </c>
      <c r="N1814" s="6">
        <v>3</v>
      </c>
      <c r="O1814" s="6">
        <v>3</v>
      </c>
      <c r="Q1814" s="6">
        <v>1.3</v>
      </c>
      <c r="R1814" s="6">
        <v>11.8</v>
      </c>
      <c r="S1814" s="6">
        <v>85</v>
      </c>
    </row>
    <row r="1815" spans="1:52" x14ac:dyDescent="0.3">
      <c r="A1815" s="6">
        <v>27818</v>
      </c>
      <c r="B1815" s="5" t="s">
        <v>230</v>
      </c>
      <c r="C1815" s="5" t="s">
        <v>231</v>
      </c>
      <c r="D1815" s="2">
        <f t="shared" si="109"/>
        <v>2014</v>
      </c>
      <c r="E1815" s="2">
        <f t="shared" si="110"/>
        <v>2</v>
      </c>
      <c r="F1815" s="3" t="s">
        <v>175</v>
      </c>
      <c r="G1815" s="7">
        <v>41682</v>
      </c>
      <c r="H1815" s="6">
        <v>6595400</v>
      </c>
      <c r="I1815" s="6">
        <v>1624045</v>
      </c>
      <c r="J1815" s="5" t="s">
        <v>183</v>
      </c>
      <c r="K1815" s="1"/>
      <c r="L1815" s="1" t="str">
        <f t="shared" si="111"/>
        <v xml:space="preserve">Fjäturen </v>
      </c>
      <c r="M1815" s="5" t="s">
        <v>214</v>
      </c>
      <c r="N1815" s="6">
        <v>4</v>
      </c>
      <c r="O1815" s="6">
        <v>4</v>
      </c>
      <c r="Q1815" s="6">
        <v>1.5</v>
      </c>
      <c r="R1815" s="6">
        <v>10.7</v>
      </c>
      <c r="S1815" s="6">
        <v>77</v>
      </c>
    </row>
    <row r="1816" spans="1:52" x14ac:dyDescent="0.3">
      <c r="A1816" s="6">
        <v>27819</v>
      </c>
      <c r="B1816" s="5" t="s">
        <v>230</v>
      </c>
      <c r="C1816" s="5" t="s">
        <v>231</v>
      </c>
      <c r="D1816" s="2">
        <f t="shared" si="109"/>
        <v>2014</v>
      </c>
      <c r="E1816" s="2">
        <f t="shared" si="110"/>
        <v>2</v>
      </c>
      <c r="F1816" s="3" t="s">
        <v>175</v>
      </c>
      <c r="G1816" s="7">
        <v>41682</v>
      </c>
      <c r="H1816" s="6">
        <v>6595400</v>
      </c>
      <c r="I1816" s="6">
        <v>1624045</v>
      </c>
      <c r="J1816" s="5" t="s">
        <v>183</v>
      </c>
      <c r="K1816" s="1"/>
      <c r="L1816" s="1" t="str">
        <f t="shared" si="111"/>
        <v xml:space="preserve">Fjäturen </v>
      </c>
      <c r="M1816" s="5" t="s">
        <v>217</v>
      </c>
      <c r="N1816" s="6">
        <v>5</v>
      </c>
      <c r="O1816" s="6">
        <v>5</v>
      </c>
      <c r="Q1816" s="6">
        <v>1.6</v>
      </c>
      <c r="R1816" s="6">
        <v>10.3</v>
      </c>
      <c r="S1816" s="6">
        <v>75</v>
      </c>
    </row>
    <row r="1817" spans="1:52" x14ac:dyDescent="0.3">
      <c r="A1817" s="6">
        <v>27820</v>
      </c>
      <c r="B1817" s="5" t="s">
        <v>230</v>
      </c>
      <c r="C1817" s="5" t="s">
        <v>231</v>
      </c>
      <c r="D1817" s="2">
        <f t="shared" si="109"/>
        <v>2014</v>
      </c>
      <c r="E1817" s="2">
        <f t="shared" si="110"/>
        <v>2</v>
      </c>
      <c r="F1817" s="3" t="s">
        <v>175</v>
      </c>
      <c r="G1817" s="7">
        <v>41682</v>
      </c>
      <c r="H1817" s="6">
        <v>6595400</v>
      </c>
      <c r="I1817" s="6">
        <v>1624045</v>
      </c>
      <c r="J1817" s="5" t="s">
        <v>183</v>
      </c>
      <c r="K1817" s="1"/>
      <c r="L1817" s="1" t="str">
        <f t="shared" si="111"/>
        <v xml:space="preserve">Fjäturen </v>
      </c>
      <c r="M1817" s="1" t="s">
        <v>184</v>
      </c>
      <c r="N1817" s="6">
        <v>5.7</v>
      </c>
      <c r="O1817" s="6">
        <v>5.7</v>
      </c>
      <c r="Q1817" s="6">
        <v>1.8</v>
      </c>
      <c r="R1817" s="6">
        <v>9.5</v>
      </c>
      <c r="S1817" s="6">
        <v>70</v>
      </c>
      <c r="W1817" s="6">
        <v>7.7572999999999999</v>
      </c>
      <c r="Y1817" s="6">
        <v>8.4000000000000005E-2</v>
      </c>
      <c r="Z1817" s="6">
        <v>3.7199999999999998</v>
      </c>
      <c r="AA1817" s="6">
        <v>3.8</v>
      </c>
      <c r="AD1817" s="6">
        <v>244.17</v>
      </c>
      <c r="AK1817" s="6">
        <v>16.23</v>
      </c>
      <c r="AL1817" s="6">
        <v>795.73</v>
      </c>
      <c r="AM1817" s="6"/>
      <c r="AN1817" s="6"/>
      <c r="AO1817" s="6"/>
      <c r="AP1817" s="6"/>
      <c r="AQ1817" s="6"/>
    </row>
    <row r="1818" spans="1:52" x14ac:dyDescent="0.3">
      <c r="A1818" s="6">
        <v>27821</v>
      </c>
      <c r="B1818" s="5" t="s">
        <v>230</v>
      </c>
      <c r="C1818" s="5" t="s">
        <v>231</v>
      </c>
      <c r="D1818" s="2">
        <f t="shared" si="109"/>
        <v>2014</v>
      </c>
      <c r="E1818" s="2">
        <f t="shared" si="110"/>
        <v>2</v>
      </c>
      <c r="F1818" s="3" t="s">
        <v>175</v>
      </c>
      <c r="G1818" s="7">
        <v>41682</v>
      </c>
      <c r="H1818" s="6">
        <v>6595515</v>
      </c>
      <c r="I1818" s="6">
        <v>1624630</v>
      </c>
      <c r="J1818" s="5" t="s">
        <v>207</v>
      </c>
      <c r="K1818" s="1"/>
      <c r="L1818" s="1" t="str">
        <f t="shared" si="111"/>
        <v xml:space="preserve">Käringsjön </v>
      </c>
      <c r="M1818" s="1" t="s">
        <v>177</v>
      </c>
      <c r="N1818" s="6">
        <v>0.5</v>
      </c>
      <c r="O1818" s="6">
        <v>1</v>
      </c>
      <c r="P1818" s="6">
        <v>1</v>
      </c>
      <c r="Q1818" s="6">
        <v>1.3</v>
      </c>
      <c r="R1818" s="6">
        <v>9.1999999999999993</v>
      </c>
      <c r="S1818" s="6">
        <v>67</v>
      </c>
      <c r="W1818" s="6">
        <v>0</v>
      </c>
      <c r="Y1818" s="6">
        <v>0.64300000000000002</v>
      </c>
      <c r="Z1818" s="6">
        <v>9.94</v>
      </c>
      <c r="AA1818" s="6">
        <v>3.3</v>
      </c>
      <c r="AD1818" s="6">
        <v>250.47</v>
      </c>
      <c r="AK1818" s="6">
        <v>27.62</v>
      </c>
      <c r="AL1818" s="6">
        <v>1201.75</v>
      </c>
      <c r="AM1818" s="6"/>
      <c r="AN1818" s="6"/>
      <c r="AO1818" s="6"/>
      <c r="AP1818" s="6"/>
      <c r="AQ1818" s="6"/>
    </row>
    <row r="1819" spans="1:52" x14ac:dyDescent="0.3">
      <c r="A1819" s="6">
        <v>27822</v>
      </c>
      <c r="B1819" s="5" t="s">
        <v>230</v>
      </c>
      <c r="C1819" s="5" t="s">
        <v>231</v>
      </c>
      <c r="D1819" s="2">
        <f t="shared" si="109"/>
        <v>2014</v>
      </c>
      <c r="E1819" s="2">
        <f t="shared" si="110"/>
        <v>2</v>
      </c>
      <c r="F1819" s="3" t="s">
        <v>175</v>
      </c>
      <c r="G1819" s="7">
        <v>41682</v>
      </c>
      <c r="H1819" s="6">
        <v>6595515</v>
      </c>
      <c r="I1819" s="6">
        <v>1624630</v>
      </c>
      <c r="J1819" s="5" t="s">
        <v>207</v>
      </c>
      <c r="K1819" s="1"/>
      <c r="L1819" s="1" t="str">
        <f t="shared" si="111"/>
        <v xml:space="preserve">Käringsjön </v>
      </c>
      <c r="M1819" s="5" t="s">
        <v>211</v>
      </c>
      <c r="N1819" s="6">
        <v>1</v>
      </c>
      <c r="O1819" s="6">
        <v>1</v>
      </c>
      <c r="Q1819" s="6">
        <v>1.9</v>
      </c>
      <c r="R1819" s="6">
        <v>9.3000000000000007</v>
      </c>
      <c r="S1819" s="6">
        <v>68</v>
      </c>
    </row>
    <row r="1820" spans="1:52" x14ac:dyDescent="0.3">
      <c r="A1820" s="6">
        <v>27823</v>
      </c>
      <c r="B1820" s="5" t="s">
        <v>230</v>
      </c>
      <c r="C1820" s="5" t="s">
        <v>231</v>
      </c>
      <c r="D1820" s="2">
        <f t="shared" si="109"/>
        <v>2014</v>
      </c>
      <c r="E1820" s="2">
        <f t="shared" si="110"/>
        <v>2</v>
      </c>
      <c r="F1820" s="3" t="s">
        <v>175</v>
      </c>
      <c r="G1820" s="7">
        <v>41682</v>
      </c>
      <c r="H1820" s="6">
        <v>6595515</v>
      </c>
      <c r="I1820" s="6">
        <v>1624630</v>
      </c>
      <c r="J1820" s="5" t="s">
        <v>207</v>
      </c>
      <c r="K1820" s="1"/>
      <c r="L1820" s="1" t="str">
        <f t="shared" si="111"/>
        <v xml:space="preserve">Käringsjön </v>
      </c>
      <c r="M1820" s="5" t="s">
        <v>212</v>
      </c>
      <c r="N1820" s="6">
        <v>2</v>
      </c>
      <c r="O1820" s="6">
        <v>2</v>
      </c>
      <c r="Q1820" s="6">
        <v>2.7</v>
      </c>
      <c r="R1820" s="6">
        <v>8.6</v>
      </c>
      <c r="S1820" s="6">
        <v>65</v>
      </c>
    </row>
    <row r="1821" spans="1:52" x14ac:dyDescent="0.3">
      <c r="A1821" s="6">
        <v>27824</v>
      </c>
      <c r="B1821" s="5" t="s">
        <v>230</v>
      </c>
      <c r="C1821" s="5" t="s">
        <v>231</v>
      </c>
      <c r="D1821" s="2">
        <f t="shared" si="109"/>
        <v>2014</v>
      </c>
      <c r="E1821" s="2">
        <f t="shared" si="110"/>
        <v>2</v>
      </c>
      <c r="F1821" s="3" t="s">
        <v>175</v>
      </c>
      <c r="G1821" s="7">
        <v>41682</v>
      </c>
      <c r="H1821" s="6">
        <v>6595515</v>
      </c>
      <c r="I1821" s="6">
        <v>1624630</v>
      </c>
      <c r="J1821" s="5" t="s">
        <v>207</v>
      </c>
      <c r="K1821" s="1"/>
      <c r="L1821" s="1" t="str">
        <f t="shared" si="111"/>
        <v xml:space="preserve">Käringsjön </v>
      </c>
      <c r="M1821" s="5" t="s">
        <v>213</v>
      </c>
      <c r="N1821" s="6">
        <v>3</v>
      </c>
      <c r="O1821" s="6">
        <v>3</v>
      </c>
      <c r="Q1821" s="6">
        <v>3</v>
      </c>
      <c r="R1821" s="6">
        <v>5.0999999999999996</v>
      </c>
      <c r="S1821" s="6">
        <v>39</v>
      </c>
    </row>
    <row r="1822" spans="1:52" x14ac:dyDescent="0.3">
      <c r="A1822" s="6">
        <v>27825</v>
      </c>
      <c r="B1822" s="5" t="s">
        <v>230</v>
      </c>
      <c r="C1822" s="5" t="s">
        <v>231</v>
      </c>
      <c r="D1822" s="2">
        <f t="shared" si="109"/>
        <v>2014</v>
      </c>
      <c r="E1822" s="2">
        <f t="shared" si="110"/>
        <v>2</v>
      </c>
      <c r="F1822" s="3" t="s">
        <v>175</v>
      </c>
      <c r="G1822" s="7">
        <v>41682</v>
      </c>
      <c r="H1822" s="6">
        <v>6595515</v>
      </c>
      <c r="I1822" s="6">
        <v>1624630</v>
      </c>
      <c r="J1822" s="5" t="s">
        <v>207</v>
      </c>
      <c r="K1822" s="1"/>
      <c r="L1822" s="1" t="str">
        <f t="shared" si="111"/>
        <v xml:space="preserve">Käringsjön </v>
      </c>
      <c r="M1822" s="1" t="s">
        <v>184</v>
      </c>
      <c r="N1822" s="6">
        <v>3.5</v>
      </c>
      <c r="O1822" s="6">
        <v>3.5</v>
      </c>
      <c r="Q1822" s="6">
        <v>3.2</v>
      </c>
      <c r="R1822" s="6">
        <v>4.2</v>
      </c>
      <c r="S1822" s="6">
        <v>32</v>
      </c>
      <c r="W1822" s="6">
        <v>0</v>
      </c>
      <c r="Y1822" s="6">
        <v>0.63700000000000001</v>
      </c>
      <c r="Z1822" s="6">
        <v>10.48</v>
      </c>
      <c r="AA1822" s="6">
        <v>2</v>
      </c>
      <c r="AD1822" s="6">
        <v>224.56</v>
      </c>
      <c r="AK1822" s="6">
        <v>25.77</v>
      </c>
      <c r="AL1822" s="6">
        <v>1249.94</v>
      </c>
      <c r="AM1822" s="6"/>
      <c r="AN1822" s="6"/>
      <c r="AO1822" s="6"/>
      <c r="AP1822" s="6"/>
      <c r="AQ1822" s="6"/>
    </row>
    <row r="1823" spans="1:52" x14ac:dyDescent="0.3">
      <c r="A1823" s="6">
        <v>27826</v>
      </c>
      <c r="B1823" s="5" t="s">
        <v>230</v>
      </c>
      <c r="C1823" s="5" t="s">
        <v>231</v>
      </c>
      <c r="D1823" s="2">
        <f t="shared" si="109"/>
        <v>2014</v>
      </c>
      <c r="E1823" s="2">
        <f t="shared" si="110"/>
        <v>2</v>
      </c>
      <c r="F1823" s="3" t="s">
        <v>175</v>
      </c>
      <c r="G1823" s="7">
        <v>41682</v>
      </c>
      <c r="H1823" s="6">
        <v>6599695</v>
      </c>
      <c r="I1823" s="6">
        <v>1617290</v>
      </c>
      <c r="J1823" s="5" t="s">
        <v>182</v>
      </c>
      <c r="K1823" s="1"/>
      <c r="L1823" s="1" t="str">
        <f t="shared" si="111"/>
        <v xml:space="preserve">Edssjön </v>
      </c>
      <c r="M1823" s="1" t="s">
        <v>177</v>
      </c>
      <c r="N1823" s="6">
        <v>0.5</v>
      </c>
      <c r="O1823" s="6">
        <v>0.5</v>
      </c>
      <c r="P1823" s="6">
        <v>1.4</v>
      </c>
      <c r="Q1823" s="6">
        <v>1.1000000000000001</v>
      </c>
      <c r="R1823" s="6">
        <v>11.4</v>
      </c>
      <c r="S1823" s="6">
        <v>82</v>
      </c>
      <c r="W1823" s="6">
        <v>36.287700000000001</v>
      </c>
      <c r="Y1823" s="6">
        <v>6.9000000000000006E-2</v>
      </c>
      <c r="Z1823" s="6">
        <v>29.03</v>
      </c>
      <c r="AA1823" s="6">
        <v>8.1</v>
      </c>
      <c r="AD1823" s="6">
        <v>617.83000000000004</v>
      </c>
      <c r="AK1823" s="6">
        <v>48.24</v>
      </c>
      <c r="AL1823" s="6">
        <v>1179.53</v>
      </c>
      <c r="AM1823" s="6"/>
      <c r="AN1823" s="6"/>
      <c r="AO1823" s="6"/>
      <c r="AP1823" s="6"/>
      <c r="AQ1823" s="6"/>
    </row>
    <row r="1824" spans="1:52" x14ac:dyDescent="0.3">
      <c r="A1824" s="6">
        <v>27827</v>
      </c>
      <c r="B1824" s="5" t="s">
        <v>230</v>
      </c>
      <c r="C1824" s="5" t="s">
        <v>231</v>
      </c>
      <c r="D1824" s="2">
        <f t="shared" si="109"/>
        <v>2014</v>
      </c>
      <c r="E1824" s="2">
        <f t="shared" si="110"/>
        <v>2</v>
      </c>
      <c r="F1824" s="3" t="s">
        <v>175</v>
      </c>
      <c r="G1824" s="7">
        <v>41682</v>
      </c>
      <c r="H1824" s="6">
        <v>6599695</v>
      </c>
      <c r="I1824" s="6">
        <v>1617290</v>
      </c>
      <c r="J1824" s="5" t="s">
        <v>182</v>
      </c>
      <c r="K1824" s="1"/>
      <c r="L1824" s="1" t="str">
        <f t="shared" si="111"/>
        <v xml:space="preserve">Edssjön </v>
      </c>
      <c r="M1824" s="5" t="s">
        <v>211</v>
      </c>
      <c r="N1824" s="6">
        <v>1</v>
      </c>
      <c r="O1824" s="6">
        <v>1</v>
      </c>
      <c r="Q1824" s="6">
        <v>1.2</v>
      </c>
      <c r="R1824" s="6">
        <v>11.4</v>
      </c>
      <c r="S1824" s="6">
        <v>82</v>
      </c>
    </row>
    <row r="1825" spans="1:43" x14ac:dyDescent="0.3">
      <c r="A1825" s="6">
        <v>27828</v>
      </c>
      <c r="B1825" s="5" t="s">
        <v>230</v>
      </c>
      <c r="C1825" s="5" t="s">
        <v>231</v>
      </c>
      <c r="D1825" s="2">
        <f t="shared" si="109"/>
        <v>2014</v>
      </c>
      <c r="E1825" s="2">
        <f t="shared" si="110"/>
        <v>2</v>
      </c>
      <c r="F1825" s="3" t="s">
        <v>175</v>
      </c>
      <c r="G1825" s="7">
        <v>41682</v>
      </c>
      <c r="H1825" s="6">
        <v>6599695</v>
      </c>
      <c r="I1825" s="6">
        <v>1617290</v>
      </c>
      <c r="J1825" s="5" t="s">
        <v>182</v>
      </c>
      <c r="K1825" s="1"/>
      <c r="L1825" s="1" t="str">
        <f t="shared" si="111"/>
        <v xml:space="preserve">Edssjön </v>
      </c>
      <c r="M1825" s="5" t="s">
        <v>212</v>
      </c>
      <c r="N1825" s="6">
        <v>2</v>
      </c>
      <c r="O1825" s="6">
        <v>2</v>
      </c>
      <c r="Q1825" s="6">
        <v>1.2</v>
      </c>
      <c r="R1825" s="6">
        <v>11.5</v>
      </c>
      <c r="S1825" s="6">
        <v>82</v>
      </c>
    </row>
    <row r="1826" spans="1:43" x14ac:dyDescent="0.3">
      <c r="A1826" s="6">
        <v>27829</v>
      </c>
      <c r="B1826" s="5" t="s">
        <v>230</v>
      </c>
      <c r="C1826" s="5" t="s">
        <v>231</v>
      </c>
      <c r="D1826" s="2">
        <f t="shared" si="109"/>
        <v>2014</v>
      </c>
      <c r="E1826" s="2">
        <f t="shared" si="110"/>
        <v>2</v>
      </c>
      <c r="F1826" s="3" t="s">
        <v>175</v>
      </c>
      <c r="G1826" s="7">
        <v>41682</v>
      </c>
      <c r="H1826" s="6">
        <v>6599695</v>
      </c>
      <c r="I1826" s="6">
        <v>1617290</v>
      </c>
      <c r="J1826" s="5" t="s">
        <v>182</v>
      </c>
      <c r="K1826" s="1"/>
      <c r="L1826" s="1" t="str">
        <f t="shared" si="111"/>
        <v xml:space="preserve">Edssjön </v>
      </c>
      <c r="M1826" s="5" t="s">
        <v>213</v>
      </c>
      <c r="N1826" s="6">
        <v>3</v>
      </c>
      <c r="O1826" s="6">
        <v>3</v>
      </c>
      <c r="Q1826" s="6">
        <v>1.3</v>
      </c>
      <c r="R1826" s="6">
        <v>10.6</v>
      </c>
      <c r="S1826" s="6">
        <v>77</v>
      </c>
    </row>
    <row r="1827" spans="1:43" x14ac:dyDescent="0.3">
      <c r="A1827" s="6">
        <v>27830</v>
      </c>
      <c r="B1827" s="5" t="s">
        <v>230</v>
      </c>
      <c r="C1827" s="5" t="s">
        <v>231</v>
      </c>
      <c r="D1827" s="2">
        <f t="shared" si="109"/>
        <v>2014</v>
      </c>
      <c r="E1827" s="2">
        <f t="shared" si="110"/>
        <v>2</v>
      </c>
      <c r="F1827" s="3" t="s">
        <v>175</v>
      </c>
      <c r="G1827" s="7">
        <v>41682</v>
      </c>
      <c r="H1827" s="6">
        <v>6599695</v>
      </c>
      <c r="I1827" s="6">
        <v>1617290</v>
      </c>
      <c r="J1827" s="5" t="s">
        <v>182</v>
      </c>
      <c r="K1827" s="1"/>
      <c r="L1827" s="1" t="str">
        <f t="shared" si="111"/>
        <v xml:space="preserve">Edssjön </v>
      </c>
      <c r="M1827" s="5" t="s">
        <v>214</v>
      </c>
      <c r="N1827" s="6">
        <v>4</v>
      </c>
      <c r="O1827" s="6">
        <v>4</v>
      </c>
      <c r="Q1827" s="6">
        <v>1.9</v>
      </c>
      <c r="R1827" s="6">
        <v>7.5</v>
      </c>
      <c r="S1827" s="6">
        <v>53</v>
      </c>
    </row>
    <row r="1828" spans="1:43" x14ac:dyDescent="0.3">
      <c r="A1828" s="6">
        <v>27831</v>
      </c>
      <c r="B1828" s="5" t="s">
        <v>230</v>
      </c>
      <c r="C1828" s="5" t="s">
        <v>231</v>
      </c>
      <c r="D1828" s="2">
        <f t="shared" si="109"/>
        <v>2014</v>
      </c>
      <c r="E1828" s="2">
        <f t="shared" si="110"/>
        <v>2</v>
      </c>
      <c r="F1828" s="3" t="s">
        <v>175</v>
      </c>
      <c r="G1828" s="7">
        <v>41682</v>
      </c>
      <c r="H1828" s="6">
        <v>6599695</v>
      </c>
      <c r="I1828" s="6">
        <v>1617290</v>
      </c>
      <c r="J1828" s="5" t="s">
        <v>182</v>
      </c>
      <c r="K1828" s="1"/>
      <c r="L1828" s="1" t="str">
        <f t="shared" si="111"/>
        <v xml:space="preserve">Edssjön </v>
      </c>
      <c r="M1828" s="1" t="s">
        <v>184</v>
      </c>
      <c r="N1828" s="6">
        <v>5.3</v>
      </c>
      <c r="O1828" s="6">
        <v>5.3</v>
      </c>
      <c r="Q1828" s="6">
        <v>2.5</v>
      </c>
      <c r="R1828" s="6">
        <v>5.0999999999999996</v>
      </c>
      <c r="S1828" s="6">
        <v>38</v>
      </c>
      <c r="W1828" s="6">
        <v>171.77</v>
      </c>
      <c r="Y1828" s="6">
        <v>8.5000000000000006E-2</v>
      </c>
      <c r="Z1828" s="6">
        <v>48.75</v>
      </c>
      <c r="AA1828" s="6">
        <v>7.6</v>
      </c>
      <c r="AD1828" s="6">
        <v>747.85</v>
      </c>
      <c r="AK1828" s="6">
        <v>67</v>
      </c>
      <c r="AL1828" s="6">
        <v>1517.59</v>
      </c>
      <c r="AM1828" s="6"/>
      <c r="AN1828" s="6"/>
      <c r="AO1828" s="6"/>
      <c r="AP1828" s="6"/>
      <c r="AQ1828" s="6"/>
    </row>
    <row r="1829" spans="1:43" x14ac:dyDescent="0.3">
      <c r="A1829" s="6">
        <v>27832</v>
      </c>
      <c r="B1829" s="5" t="s">
        <v>230</v>
      </c>
      <c r="C1829" s="5" t="s">
        <v>231</v>
      </c>
      <c r="D1829" s="2">
        <f t="shared" si="109"/>
        <v>2014</v>
      </c>
      <c r="E1829" s="2">
        <f t="shared" si="110"/>
        <v>2</v>
      </c>
      <c r="F1829" s="3" t="s">
        <v>175</v>
      </c>
      <c r="G1829" s="7">
        <v>41682</v>
      </c>
      <c r="H1829" s="6">
        <v>6593820</v>
      </c>
      <c r="I1829" s="6">
        <v>1619360</v>
      </c>
      <c r="J1829" s="5" t="s">
        <v>188</v>
      </c>
      <c r="K1829" s="1"/>
      <c r="L1829" s="1" t="str">
        <f t="shared" si="111"/>
        <v xml:space="preserve">Ravalen </v>
      </c>
      <c r="M1829" s="1" t="s">
        <v>177</v>
      </c>
      <c r="N1829" s="6">
        <v>0.5</v>
      </c>
      <c r="O1829" s="6">
        <v>0.5</v>
      </c>
      <c r="P1829" s="6">
        <v>0.8</v>
      </c>
      <c r="Q1829" s="6">
        <v>1</v>
      </c>
      <c r="R1829" s="6">
        <v>10.7</v>
      </c>
      <c r="S1829" s="6">
        <v>76</v>
      </c>
      <c r="W1829" s="6">
        <v>96.709699999999998</v>
      </c>
      <c r="Y1829" s="6">
        <v>0.222</v>
      </c>
      <c r="Z1829" s="6">
        <v>50.97</v>
      </c>
      <c r="AA1829" s="6">
        <v>24</v>
      </c>
      <c r="AD1829" s="6">
        <v>655.1</v>
      </c>
      <c r="AK1829" s="6">
        <v>153.1</v>
      </c>
      <c r="AL1829" s="6">
        <v>1864.67</v>
      </c>
      <c r="AM1829" s="6"/>
      <c r="AN1829" s="6"/>
      <c r="AO1829" s="6"/>
      <c r="AP1829" s="6"/>
      <c r="AQ1829" s="6"/>
    </row>
    <row r="1830" spans="1:43" x14ac:dyDescent="0.3">
      <c r="A1830" s="6">
        <v>27833</v>
      </c>
      <c r="B1830" s="5" t="s">
        <v>230</v>
      </c>
      <c r="C1830" s="5" t="s">
        <v>231</v>
      </c>
      <c r="D1830" s="2">
        <f t="shared" si="109"/>
        <v>2014</v>
      </c>
      <c r="E1830" s="2">
        <f t="shared" si="110"/>
        <v>2</v>
      </c>
      <c r="F1830" s="3" t="s">
        <v>175</v>
      </c>
      <c r="G1830" s="7">
        <v>41682</v>
      </c>
      <c r="H1830" s="6">
        <v>6593820</v>
      </c>
      <c r="I1830" s="6">
        <v>1619360</v>
      </c>
      <c r="J1830" s="5" t="s">
        <v>188</v>
      </c>
      <c r="K1830" s="1"/>
      <c r="L1830" s="1" t="str">
        <f t="shared" si="111"/>
        <v xml:space="preserve">Ravalen </v>
      </c>
      <c r="M1830" s="5" t="s">
        <v>211</v>
      </c>
      <c r="N1830" s="6">
        <v>1</v>
      </c>
      <c r="O1830" s="6">
        <v>1</v>
      </c>
      <c r="Q1830" s="6">
        <v>1.9</v>
      </c>
      <c r="R1830" s="6">
        <v>7.9</v>
      </c>
      <c r="S1830" s="6">
        <v>58</v>
      </c>
    </row>
    <row r="1831" spans="1:43" x14ac:dyDescent="0.3">
      <c r="A1831" s="6">
        <v>27834</v>
      </c>
      <c r="B1831" s="5" t="s">
        <v>230</v>
      </c>
      <c r="C1831" s="5" t="s">
        <v>231</v>
      </c>
      <c r="D1831" s="2">
        <f t="shared" si="109"/>
        <v>2014</v>
      </c>
      <c r="E1831" s="2">
        <f t="shared" si="110"/>
        <v>2</v>
      </c>
      <c r="F1831" s="3" t="s">
        <v>175</v>
      </c>
      <c r="G1831" s="7">
        <v>41682</v>
      </c>
      <c r="H1831" s="6">
        <v>6593820</v>
      </c>
      <c r="I1831" s="6">
        <v>1619360</v>
      </c>
      <c r="J1831" s="5" t="s">
        <v>188</v>
      </c>
      <c r="K1831" s="1"/>
      <c r="L1831" s="1" t="str">
        <f t="shared" si="111"/>
        <v xml:space="preserve">Ravalen </v>
      </c>
      <c r="M1831" s="1" t="s">
        <v>184</v>
      </c>
      <c r="N1831" s="6">
        <v>1.7</v>
      </c>
      <c r="O1831" s="6">
        <v>1.7</v>
      </c>
      <c r="Q1831" s="6">
        <v>2.7</v>
      </c>
      <c r="R1831" s="6">
        <v>1.1000000000000001</v>
      </c>
      <c r="S1831" s="6">
        <v>8</v>
      </c>
      <c r="W1831" s="6">
        <v>21.856400000000001</v>
      </c>
      <c r="Y1831" s="6">
        <v>0.13100000000000001</v>
      </c>
      <c r="Z1831" s="6">
        <v>7.83</v>
      </c>
      <c r="AA1831" s="6">
        <v>6.5</v>
      </c>
      <c r="AD1831" s="6">
        <v>224.12</v>
      </c>
      <c r="AK1831" s="6">
        <v>47.68</v>
      </c>
      <c r="AL1831" s="6">
        <v>1000.48</v>
      </c>
      <c r="AM1831" s="6"/>
      <c r="AN1831" s="6"/>
      <c r="AO1831" s="6"/>
      <c r="AP1831" s="6"/>
      <c r="AQ1831" s="6"/>
    </row>
    <row r="1832" spans="1:43" x14ac:dyDescent="0.3">
      <c r="A1832" s="6">
        <v>27835</v>
      </c>
      <c r="B1832" s="5" t="s">
        <v>230</v>
      </c>
      <c r="C1832" s="5" t="s">
        <v>231</v>
      </c>
      <c r="D1832" s="2">
        <f t="shared" si="109"/>
        <v>2014</v>
      </c>
      <c r="E1832" s="2">
        <f t="shared" si="110"/>
        <v>2</v>
      </c>
      <c r="F1832" s="3" t="s">
        <v>175</v>
      </c>
      <c r="G1832" s="7">
        <v>41682</v>
      </c>
      <c r="H1832" s="6">
        <v>6594420</v>
      </c>
      <c r="I1832" s="6">
        <v>1615795</v>
      </c>
      <c r="J1832" s="5" t="s">
        <v>193</v>
      </c>
      <c r="K1832" s="1"/>
      <c r="L1832" s="1" t="str">
        <f t="shared" si="111"/>
        <v xml:space="preserve">Översjön </v>
      </c>
      <c r="M1832" s="1" t="s">
        <v>177</v>
      </c>
      <c r="N1832" s="6">
        <v>0.5</v>
      </c>
      <c r="O1832" s="6">
        <v>0.5</v>
      </c>
      <c r="P1832" s="6">
        <v>3.7</v>
      </c>
      <c r="Q1832" s="6">
        <v>1.2</v>
      </c>
      <c r="R1832" s="6">
        <v>12.2</v>
      </c>
      <c r="S1832" s="6">
        <v>88</v>
      </c>
      <c r="W1832" s="6">
        <v>248.59899999999999</v>
      </c>
      <c r="Y1832" s="6">
        <v>6.3E-2</v>
      </c>
      <c r="Z1832" s="6">
        <v>0.5</v>
      </c>
      <c r="AA1832" s="6">
        <v>2</v>
      </c>
      <c r="AD1832" s="6">
        <v>150.38999999999999</v>
      </c>
      <c r="AK1832" s="6">
        <v>11.59</v>
      </c>
      <c r="AL1832" s="6">
        <v>892.84</v>
      </c>
      <c r="AM1832" s="6"/>
      <c r="AN1832" s="6"/>
      <c r="AO1832" s="6"/>
      <c r="AP1832" s="6"/>
      <c r="AQ1832" s="6"/>
    </row>
    <row r="1833" spans="1:43" x14ac:dyDescent="0.3">
      <c r="A1833" s="6">
        <v>27836</v>
      </c>
      <c r="B1833" s="5" t="s">
        <v>230</v>
      </c>
      <c r="C1833" s="5" t="s">
        <v>231</v>
      </c>
      <c r="D1833" s="2">
        <f t="shared" si="109"/>
        <v>2014</v>
      </c>
      <c r="E1833" s="2">
        <f t="shared" si="110"/>
        <v>2</v>
      </c>
      <c r="F1833" s="3" t="s">
        <v>175</v>
      </c>
      <c r="G1833" s="7">
        <v>41682</v>
      </c>
      <c r="H1833" s="6">
        <v>6594420</v>
      </c>
      <c r="I1833" s="6">
        <v>1615795</v>
      </c>
      <c r="J1833" s="5" t="s">
        <v>193</v>
      </c>
      <c r="K1833" s="1"/>
      <c r="L1833" s="1" t="str">
        <f t="shared" si="111"/>
        <v xml:space="preserve">Översjön </v>
      </c>
      <c r="M1833" s="5" t="s">
        <v>211</v>
      </c>
      <c r="N1833" s="6">
        <v>1</v>
      </c>
      <c r="O1833" s="6">
        <v>1</v>
      </c>
      <c r="Q1833" s="6">
        <v>1.2</v>
      </c>
      <c r="R1833" s="6">
        <v>12.2</v>
      </c>
      <c r="S1833" s="6">
        <v>88</v>
      </c>
    </row>
    <row r="1834" spans="1:43" x14ac:dyDescent="0.3">
      <c r="A1834" s="6">
        <v>27837</v>
      </c>
      <c r="B1834" s="5" t="s">
        <v>230</v>
      </c>
      <c r="C1834" s="5" t="s">
        <v>231</v>
      </c>
      <c r="D1834" s="2">
        <f t="shared" si="109"/>
        <v>2014</v>
      </c>
      <c r="E1834" s="2">
        <f t="shared" si="110"/>
        <v>2</v>
      </c>
      <c r="F1834" s="3" t="s">
        <v>175</v>
      </c>
      <c r="G1834" s="7">
        <v>41682</v>
      </c>
      <c r="H1834" s="6">
        <v>6594420</v>
      </c>
      <c r="I1834" s="6">
        <v>1615795</v>
      </c>
      <c r="J1834" s="5" t="s">
        <v>193</v>
      </c>
      <c r="K1834" s="1"/>
      <c r="L1834" s="1" t="str">
        <f t="shared" si="111"/>
        <v xml:space="preserve">Översjön </v>
      </c>
      <c r="M1834" s="5" t="s">
        <v>212</v>
      </c>
      <c r="N1834" s="6">
        <v>2</v>
      </c>
      <c r="O1834" s="6">
        <v>2</v>
      </c>
      <c r="Q1834" s="6">
        <v>1.6</v>
      </c>
      <c r="R1834" s="6">
        <v>11.9</v>
      </c>
      <c r="S1834" s="6">
        <v>86</v>
      </c>
    </row>
    <row r="1835" spans="1:43" x14ac:dyDescent="0.3">
      <c r="A1835" s="6">
        <v>27838</v>
      </c>
      <c r="B1835" s="5" t="s">
        <v>230</v>
      </c>
      <c r="C1835" s="5" t="s">
        <v>231</v>
      </c>
      <c r="D1835" s="2">
        <f t="shared" si="109"/>
        <v>2014</v>
      </c>
      <c r="E1835" s="2">
        <f t="shared" si="110"/>
        <v>2</v>
      </c>
      <c r="F1835" s="3" t="s">
        <v>175</v>
      </c>
      <c r="G1835" s="7">
        <v>41682</v>
      </c>
      <c r="H1835" s="6">
        <v>6594420</v>
      </c>
      <c r="I1835" s="6">
        <v>1615795</v>
      </c>
      <c r="J1835" s="5" t="s">
        <v>193</v>
      </c>
      <c r="K1835" s="1"/>
      <c r="L1835" s="1" t="str">
        <f t="shared" si="111"/>
        <v xml:space="preserve">Översjön </v>
      </c>
      <c r="M1835" s="5" t="s">
        <v>213</v>
      </c>
      <c r="N1835" s="6">
        <v>3</v>
      </c>
      <c r="O1835" s="6">
        <v>3</v>
      </c>
      <c r="Q1835" s="6">
        <v>2.8</v>
      </c>
      <c r="R1835" s="6">
        <v>5.3</v>
      </c>
      <c r="S1835" s="6">
        <v>40</v>
      </c>
    </row>
    <row r="1836" spans="1:43" x14ac:dyDescent="0.3">
      <c r="A1836" s="6">
        <v>27839</v>
      </c>
      <c r="B1836" s="5" t="s">
        <v>230</v>
      </c>
      <c r="C1836" s="5" t="s">
        <v>231</v>
      </c>
      <c r="D1836" s="2">
        <f t="shared" si="109"/>
        <v>2014</v>
      </c>
      <c r="E1836" s="2">
        <f t="shared" si="110"/>
        <v>2</v>
      </c>
      <c r="F1836" s="3" t="s">
        <v>175</v>
      </c>
      <c r="G1836" s="7">
        <v>41682</v>
      </c>
      <c r="H1836" s="6">
        <v>6594420</v>
      </c>
      <c r="I1836" s="6">
        <v>1615795</v>
      </c>
      <c r="J1836" s="5" t="s">
        <v>193</v>
      </c>
      <c r="K1836" s="1"/>
      <c r="L1836" s="1" t="str">
        <f t="shared" si="111"/>
        <v xml:space="preserve">Översjön </v>
      </c>
      <c r="M1836" s="1" t="s">
        <v>184</v>
      </c>
      <c r="N1836" s="6">
        <v>3.7</v>
      </c>
      <c r="O1836" s="6">
        <v>3.7</v>
      </c>
      <c r="Q1836" s="6">
        <v>3.3</v>
      </c>
      <c r="R1836" s="6">
        <v>4.4000000000000004</v>
      </c>
      <c r="S1836" s="6">
        <v>34</v>
      </c>
      <c r="W1836" s="6">
        <v>335.69799999999998</v>
      </c>
      <c r="Y1836" s="6">
        <v>6.6000000000000003E-2</v>
      </c>
      <c r="Z1836" s="6">
        <v>2.17</v>
      </c>
      <c r="AA1836" s="6">
        <v>1.48</v>
      </c>
      <c r="AD1836" s="6">
        <v>114.34</v>
      </c>
      <c r="AK1836" s="6">
        <v>14.45</v>
      </c>
      <c r="AL1836" s="6">
        <v>1058.0999999999999</v>
      </c>
      <c r="AM1836" s="6"/>
      <c r="AN1836" s="6"/>
      <c r="AO1836" s="6"/>
      <c r="AP1836" s="6"/>
      <c r="AQ1836" s="6"/>
    </row>
    <row r="1837" spans="1:43" x14ac:dyDescent="0.3">
      <c r="A1837" s="6">
        <v>27840</v>
      </c>
      <c r="B1837" s="5" t="s">
        <v>230</v>
      </c>
      <c r="C1837" s="5" t="s">
        <v>231</v>
      </c>
      <c r="D1837" s="2">
        <f t="shared" si="109"/>
        <v>2014</v>
      </c>
      <c r="E1837" s="2">
        <f t="shared" si="110"/>
        <v>2</v>
      </c>
      <c r="F1837" s="3" t="s">
        <v>175</v>
      </c>
      <c r="G1837" s="7">
        <v>41682</v>
      </c>
      <c r="H1837" s="6">
        <v>6595470</v>
      </c>
      <c r="I1837" s="6">
        <v>1622370</v>
      </c>
      <c r="J1837" s="5" t="s">
        <v>190</v>
      </c>
      <c r="K1837" s="1"/>
      <c r="L1837" s="1" t="str">
        <f t="shared" si="111"/>
        <v xml:space="preserve">Snuggan </v>
      </c>
      <c r="M1837" s="1" t="s">
        <v>177</v>
      </c>
      <c r="N1837" s="6">
        <v>0.5</v>
      </c>
      <c r="O1837" s="6">
        <v>0.5</v>
      </c>
      <c r="P1837" s="6">
        <v>0.6</v>
      </c>
      <c r="Q1837" s="6">
        <v>1.4</v>
      </c>
      <c r="R1837" s="6">
        <v>13.6</v>
      </c>
      <c r="S1837" s="6">
        <v>99</v>
      </c>
      <c r="W1837" s="6">
        <v>188.46299999999999</v>
      </c>
      <c r="Y1837" s="6">
        <v>0.56499999999999995</v>
      </c>
      <c r="Z1837" s="6">
        <v>2.9</v>
      </c>
      <c r="AA1837" s="6">
        <v>5.2</v>
      </c>
      <c r="AD1837" s="6">
        <v>103.59</v>
      </c>
      <c r="AK1837" s="6">
        <v>36.61</v>
      </c>
      <c r="AL1837" s="6">
        <v>1231.93</v>
      </c>
      <c r="AM1837" s="6"/>
      <c r="AN1837" s="6"/>
      <c r="AO1837" s="6"/>
      <c r="AP1837" s="6"/>
      <c r="AQ1837" s="6"/>
    </row>
    <row r="1838" spans="1:43" x14ac:dyDescent="0.3">
      <c r="A1838" s="6">
        <v>27841</v>
      </c>
      <c r="B1838" s="5" t="s">
        <v>230</v>
      </c>
      <c r="C1838" s="5" t="s">
        <v>231</v>
      </c>
      <c r="D1838" s="2">
        <f t="shared" si="109"/>
        <v>2014</v>
      </c>
      <c r="E1838" s="2">
        <f t="shared" si="110"/>
        <v>2</v>
      </c>
      <c r="F1838" s="3" t="s">
        <v>175</v>
      </c>
      <c r="G1838" s="7">
        <v>41682</v>
      </c>
      <c r="H1838" s="6">
        <v>6595470</v>
      </c>
      <c r="I1838" s="6">
        <v>1622370</v>
      </c>
      <c r="J1838" s="5" t="s">
        <v>190</v>
      </c>
      <c r="K1838" s="1"/>
      <c r="L1838" s="1" t="str">
        <f t="shared" si="111"/>
        <v xml:space="preserve">Snuggan </v>
      </c>
      <c r="M1838" s="5" t="s">
        <v>211</v>
      </c>
      <c r="N1838" s="6">
        <v>1</v>
      </c>
      <c r="O1838" s="6">
        <v>1</v>
      </c>
      <c r="Q1838" s="6">
        <v>1.9</v>
      </c>
      <c r="R1838" s="6">
        <v>11.1</v>
      </c>
      <c r="S1838" s="6">
        <v>82</v>
      </c>
    </row>
    <row r="1839" spans="1:43" x14ac:dyDescent="0.3">
      <c r="A1839" s="6">
        <v>27842</v>
      </c>
      <c r="B1839" s="5" t="s">
        <v>230</v>
      </c>
      <c r="C1839" s="5" t="s">
        <v>231</v>
      </c>
      <c r="D1839" s="2">
        <f t="shared" si="109"/>
        <v>2014</v>
      </c>
      <c r="E1839" s="2">
        <f t="shared" si="110"/>
        <v>2</v>
      </c>
      <c r="F1839" s="3" t="s">
        <v>175</v>
      </c>
      <c r="G1839" s="7">
        <v>41682</v>
      </c>
      <c r="H1839" s="6">
        <v>6595470</v>
      </c>
      <c r="I1839" s="6">
        <v>1622370</v>
      </c>
      <c r="J1839" s="5" t="s">
        <v>190</v>
      </c>
      <c r="K1839" s="1"/>
      <c r="L1839" s="1" t="str">
        <f t="shared" si="111"/>
        <v xml:space="preserve">Snuggan </v>
      </c>
      <c r="M1839" s="5" t="s">
        <v>212</v>
      </c>
      <c r="N1839" s="6">
        <v>2</v>
      </c>
      <c r="O1839" s="6">
        <v>2</v>
      </c>
      <c r="Q1839" s="6">
        <v>3.1</v>
      </c>
      <c r="R1839" s="6">
        <v>7.1</v>
      </c>
      <c r="S1839" s="6">
        <v>54</v>
      </c>
    </row>
    <row r="1840" spans="1:43" x14ac:dyDescent="0.3">
      <c r="A1840" s="6">
        <v>27843</v>
      </c>
      <c r="B1840" s="5" t="s">
        <v>230</v>
      </c>
      <c r="C1840" s="5" t="s">
        <v>231</v>
      </c>
      <c r="D1840" s="2">
        <f t="shared" si="109"/>
        <v>2014</v>
      </c>
      <c r="E1840" s="2">
        <f t="shared" si="110"/>
        <v>2</v>
      </c>
      <c r="F1840" s="3" t="s">
        <v>175</v>
      </c>
      <c r="G1840" s="7">
        <v>41682</v>
      </c>
      <c r="H1840" s="6">
        <v>6595470</v>
      </c>
      <c r="I1840" s="6">
        <v>1622370</v>
      </c>
      <c r="J1840" s="5" t="s">
        <v>190</v>
      </c>
      <c r="K1840" s="1"/>
      <c r="L1840" s="1" t="str">
        <f t="shared" si="111"/>
        <v xml:space="preserve">Snuggan </v>
      </c>
      <c r="M1840" s="1" t="s">
        <v>184</v>
      </c>
      <c r="N1840" s="6">
        <v>2.7</v>
      </c>
      <c r="O1840" s="6">
        <v>2.7</v>
      </c>
      <c r="Q1840" s="6">
        <v>3.7</v>
      </c>
      <c r="R1840" s="6">
        <v>4.5999999999999996</v>
      </c>
      <c r="S1840" s="6">
        <v>36</v>
      </c>
      <c r="W1840" s="6">
        <v>225.92599999999999</v>
      </c>
      <c r="Y1840" s="6">
        <v>0.627</v>
      </c>
      <c r="Z1840" s="6">
        <v>0.3</v>
      </c>
      <c r="AA1840" s="6">
        <v>2.2999999999999998</v>
      </c>
      <c r="AD1840" s="6">
        <v>68.06</v>
      </c>
      <c r="AK1840" s="6">
        <v>30.78</v>
      </c>
      <c r="AL1840" s="6">
        <v>1217.3</v>
      </c>
      <c r="AM1840" s="6"/>
      <c r="AN1840" s="6"/>
      <c r="AO1840" s="6"/>
      <c r="AP1840" s="6"/>
      <c r="AQ1840" s="6"/>
    </row>
    <row r="1841" spans="1:51" x14ac:dyDescent="0.3">
      <c r="A1841" s="6">
        <v>27844</v>
      </c>
      <c r="B1841" s="5" t="s">
        <v>230</v>
      </c>
      <c r="C1841" s="5" t="s">
        <v>231</v>
      </c>
      <c r="D1841" s="2">
        <f t="shared" si="109"/>
        <v>2014</v>
      </c>
      <c r="E1841" s="2">
        <f t="shared" si="110"/>
        <v>2</v>
      </c>
      <c r="F1841" s="3" t="s">
        <v>175</v>
      </c>
      <c r="G1841" s="7">
        <v>41682</v>
      </c>
      <c r="H1841" s="6">
        <v>6597555</v>
      </c>
      <c r="I1841" s="6">
        <v>1629125</v>
      </c>
      <c r="J1841" s="5" t="s">
        <v>185</v>
      </c>
      <c r="K1841" s="1"/>
      <c r="L1841" s="1" t="str">
        <f t="shared" si="111"/>
        <v xml:space="preserve">Gullsjön </v>
      </c>
      <c r="M1841" s="1" t="s">
        <v>177</v>
      </c>
      <c r="N1841" s="6">
        <v>0.5</v>
      </c>
      <c r="O1841" s="6">
        <v>0.5</v>
      </c>
      <c r="P1841" s="6">
        <v>2</v>
      </c>
      <c r="Q1841" s="6">
        <v>1.1000000000000001</v>
      </c>
      <c r="R1841" s="6">
        <v>7.1</v>
      </c>
      <c r="S1841" s="6">
        <v>51</v>
      </c>
      <c r="W1841" s="6">
        <v>92.940200000000004</v>
      </c>
      <c r="Y1841" s="6">
        <v>0.13600000000000001</v>
      </c>
      <c r="Z1841" s="6">
        <v>0</v>
      </c>
      <c r="AA1841" s="6">
        <v>2.9</v>
      </c>
      <c r="AD1841" s="6">
        <v>95.84</v>
      </c>
      <c r="AK1841" s="6">
        <v>15.42</v>
      </c>
      <c r="AL1841" s="6">
        <v>720.69</v>
      </c>
      <c r="AM1841" s="6"/>
      <c r="AN1841" s="6"/>
      <c r="AO1841" s="6"/>
      <c r="AP1841" s="6"/>
      <c r="AQ1841" s="6"/>
    </row>
    <row r="1842" spans="1:51" x14ac:dyDescent="0.3">
      <c r="A1842" s="6">
        <v>27845</v>
      </c>
      <c r="B1842" s="5" t="s">
        <v>230</v>
      </c>
      <c r="C1842" s="5" t="s">
        <v>231</v>
      </c>
      <c r="D1842" s="2">
        <f t="shared" si="109"/>
        <v>2014</v>
      </c>
      <c r="E1842" s="2">
        <f t="shared" si="110"/>
        <v>2</v>
      </c>
      <c r="F1842" s="3" t="s">
        <v>175</v>
      </c>
      <c r="G1842" s="7">
        <v>41682</v>
      </c>
      <c r="H1842" s="6">
        <v>6597555</v>
      </c>
      <c r="I1842" s="6">
        <v>1629125</v>
      </c>
      <c r="J1842" s="5" t="s">
        <v>185</v>
      </c>
      <c r="K1842" s="1"/>
      <c r="L1842" s="1" t="str">
        <f t="shared" si="111"/>
        <v xml:space="preserve">Gullsjön </v>
      </c>
      <c r="M1842" s="5" t="s">
        <v>211</v>
      </c>
      <c r="N1842" s="6">
        <v>1</v>
      </c>
      <c r="O1842" s="6">
        <v>1</v>
      </c>
      <c r="Q1842" s="6">
        <v>1.7</v>
      </c>
      <c r="R1842" s="6">
        <v>4.5999999999999996</v>
      </c>
      <c r="S1842" s="6">
        <v>33</v>
      </c>
    </row>
    <row r="1843" spans="1:51" x14ac:dyDescent="0.3">
      <c r="A1843" s="6">
        <v>27846</v>
      </c>
      <c r="B1843" s="5" t="s">
        <v>230</v>
      </c>
      <c r="C1843" s="5" t="s">
        <v>231</v>
      </c>
      <c r="D1843" s="2">
        <f t="shared" si="109"/>
        <v>2014</v>
      </c>
      <c r="E1843" s="2">
        <f t="shared" si="110"/>
        <v>2</v>
      </c>
      <c r="F1843" s="3" t="s">
        <v>175</v>
      </c>
      <c r="G1843" s="7">
        <v>41682</v>
      </c>
      <c r="H1843" s="6">
        <v>6597555</v>
      </c>
      <c r="I1843" s="6">
        <v>1629125</v>
      </c>
      <c r="J1843" s="5" t="s">
        <v>185</v>
      </c>
      <c r="K1843" s="1"/>
      <c r="L1843" s="1" t="str">
        <f t="shared" si="111"/>
        <v xml:space="preserve">Gullsjön </v>
      </c>
      <c r="M1843" s="1" t="s">
        <v>184</v>
      </c>
      <c r="N1843" s="6">
        <v>2</v>
      </c>
      <c r="O1843" s="6">
        <v>2</v>
      </c>
      <c r="Q1843" s="6">
        <v>2.5</v>
      </c>
      <c r="R1843" s="6">
        <v>0.6</v>
      </c>
      <c r="S1843" s="6">
        <v>4</v>
      </c>
      <c r="W1843" s="6">
        <v>81.706000000000003</v>
      </c>
      <c r="Y1843" s="6">
        <v>0.14799999999999999</v>
      </c>
      <c r="Z1843" s="6">
        <v>0.1</v>
      </c>
      <c r="AA1843" s="6">
        <v>2.1</v>
      </c>
      <c r="AD1843" s="6">
        <v>34.700000000000003</v>
      </c>
      <c r="AK1843" s="6">
        <v>17.760000000000002</v>
      </c>
      <c r="AL1843" s="6">
        <v>750.95</v>
      </c>
      <c r="AM1843" s="6"/>
      <c r="AN1843" s="6"/>
      <c r="AO1843" s="6"/>
      <c r="AP1843" s="6"/>
      <c r="AQ1843" s="6"/>
    </row>
    <row r="1844" spans="1:51" x14ac:dyDescent="0.3">
      <c r="A1844" s="6">
        <v>27850</v>
      </c>
      <c r="B1844" s="5" t="s">
        <v>230</v>
      </c>
      <c r="C1844" s="5" t="s">
        <v>231</v>
      </c>
      <c r="D1844" s="2">
        <f t="shared" si="109"/>
        <v>2014</v>
      </c>
      <c r="E1844" s="2">
        <f t="shared" si="110"/>
        <v>2</v>
      </c>
      <c r="F1844" s="3" t="s">
        <v>175</v>
      </c>
      <c r="G1844" s="7">
        <v>41682</v>
      </c>
      <c r="H1844" s="6">
        <v>6594430</v>
      </c>
      <c r="I1844" s="6">
        <v>1625370</v>
      </c>
      <c r="J1844" s="5" t="s">
        <v>201</v>
      </c>
      <c r="K1844" s="1"/>
      <c r="L1844" s="1" t="str">
        <f t="shared" si="111"/>
        <v xml:space="preserve">Mörtsjön </v>
      </c>
      <c r="M1844" s="1" t="s">
        <v>177</v>
      </c>
      <c r="N1844" s="6">
        <v>0.5</v>
      </c>
      <c r="O1844" s="6">
        <v>0.5</v>
      </c>
      <c r="P1844" s="6">
        <v>2.7</v>
      </c>
      <c r="Q1844" s="6">
        <v>1.7</v>
      </c>
      <c r="R1844" s="6">
        <v>9.5</v>
      </c>
      <c r="S1844" s="6">
        <v>70</v>
      </c>
      <c r="W1844" s="6">
        <v>25.003399999999999</v>
      </c>
      <c r="Y1844" s="6">
        <v>0.34200000000000003</v>
      </c>
      <c r="Z1844" s="6">
        <v>1.1200000000000001</v>
      </c>
      <c r="AA1844" s="6">
        <v>5</v>
      </c>
      <c r="AD1844" s="6">
        <v>354.62</v>
      </c>
      <c r="AK1844" s="6">
        <v>19.829999999999998</v>
      </c>
      <c r="AL1844" s="6">
        <v>1210.26</v>
      </c>
      <c r="AM1844" s="6"/>
      <c r="AN1844" s="6"/>
      <c r="AO1844" s="6"/>
      <c r="AP1844" s="6"/>
      <c r="AQ1844" s="6"/>
    </row>
    <row r="1845" spans="1:51" x14ac:dyDescent="0.3">
      <c r="A1845" s="6">
        <v>27851</v>
      </c>
      <c r="B1845" s="5" t="s">
        <v>230</v>
      </c>
      <c r="C1845" s="5" t="s">
        <v>231</v>
      </c>
      <c r="D1845" s="2">
        <f t="shared" si="109"/>
        <v>2014</v>
      </c>
      <c r="E1845" s="2">
        <f t="shared" si="110"/>
        <v>2</v>
      </c>
      <c r="F1845" s="3" t="s">
        <v>175</v>
      </c>
      <c r="G1845" s="7">
        <v>41682</v>
      </c>
      <c r="H1845" s="6">
        <v>6594430</v>
      </c>
      <c r="I1845" s="6">
        <v>1625370</v>
      </c>
      <c r="J1845" s="5" t="s">
        <v>201</v>
      </c>
      <c r="K1845" s="1"/>
      <c r="L1845" s="1" t="str">
        <f t="shared" si="111"/>
        <v xml:space="preserve">Mörtsjön </v>
      </c>
      <c r="M1845" s="5" t="s">
        <v>211</v>
      </c>
      <c r="N1845" s="6">
        <v>1</v>
      </c>
      <c r="O1845" s="6">
        <v>1</v>
      </c>
      <c r="Q1845" s="6">
        <v>1.7</v>
      </c>
      <c r="R1845" s="6">
        <v>9.4</v>
      </c>
      <c r="S1845" s="6">
        <v>69</v>
      </c>
    </row>
    <row r="1846" spans="1:51" x14ac:dyDescent="0.3">
      <c r="A1846" s="6">
        <v>27852</v>
      </c>
      <c r="B1846" s="5" t="s">
        <v>230</v>
      </c>
      <c r="C1846" s="5" t="s">
        <v>231</v>
      </c>
      <c r="D1846" s="2">
        <f t="shared" si="109"/>
        <v>2014</v>
      </c>
      <c r="E1846" s="2">
        <f t="shared" si="110"/>
        <v>2</v>
      </c>
      <c r="F1846" s="3" t="s">
        <v>175</v>
      </c>
      <c r="G1846" s="7">
        <v>41682</v>
      </c>
      <c r="H1846" s="6">
        <v>6594430</v>
      </c>
      <c r="I1846" s="6">
        <v>1625370</v>
      </c>
      <c r="J1846" s="5" t="s">
        <v>201</v>
      </c>
      <c r="K1846" s="1"/>
      <c r="L1846" s="1" t="str">
        <f t="shared" si="111"/>
        <v xml:space="preserve">Mörtsjön </v>
      </c>
      <c r="M1846" s="5" t="s">
        <v>212</v>
      </c>
      <c r="N1846" s="6">
        <v>2</v>
      </c>
      <c r="O1846" s="6">
        <v>2</v>
      </c>
      <c r="Q1846" s="6">
        <v>2.6</v>
      </c>
      <c r="R1846" s="6">
        <v>7.1</v>
      </c>
      <c r="S1846" s="6">
        <v>53</v>
      </c>
    </row>
    <row r="1847" spans="1:51" x14ac:dyDescent="0.3">
      <c r="A1847" s="6">
        <v>27853</v>
      </c>
      <c r="B1847" s="5" t="s">
        <v>230</v>
      </c>
      <c r="C1847" s="5" t="s">
        <v>231</v>
      </c>
      <c r="D1847" s="2">
        <f t="shared" si="109"/>
        <v>2014</v>
      </c>
      <c r="E1847" s="2">
        <f t="shared" si="110"/>
        <v>2</v>
      </c>
      <c r="F1847" s="3" t="s">
        <v>175</v>
      </c>
      <c r="G1847" s="7">
        <v>41682</v>
      </c>
      <c r="H1847" s="6">
        <v>6594430</v>
      </c>
      <c r="I1847" s="6">
        <v>1625370</v>
      </c>
      <c r="J1847" s="5" t="s">
        <v>201</v>
      </c>
      <c r="K1847" s="1"/>
      <c r="L1847" s="1" t="str">
        <f t="shared" si="111"/>
        <v xml:space="preserve">Mörtsjön </v>
      </c>
      <c r="M1847" s="5" t="s">
        <v>213</v>
      </c>
      <c r="N1847" s="6">
        <v>3</v>
      </c>
      <c r="O1847" s="6">
        <v>3</v>
      </c>
      <c r="Q1847" s="6">
        <v>3.3</v>
      </c>
      <c r="R1847" s="6">
        <v>6.4</v>
      </c>
      <c r="S1847" s="6">
        <v>47</v>
      </c>
    </row>
    <row r="1848" spans="1:51" x14ac:dyDescent="0.3">
      <c r="A1848" s="6">
        <v>27854</v>
      </c>
      <c r="B1848" s="5" t="s">
        <v>230</v>
      </c>
      <c r="C1848" s="5" t="s">
        <v>231</v>
      </c>
      <c r="D1848" s="2">
        <f t="shared" si="109"/>
        <v>2014</v>
      </c>
      <c r="E1848" s="2">
        <f t="shared" si="110"/>
        <v>2</v>
      </c>
      <c r="F1848" s="3" t="s">
        <v>175</v>
      </c>
      <c r="G1848" s="7">
        <v>41682</v>
      </c>
      <c r="H1848" s="6">
        <v>6594430</v>
      </c>
      <c r="I1848" s="6">
        <v>1625370</v>
      </c>
      <c r="J1848" s="5" t="s">
        <v>201</v>
      </c>
      <c r="K1848" s="1"/>
      <c r="L1848" s="1" t="str">
        <f t="shared" si="111"/>
        <v xml:space="preserve">Mörtsjön </v>
      </c>
      <c r="M1848" s="1" t="s">
        <v>184</v>
      </c>
      <c r="N1848" s="6">
        <v>3.6</v>
      </c>
      <c r="O1848" s="6">
        <v>3.6</v>
      </c>
      <c r="Q1848" s="6">
        <v>3.6</v>
      </c>
      <c r="R1848" s="6">
        <v>5.6</v>
      </c>
      <c r="S1848" s="6">
        <v>43</v>
      </c>
      <c r="W1848" s="6">
        <v>59.586300000000001</v>
      </c>
      <c r="Y1848" s="6">
        <v>0.16500000000000001</v>
      </c>
      <c r="Z1848" s="6">
        <v>5.55</v>
      </c>
      <c r="AA1848" s="6">
        <v>6.5</v>
      </c>
      <c r="AD1848" s="6">
        <v>590.66999999999996</v>
      </c>
      <c r="AK1848" s="6">
        <v>18.38</v>
      </c>
      <c r="AL1848" s="6">
        <v>1230.17</v>
      </c>
      <c r="AM1848" s="6"/>
      <c r="AN1848" s="6"/>
      <c r="AO1848" s="6"/>
      <c r="AP1848" s="6"/>
      <c r="AQ1848" s="6"/>
    </row>
    <row r="1849" spans="1:51" x14ac:dyDescent="0.3">
      <c r="D1849" s="2">
        <f t="shared" si="109"/>
        <v>2014</v>
      </c>
      <c r="E1849" s="2">
        <f t="shared" si="110"/>
        <v>2</v>
      </c>
      <c r="F1849" s="3" t="s">
        <v>175</v>
      </c>
      <c r="G1849" s="4">
        <v>41682</v>
      </c>
      <c r="H1849" s="1">
        <v>6606238</v>
      </c>
      <c r="I1849" s="1">
        <v>661152</v>
      </c>
      <c r="J1849" s="5" t="s">
        <v>176</v>
      </c>
      <c r="K1849" s="1"/>
      <c r="L1849" s="1" t="str">
        <f t="shared" si="111"/>
        <v xml:space="preserve">Oxundaån </v>
      </c>
      <c r="M1849" s="1" t="s">
        <v>177</v>
      </c>
      <c r="N1849" s="1">
        <v>0.5</v>
      </c>
      <c r="O1849" s="1">
        <v>0.5</v>
      </c>
      <c r="Q1849" s="1">
        <v>0.8</v>
      </c>
      <c r="T1849" s="1">
        <v>51</v>
      </c>
      <c r="V1849" s="1">
        <v>2.5379999999999998</v>
      </c>
      <c r="W1849" s="1">
        <v>26</v>
      </c>
      <c r="X1849" s="1">
        <f>W1849 * (1/((10^((0.0901821 + (2729.92 /(273.15 + Q1849)))-AE1849)+1)))</f>
        <v>8.6758000808267441E-2</v>
      </c>
      <c r="Y1849" s="1">
        <v>4.4999999999999998E-2</v>
      </c>
      <c r="Z1849" s="1">
        <v>35</v>
      </c>
      <c r="AA1849" s="1">
        <v>4.9000000000000004</v>
      </c>
      <c r="AD1849" s="1">
        <v>892</v>
      </c>
      <c r="AE1849" s="1">
        <v>7.58</v>
      </c>
      <c r="AI1849" s="1">
        <v>9.8000000000000007</v>
      </c>
      <c r="AK1849" s="1">
        <v>47.3</v>
      </c>
      <c r="AL1849" s="1">
        <v>1400</v>
      </c>
      <c r="AR1849" s="1">
        <v>51.2</v>
      </c>
      <c r="AT1849" s="1">
        <v>5.4349000000000007</v>
      </c>
      <c r="AU1849" s="1">
        <v>9.2806999999999995</v>
      </c>
      <c r="AV1849" s="1">
        <v>42.291850000000004</v>
      </c>
      <c r="AW1849" s="1">
        <v>27.986800000000002</v>
      </c>
      <c r="AX1849" s="1">
        <v>58.813199999999995</v>
      </c>
      <c r="AY1849" s="1">
        <v>3.9</v>
      </c>
    </row>
    <row r="1850" spans="1:51" x14ac:dyDescent="0.3">
      <c r="A1850" s="6">
        <v>27869</v>
      </c>
      <c r="B1850" s="5" t="s">
        <v>230</v>
      </c>
      <c r="C1850" s="5" t="s">
        <v>231</v>
      </c>
      <c r="D1850" s="2">
        <f t="shared" si="109"/>
        <v>2014</v>
      </c>
      <c r="E1850" s="2">
        <f t="shared" si="110"/>
        <v>2</v>
      </c>
      <c r="F1850" s="3" t="s">
        <v>175</v>
      </c>
      <c r="G1850" s="7">
        <v>41683</v>
      </c>
      <c r="H1850" s="6">
        <v>6593820</v>
      </c>
      <c r="I1850" s="6">
        <v>1624215</v>
      </c>
      <c r="J1850" s="5" t="s">
        <v>189</v>
      </c>
      <c r="K1850" s="1"/>
      <c r="L1850" s="1" t="str">
        <f t="shared" si="111"/>
        <v xml:space="preserve">Rösjön </v>
      </c>
      <c r="M1850" s="1" t="s">
        <v>177</v>
      </c>
      <c r="N1850" s="6">
        <v>0.5</v>
      </c>
      <c r="O1850" s="6">
        <v>0.5</v>
      </c>
      <c r="P1850" s="6">
        <v>4.5</v>
      </c>
      <c r="Q1850" s="6">
        <v>1.4</v>
      </c>
      <c r="R1850" s="6">
        <v>12.8</v>
      </c>
      <c r="S1850" s="6">
        <v>92</v>
      </c>
      <c r="W1850" s="6">
        <v>4.0867000000000004</v>
      </c>
      <c r="Y1850" s="6">
        <v>4.1000000000000002E-2</v>
      </c>
      <c r="Z1850" s="6">
        <v>0</v>
      </c>
      <c r="AA1850" s="6">
        <v>1.32</v>
      </c>
      <c r="AD1850" s="6">
        <v>188.66</v>
      </c>
      <c r="AK1850" s="6">
        <v>11.95</v>
      </c>
      <c r="AL1850" s="6">
        <v>635.39</v>
      </c>
      <c r="AM1850" s="6"/>
      <c r="AN1850" s="6"/>
      <c r="AO1850" s="6"/>
      <c r="AP1850" s="6"/>
      <c r="AQ1850" s="6"/>
    </row>
    <row r="1851" spans="1:51" x14ac:dyDescent="0.3">
      <c r="A1851" s="6">
        <v>27870</v>
      </c>
      <c r="B1851" s="5" t="s">
        <v>230</v>
      </c>
      <c r="C1851" s="5" t="s">
        <v>231</v>
      </c>
      <c r="D1851" s="2">
        <f t="shared" si="109"/>
        <v>2014</v>
      </c>
      <c r="E1851" s="2">
        <f t="shared" si="110"/>
        <v>2</v>
      </c>
      <c r="F1851" s="3" t="s">
        <v>175</v>
      </c>
      <c r="G1851" s="7">
        <v>41683</v>
      </c>
      <c r="H1851" s="6">
        <v>6593820</v>
      </c>
      <c r="I1851" s="6">
        <v>1624215</v>
      </c>
      <c r="J1851" s="5" t="s">
        <v>189</v>
      </c>
      <c r="K1851" s="1"/>
      <c r="L1851" s="1" t="str">
        <f t="shared" si="111"/>
        <v xml:space="preserve">Rösjön </v>
      </c>
      <c r="M1851" s="5" t="s">
        <v>211</v>
      </c>
      <c r="N1851" s="6">
        <v>1</v>
      </c>
      <c r="O1851" s="6">
        <v>1</v>
      </c>
      <c r="Q1851" s="6">
        <v>1.6</v>
      </c>
      <c r="R1851" s="6">
        <v>12.4</v>
      </c>
      <c r="S1851" s="6">
        <v>90</v>
      </c>
    </row>
    <row r="1852" spans="1:51" x14ac:dyDescent="0.3">
      <c r="A1852" s="6">
        <v>27871</v>
      </c>
      <c r="B1852" s="5" t="s">
        <v>230</v>
      </c>
      <c r="C1852" s="5" t="s">
        <v>231</v>
      </c>
      <c r="D1852" s="2">
        <f t="shared" si="109"/>
        <v>2014</v>
      </c>
      <c r="E1852" s="2">
        <f t="shared" si="110"/>
        <v>2</v>
      </c>
      <c r="F1852" s="3" t="s">
        <v>175</v>
      </c>
      <c r="G1852" s="7">
        <v>41683</v>
      </c>
      <c r="H1852" s="6">
        <v>6593820</v>
      </c>
      <c r="I1852" s="6">
        <v>1624215</v>
      </c>
      <c r="J1852" s="5" t="s">
        <v>189</v>
      </c>
      <c r="K1852" s="1"/>
      <c r="L1852" s="1" t="str">
        <f t="shared" si="111"/>
        <v xml:space="preserve">Rösjön </v>
      </c>
      <c r="M1852" s="5" t="s">
        <v>212</v>
      </c>
      <c r="N1852" s="6">
        <v>2</v>
      </c>
      <c r="O1852" s="6">
        <v>2</v>
      </c>
      <c r="Q1852" s="6">
        <v>1.6</v>
      </c>
      <c r="R1852" s="6">
        <v>12.3</v>
      </c>
      <c r="S1852" s="6">
        <v>89</v>
      </c>
    </row>
    <row r="1853" spans="1:51" x14ac:dyDescent="0.3">
      <c r="A1853" s="6">
        <v>27872</v>
      </c>
      <c r="B1853" s="5" t="s">
        <v>230</v>
      </c>
      <c r="C1853" s="5" t="s">
        <v>231</v>
      </c>
      <c r="D1853" s="2">
        <f t="shared" si="109"/>
        <v>2014</v>
      </c>
      <c r="E1853" s="2">
        <f t="shared" si="110"/>
        <v>2</v>
      </c>
      <c r="F1853" s="3" t="s">
        <v>175</v>
      </c>
      <c r="G1853" s="7">
        <v>41683</v>
      </c>
      <c r="H1853" s="6">
        <v>6593820</v>
      </c>
      <c r="I1853" s="6">
        <v>1624215</v>
      </c>
      <c r="J1853" s="5" t="s">
        <v>189</v>
      </c>
      <c r="K1853" s="1"/>
      <c r="L1853" s="1" t="str">
        <f t="shared" si="111"/>
        <v xml:space="preserve">Rösjön </v>
      </c>
      <c r="M1853" s="5" t="s">
        <v>213</v>
      </c>
      <c r="N1853" s="6">
        <v>3</v>
      </c>
      <c r="O1853" s="6">
        <v>3</v>
      </c>
      <c r="Q1853" s="6">
        <v>1.7</v>
      </c>
      <c r="R1853" s="6">
        <v>11.9</v>
      </c>
      <c r="S1853" s="6">
        <v>87</v>
      </c>
    </row>
    <row r="1854" spans="1:51" x14ac:dyDescent="0.3">
      <c r="A1854" s="6">
        <v>27873</v>
      </c>
      <c r="B1854" s="5" t="s">
        <v>230</v>
      </c>
      <c r="C1854" s="5" t="s">
        <v>231</v>
      </c>
      <c r="D1854" s="2">
        <f t="shared" si="109"/>
        <v>2014</v>
      </c>
      <c r="E1854" s="2">
        <f t="shared" si="110"/>
        <v>2</v>
      </c>
      <c r="F1854" s="3" t="s">
        <v>175</v>
      </c>
      <c r="G1854" s="7">
        <v>41683</v>
      </c>
      <c r="H1854" s="6">
        <v>6593820</v>
      </c>
      <c r="I1854" s="6">
        <v>1624215</v>
      </c>
      <c r="J1854" s="5" t="s">
        <v>189</v>
      </c>
      <c r="K1854" s="1"/>
      <c r="L1854" s="1" t="str">
        <f t="shared" si="111"/>
        <v xml:space="preserve">Rösjön </v>
      </c>
      <c r="M1854" s="5" t="s">
        <v>214</v>
      </c>
      <c r="N1854" s="6">
        <v>4</v>
      </c>
      <c r="O1854" s="6">
        <v>4</v>
      </c>
      <c r="Q1854" s="6">
        <v>2.1</v>
      </c>
      <c r="R1854" s="6">
        <v>10.7</v>
      </c>
      <c r="S1854" s="6">
        <v>79</v>
      </c>
    </row>
    <row r="1855" spans="1:51" x14ac:dyDescent="0.3">
      <c r="A1855" s="6">
        <v>27874</v>
      </c>
      <c r="B1855" s="5" t="s">
        <v>230</v>
      </c>
      <c r="C1855" s="5" t="s">
        <v>231</v>
      </c>
      <c r="D1855" s="2">
        <f t="shared" si="109"/>
        <v>2014</v>
      </c>
      <c r="E1855" s="2">
        <f t="shared" si="110"/>
        <v>2</v>
      </c>
      <c r="F1855" s="3" t="s">
        <v>175</v>
      </c>
      <c r="G1855" s="7">
        <v>41683</v>
      </c>
      <c r="H1855" s="6">
        <v>6593820</v>
      </c>
      <c r="I1855" s="6">
        <v>1624215</v>
      </c>
      <c r="J1855" s="5" t="s">
        <v>189</v>
      </c>
      <c r="K1855" s="1"/>
      <c r="L1855" s="1" t="str">
        <f t="shared" si="111"/>
        <v xml:space="preserve">Rösjön </v>
      </c>
      <c r="M1855" s="5" t="s">
        <v>217</v>
      </c>
      <c r="N1855" s="6">
        <v>5</v>
      </c>
      <c r="O1855" s="6">
        <v>5</v>
      </c>
      <c r="Q1855" s="6">
        <v>2.8</v>
      </c>
      <c r="R1855" s="6">
        <v>6.1</v>
      </c>
      <c r="S1855" s="6">
        <v>46</v>
      </c>
    </row>
    <row r="1856" spans="1:51" x14ac:dyDescent="0.3">
      <c r="A1856" s="6">
        <v>27875</v>
      </c>
      <c r="B1856" s="5" t="s">
        <v>230</v>
      </c>
      <c r="C1856" s="5" t="s">
        <v>231</v>
      </c>
      <c r="D1856" s="2">
        <f t="shared" si="109"/>
        <v>2014</v>
      </c>
      <c r="E1856" s="2">
        <f t="shared" si="110"/>
        <v>2</v>
      </c>
      <c r="F1856" s="3" t="s">
        <v>175</v>
      </c>
      <c r="G1856" s="7">
        <v>41683</v>
      </c>
      <c r="H1856" s="6">
        <v>6593820</v>
      </c>
      <c r="I1856" s="6">
        <v>1624215</v>
      </c>
      <c r="J1856" s="5" t="s">
        <v>189</v>
      </c>
      <c r="K1856" s="1"/>
      <c r="L1856" s="1" t="str">
        <f t="shared" si="111"/>
        <v xml:space="preserve">Rösjön </v>
      </c>
      <c r="M1856" s="5" t="s">
        <v>218</v>
      </c>
      <c r="N1856" s="6">
        <v>6</v>
      </c>
      <c r="O1856" s="6">
        <v>6</v>
      </c>
      <c r="Q1856" s="6">
        <v>3.5</v>
      </c>
      <c r="R1856" s="6">
        <v>2.8</v>
      </c>
      <c r="S1856" s="6">
        <v>22</v>
      </c>
    </row>
    <row r="1857" spans="1:43" x14ac:dyDescent="0.3">
      <c r="A1857" s="6">
        <v>27876</v>
      </c>
      <c r="B1857" s="5" t="s">
        <v>230</v>
      </c>
      <c r="C1857" s="5" t="s">
        <v>231</v>
      </c>
      <c r="D1857" s="2">
        <f t="shared" si="109"/>
        <v>2014</v>
      </c>
      <c r="E1857" s="2">
        <f t="shared" si="110"/>
        <v>2</v>
      </c>
      <c r="F1857" s="3" t="s">
        <v>175</v>
      </c>
      <c r="G1857" s="7">
        <v>41683</v>
      </c>
      <c r="H1857" s="6">
        <v>6593820</v>
      </c>
      <c r="I1857" s="6">
        <v>1624215</v>
      </c>
      <c r="J1857" s="5" t="s">
        <v>189</v>
      </c>
      <c r="K1857" s="1"/>
      <c r="L1857" s="1" t="str">
        <f t="shared" si="111"/>
        <v xml:space="preserve">Rösjön </v>
      </c>
      <c r="M1857" s="1" t="s">
        <v>184</v>
      </c>
      <c r="N1857" s="6">
        <v>6.6</v>
      </c>
      <c r="O1857" s="6">
        <v>6.6</v>
      </c>
      <c r="Q1857" s="6">
        <v>3.8</v>
      </c>
      <c r="R1857" s="6">
        <v>1.7</v>
      </c>
      <c r="S1857" s="6">
        <v>13</v>
      </c>
      <c r="W1857" s="6">
        <v>41.085900000000002</v>
      </c>
      <c r="Y1857" s="6">
        <v>4.5999999999999999E-2</v>
      </c>
      <c r="Z1857" s="6">
        <v>3.07</v>
      </c>
      <c r="AA1857" s="6">
        <v>1.65</v>
      </c>
      <c r="AD1857" s="6">
        <v>208.8</v>
      </c>
      <c r="AK1857" s="6">
        <v>15.62</v>
      </c>
      <c r="AL1857" s="6">
        <v>695.24</v>
      </c>
      <c r="AM1857" s="6"/>
      <c r="AN1857" s="6"/>
      <c r="AO1857" s="6"/>
      <c r="AP1857" s="6"/>
      <c r="AQ1857" s="6"/>
    </row>
    <row r="1858" spans="1:43" x14ac:dyDescent="0.3">
      <c r="A1858" s="6">
        <v>27877</v>
      </c>
      <c r="B1858" s="5" t="s">
        <v>230</v>
      </c>
      <c r="C1858" s="5" t="s">
        <v>231</v>
      </c>
      <c r="D1858" s="2">
        <f t="shared" ref="D1858:D1921" si="112">YEAR(G1858)</f>
        <v>2014</v>
      </c>
      <c r="E1858" s="2">
        <f t="shared" ref="E1858:E1921" si="113">MONTH(G1858)</f>
        <v>2</v>
      </c>
      <c r="F1858" s="3" t="s">
        <v>175</v>
      </c>
      <c r="G1858" s="7">
        <v>41683</v>
      </c>
      <c r="H1858" s="6">
        <v>6606035</v>
      </c>
      <c r="I1858" s="6">
        <v>1615620</v>
      </c>
      <c r="J1858" s="5" t="s">
        <v>187</v>
      </c>
      <c r="K1858" s="1"/>
      <c r="L1858" s="1" t="str">
        <f t="shared" ref="L1858:L1921" si="114">CONCATENATE(J1858," ",K1858)</f>
        <v xml:space="preserve">Oxundasjön </v>
      </c>
      <c r="M1858" s="1" t="s">
        <v>177</v>
      </c>
      <c r="N1858" s="6">
        <v>0.5</v>
      </c>
      <c r="O1858" s="6">
        <v>0.5</v>
      </c>
      <c r="P1858" s="6">
        <v>2.7</v>
      </c>
      <c r="Q1858" s="6">
        <v>0.9</v>
      </c>
      <c r="R1858" s="6">
        <v>12.4</v>
      </c>
      <c r="S1858" s="6">
        <v>88</v>
      </c>
      <c r="W1858" s="6">
        <v>7.7145000000000001</v>
      </c>
      <c r="Y1858" s="6">
        <v>6.0999999999999999E-2</v>
      </c>
      <c r="Z1858" s="6">
        <v>33.380000000000003</v>
      </c>
      <c r="AA1858" s="6">
        <v>4.0999999999999996</v>
      </c>
      <c r="AD1858" s="6">
        <v>656.7</v>
      </c>
      <c r="AK1858" s="6">
        <v>51.15</v>
      </c>
      <c r="AL1858" s="6">
        <v>1341.99</v>
      </c>
      <c r="AM1858" s="6"/>
      <c r="AN1858" s="6"/>
      <c r="AO1858" s="6"/>
      <c r="AP1858" s="6"/>
      <c r="AQ1858" s="6"/>
    </row>
    <row r="1859" spans="1:43" x14ac:dyDescent="0.3">
      <c r="A1859" s="6">
        <v>27878</v>
      </c>
      <c r="B1859" s="5" t="s">
        <v>230</v>
      </c>
      <c r="C1859" s="5" t="s">
        <v>231</v>
      </c>
      <c r="D1859" s="2">
        <f t="shared" si="112"/>
        <v>2014</v>
      </c>
      <c r="E1859" s="2">
        <f t="shared" si="113"/>
        <v>2</v>
      </c>
      <c r="F1859" s="3" t="s">
        <v>175</v>
      </c>
      <c r="G1859" s="7">
        <v>41683</v>
      </c>
      <c r="H1859" s="6">
        <v>6606035</v>
      </c>
      <c r="I1859" s="6">
        <v>1615620</v>
      </c>
      <c r="J1859" s="5" t="s">
        <v>187</v>
      </c>
      <c r="K1859" s="1"/>
      <c r="L1859" s="1" t="str">
        <f t="shared" si="114"/>
        <v xml:space="preserve">Oxundasjön </v>
      </c>
      <c r="M1859" s="5" t="s">
        <v>211</v>
      </c>
      <c r="N1859" s="6">
        <v>1</v>
      </c>
      <c r="O1859" s="6">
        <v>1</v>
      </c>
      <c r="Q1859" s="6">
        <v>1</v>
      </c>
      <c r="R1859" s="6">
        <v>12.3</v>
      </c>
      <c r="S1859" s="6">
        <v>88</v>
      </c>
    </row>
    <row r="1860" spans="1:43" x14ac:dyDescent="0.3">
      <c r="A1860" s="6">
        <v>27879</v>
      </c>
      <c r="B1860" s="5" t="s">
        <v>230</v>
      </c>
      <c r="C1860" s="5" t="s">
        <v>231</v>
      </c>
      <c r="D1860" s="2">
        <f t="shared" si="112"/>
        <v>2014</v>
      </c>
      <c r="E1860" s="2">
        <f t="shared" si="113"/>
        <v>2</v>
      </c>
      <c r="F1860" s="3" t="s">
        <v>175</v>
      </c>
      <c r="G1860" s="7">
        <v>41683</v>
      </c>
      <c r="H1860" s="6">
        <v>6606035</v>
      </c>
      <c r="I1860" s="6">
        <v>1615620</v>
      </c>
      <c r="J1860" s="5" t="s">
        <v>187</v>
      </c>
      <c r="K1860" s="1"/>
      <c r="L1860" s="1" t="str">
        <f t="shared" si="114"/>
        <v xml:space="preserve">Oxundasjön </v>
      </c>
      <c r="M1860" s="5" t="s">
        <v>212</v>
      </c>
      <c r="N1860" s="6">
        <v>2</v>
      </c>
      <c r="O1860" s="6">
        <v>2</v>
      </c>
      <c r="Q1860" s="6">
        <v>1</v>
      </c>
      <c r="R1860" s="6">
        <v>11.4</v>
      </c>
      <c r="S1860" s="6">
        <v>81</v>
      </c>
    </row>
    <row r="1861" spans="1:43" x14ac:dyDescent="0.3">
      <c r="A1861" s="6">
        <v>27880</v>
      </c>
      <c r="B1861" s="5" t="s">
        <v>230</v>
      </c>
      <c r="C1861" s="5" t="s">
        <v>231</v>
      </c>
      <c r="D1861" s="2">
        <f t="shared" si="112"/>
        <v>2014</v>
      </c>
      <c r="E1861" s="2">
        <f t="shared" si="113"/>
        <v>2</v>
      </c>
      <c r="F1861" s="3" t="s">
        <v>175</v>
      </c>
      <c r="G1861" s="7">
        <v>41683</v>
      </c>
      <c r="H1861" s="6">
        <v>6606035</v>
      </c>
      <c r="I1861" s="6">
        <v>1615620</v>
      </c>
      <c r="J1861" s="5" t="s">
        <v>187</v>
      </c>
      <c r="K1861" s="1"/>
      <c r="L1861" s="1" t="str">
        <f t="shared" si="114"/>
        <v xml:space="preserve">Oxundasjön </v>
      </c>
      <c r="M1861" s="5" t="s">
        <v>213</v>
      </c>
      <c r="N1861" s="6">
        <v>3</v>
      </c>
      <c r="O1861" s="6">
        <v>3</v>
      </c>
      <c r="Q1861" s="6">
        <v>1.2</v>
      </c>
      <c r="R1861" s="6">
        <v>11.2</v>
      </c>
      <c r="S1861" s="6">
        <v>81</v>
      </c>
    </row>
    <row r="1862" spans="1:43" x14ac:dyDescent="0.3">
      <c r="A1862" s="6">
        <v>27881</v>
      </c>
      <c r="B1862" s="5" t="s">
        <v>230</v>
      </c>
      <c r="C1862" s="5" t="s">
        <v>231</v>
      </c>
      <c r="D1862" s="2">
        <f t="shared" si="112"/>
        <v>2014</v>
      </c>
      <c r="E1862" s="2">
        <f t="shared" si="113"/>
        <v>2</v>
      </c>
      <c r="F1862" s="3" t="s">
        <v>175</v>
      </c>
      <c r="G1862" s="7">
        <v>41683</v>
      </c>
      <c r="H1862" s="6">
        <v>6606035</v>
      </c>
      <c r="I1862" s="6">
        <v>1615620</v>
      </c>
      <c r="J1862" s="5" t="s">
        <v>187</v>
      </c>
      <c r="K1862" s="1"/>
      <c r="L1862" s="1" t="str">
        <f t="shared" si="114"/>
        <v xml:space="preserve">Oxundasjön </v>
      </c>
      <c r="M1862" s="5" t="s">
        <v>214</v>
      </c>
      <c r="N1862" s="6">
        <v>4</v>
      </c>
      <c r="O1862" s="6">
        <v>4</v>
      </c>
      <c r="Q1862" s="6">
        <v>1.8</v>
      </c>
      <c r="R1862" s="6">
        <v>9.8000000000000007</v>
      </c>
      <c r="S1862" s="6">
        <v>72</v>
      </c>
    </row>
    <row r="1863" spans="1:43" x14ac:dyDescent="0.3">
      <c r="A1863" s="6">
        <v>27882</v>
      </c>
      <c r="B1863" s="5" t="s">
        <v>230</v>
      </c>
      <c r="C1863" s="5" t="s">
        <v>231</v>
      </c>
      <c r="D1863" s="2">
        <f t="shared" si="112"/>
        <v>2014</v>
      </c>
      <c r="E1863" s="2">
        <f t="shared" si="113"/>
        <v>2</v>
      </c>
      <c r="F1863" s="3" t="s">
        <v>175</v>
      </c>
      <c r="G1863" s="7">
        <v>41683</v>
      </c>
      <c r="H1863" s="6">
        <v>6606035</v>
      </c>
      <c r="I1863" s="6">
        <v>1615620</v>
      </c>
      <c r="J1863" s="5" t="s">
        <v>187</v>
      </c>
      <c r="K1863" s="1"/>
      <c r="L1863" s="1" t="str">
        <f t="shared" si="114"/>
        <v xml:space="preserve">Oxundasjön </v>
      </c>
      <c r="M1863" s="5" t="s">
        <v>217</v>
      </c>
      <c r="N1863" s="6">
        <v>5</v>
      </c>
      <c r="O1863" s="6">
        <v>5</v>
      </c>
      <c r="Q1863" s="6">
        <v>2.6</v>
      </c>
      <c r="R1863" s="6">
        <v>6.6</v>
      </c>
      <c r="S1863" s="6">
        <v>49</v>
      </c>
    </row>
    <row r="1864" spans="1:43" x14ac:dyDescent="0.3">
      <c r="A1864" s="6">
        <v>27883</v>
      </c>
      <c r="B1864" s="5" t="s">
        <v>230</v>
      </c>
      <c r="C1864" s="5" t="s">
        <v>231</v>
      </c>
      <c r="D1864" s="2">
        <f t="shared" si="112"/>
        <v>2014</v>
      </c>
      <c r="E1864" s="2">
        <f t="shared" si="113"/>
        <v>2</v>
      </c>
      <c r="F1864" s="3" t="s">
        <v>175</v>
      </c>
      <c r="G1864" s="7">
        <v>41683</v>
      </c>
      <c r="H1864" s="6">
        <v>6606035</v>
      </c>
      <c r="I1864" s="6">
        <v>1615620</v>
      </c>
      <c r="J1864" s="5" t="s">
        <v>187</v>
      </c>
      <c r="K1864" s="1"/>
      <c r="L1864" s="1" t="str">
        <f t="shared" si="114"/>
        <v xml:space="preserve">Oxundasjön </v>
      </c>
      <c r="M1864" s="1" t="s">
        <v>184</v>
      </c>
      <c r="N1864" s="6">
        <v>5.9</v>
      </c>
      <c r="O1864" s="6">
        <v>5.9</v>
      </c>
      <c r="Q1864" s="6">
        <v>3.2</v>
      </c>
      <c r="R1864" s="6">
        <v>3.6</v>
      </c>
      <c r="S1864" s="6">
        <v>27</v>
      </c>
      <c r="W1864" s="6">
        <v>20.238700000000001</v>
      </c>
      <c r="Y1864" s="6">
        <v>0.06</v>
      </c>
      <c r="Z1864" s="6">
        <v>33.520000000000003</v>
      </c>
      <c r="AA1864" s="6">
        <v>4.2</v>
      </c>
      <c r="AD1864" s="6">
        <v>702.2</v>
      </c>
      <c r="AK1864" s="6">
        <v>50.44</v>
      </c>
      <c r="AL1864" s="6">
        <v>1363.41</v>
      </c>
      <c r="AM1864" s="6"/>
      <c r="AN1864" s="6"/>
      <c r="AO1864" s="6"/>
      <c r="AP1864" s="6"/>
      <c r="AQ1864" s="6"/>
    </row>
    <row r="1865" spans="1:43" x14ac:dyDescent="0.3">
      <c r="A1865" s="6">
        <v>27884</v>
      </c>
      <c r="B1865" s="5" t="s">
        <v>230</v>
      </c>
      <c r="C1865" s="5" t="s">
        <v>231</v>
      </c>
      <c r="D1865" s="2">
        <f t="shared" si="112"/>
        <v>2014</v>
      </c>
      <c r="E1865" s="2">
        <f t="shared" si="113"/>
        <v>2</v>
      </c>
      <c r="F1865" s="3" t="s">
        <v>175</v>
      </c>
      <c r="G1865" s="7">
        <v>41683</v>
      </c>
      <c r="H1865" s="6">
        <v>6594980</v>
      </c>
      <c r="I1865" s="6">
        <v>1622960</v>
      </c>
      <c r="J1865" s="5" t="s">
        <v>192</v>
      </c>
      <c r="K1865" s="1"/>
      <c r="L1865" s="1" t="str">
        <f t="shared" si="114"/>
        <v xml:space="preserve">Väsjön </v>
      </c>
      <c r="M1865" s="1" t="s">
        <v>177</v>
      </c>
      <c r="N1865" s="6">
        <v>0.5</v>
      </c>
      <c r="O1865" s="6">
        <v>0.5</v>
      </c>
      <c r="P1865" s="6">
        <v>2.5</v>
      </c>
      <c r="Q1865" s="6">
        <v>1.5</v>
      </c>
      <c r="R1865" s="6">
        <v>9.9</v>
      </c>
      <c r="S1865" s="6">
        <v>71</v>
      </c>
      <c r="W1865" s="6">
        <v>45.671700000000001</v>
      </c>
      <c r="Y1865" s="6">
        <v>0.27400000000000002</v>
      </c>
      <c r="Z1865" s="6">
        <v>1.88</v>
      </c>
      <c r="AA1865" s="6">
        <v>7.2</v>
      </c>
      <c r="AD1865" s="6">
        <v>154.99</v>
      </c>
      <c r="AK1865" s="6">
        <v>22.72</v>
      </c>
      <c r="AL1865" s="6">
        <v>843</v>
      </c>
      <c r="AM1865" s="6"/>
      <c r="AN1865" s="6"/>
      <c r="AO1865" s="6"/>
      <c r="AP1865" s="6"/>
      <c r="AQ1865" s="6"/>
    </row>
    <row r="1866" spans="1:43" x14ac:dyDescent="0.3">
      <c r="A1866" s="6">
        <v>27885</v>
      </c>
      <c r="B1866" s="5" t="s">
        <v>230</v>
      </c>
      <c r="C1866" s="5" t="s">
        <v>231</v>
      </c>
      <c r="D1866" s="2">
        <f t="shared" si="112"/>
        <v>2014</v>
      </c>
      <c r="E1866" s="2">
        <f t="shared" si="113"/>
        <v>2</v>
      </c>
      <c r="F1866" s="3" t="s">
        <v>175</v>
      </c>
      <c r="G1866" s="7">
        <v>41683</v>
      </c>
      <c r="H1866" s="6">
        <v>6594980</v>
      </c>
      <c r="I1866" s="6">
        <v>1622960</v>
      </c>
      <c r="J1866" s="5" t="s">
        <v>192</v>
      </c>
      <c r="K1866" s="1"/>
      <c r="L1866" s="1" t="str">
        <f t="shared" si="114"/>
        <v xml:space="preserve">Väsjön </v>
      </c>
      <c r="M1866" s="5" t="s">
        <v>211</v>
      </c>
      <c r="N1866" s="6">
        <v>1</v>
      </c>
      <c r="O1866" s="6">
        <v>1</v>
      </c>
      <c r="Q1866" s="6">
        <v>1.5</v>
      </c>
      <c r="R1866" s="6">
        <v>9.6999999999999993</v>
      </c>
      <c r="S1866" s="6">
        <v>71</v>
      </c>
    </row>
    <row r="1867" spans="1:43" x14ac:dyDescent="0.3">
      <c r="A1867" s="6">
        <v>27886</v>
      </c>
      <c r="B1867" s="5" t="s">
        <v>230</v>
      </c>
      <c r="C1867" s="5" t="s">
        <v>231</v>
      </c>
      <c r="D1867" s="2">
        <f t="shared" si="112"/>
        <v>2014</v>
      </c>
      <c r="E1867" s="2">
        <f t="shared" si="113"/>
        <v>2</v>
      </c>
      <c r="F1867" s="3" t="s">
        <v>175</v>
      </c>
      <c r="G1867" s="7">
        <v>41683</v>
      </c>
      <c r="H1867" s="6">
        <v>6594980</v>
      </c>
      <c r="I1867" s="6">
        <v>1622960</v>
      </c>
      <c r="J1867" s="5" t="s">
        <v>192</v>
      </c>
      <c r="K1867" s="1"/>
      <c r="L1867" s="1" t="str">
        <f t="shared" si="114"/>
        <v xml:space="preserve">Väsjön </v>
      </c>
      <c r="M1867" s="5" t="s">
        <v>212</v>
      </c>
      <c r="N1867" s="6">
        <v>2</v>
      </c>
      <c r="O1867" s="6">
        <v>2</v>
      </c>
      <c r="Q1867" s="6">
        <v>2.2999999999999998</v>
      </c>
      <c r="R1867" s="6">
        <v>4</v>
      </c>
      <c r="S1867" s="6">
        <v>30</v>
      </c>
    </row>
    <row r="1868" spans="1:43" x14ac:dyDescent="0.3">
      <c r="A1868" s="6">
        <v>27887</v>
      </c>
      <c r="B1868" s="5" t="s">
        <v>230</v>
      </c>
      <c r="C1868" s="5" t="s">
        <v>231</v>
      </c>
      <c r="D1868" s="2">
        <f t="shared" si="112"/>
        <v>2014</v>
      </c>
      <c r="E1868" s="2">
        <f t="shared" si="113"/>
        <v>2</v>
      </c>
      <c r="F1868" s="3" t="s">
        <v>175</v>
      </c>
      <c r="G1868" s="7">
        <v>41683</v>
      </c>
      <c r="H1868" s="6">
        <v>6594980</v>
      </c>
      <c r="I1868" s="6">
        <v>1622960</v>
      </c>
      <c r="J1868" s="5" t="s">
        <v>192</v>
      </c>
      <c r="K1868" s="1"/>
      <c r="L1868" s="1" t="str">
        <f t="shared" si="114"/>
        <v xml:space="preserve">Väsjön </v>
      </c>
      <c r="M1868" s="1" t="s">
        <v>184</v>
      </c>
      <c r="N1868" s="6">
        <v>2.5</v>
      </c>
      <c r="O1868" s="6">
        <v>2.5</v>
      </c>
      <c r="Q1868" s="6">
        <v>3</v>
      </c>
      <c r="R1868" s="6">
        <v>0.9</v>
      </c>
      <c r="S1868" s="6">
        <v>7</v>
      </c>
      <c r="W1868" s="6">
        <v>85.801299999999998</v>
      </c>
      <c r="Y1868" s="6">
        <v>0.16400000000000001</v>
      </c>
      <c r="Z1868" s="6">
        <v>1.41</v>
      </c>
      <c r="AA1868" s="6">
        <v>3.7</v>
      </c>
      <c r="AD1868" s="6">
        <v>86.05</v>
      </c>
      <c r="AK1868" s="6">
        <v>16.54</v>
      </c>
      <c r="AL1868" s="6">
        <v>746.29</v>
      </c>
      <c r="AM1868" s="6"/>
      <c r="AN1868" s="6"/>
      <c r="AO1868" s="6"/>
      <c r="AP1868" s="6"/>
      <c r="AQ1868" s="6"/>
    </row>
    <row r="1869" spans="1:43" x14ac:dyDescent="0.3">
      <c r="A1869" s="6">
        <v>28031</v>
      </c>
      <c r="B1869" s="5" t="s">
        <v>230</v>
      </c>
      <c r="C1869" s="5" t="s">
        <v>231</v>
      </c>
      <c r="D1869" s="2">
        <f t="shared" si="112"/>
        <v>2014</v>
      </c>
      <c r="E1869" s="2">
        <f t="shared" si="113"/>
        <v>2</v>
      </c>
      <c r="F1869" s="3" t="s">
        <v>175</v>
      </c>
      <c r="G1869" s="7">
        <v>41688</v>
      </c>
      <c r="H1869" s="6">
        <v>6599245</v>
      </c>
      <c r="I1869" s="6">
        <v>1622345</v>
      </c>
      <c r="J1869" s="5" t="s">
        <v>186</v>
      </c>
      <c r="K1869" s="1">
        <v>1</v>
      </c>
      <c r="L1869" s="1" t="str">
        <f t="shared" si="114"/>
        <v>Norrviken 1</v>
      </c>
      <c r="M1869" s="1" t="s">
        <v>177</v>
      </c>
      <c r="N1869" s="6">
        <v>0.5</v>
      </c>
      <c r="O1869" s="6">
        <v>0.5</v>
      </c>
      <c r="P1869" s="6">
        <v>1.3</v>
      </c>
      <c r="Q1869" s="6">
        <v>1.5</v>
      </c>
      <c r="R1869" s="6">
        <v>11.9</v>
      </c>
      <c r="S1869" s="6">
        <v>85</v>
      </c>
      <c r="W1869" s="6">
        <v>164.40700000000001</v>
      </c>
      <c r="Y1869" s="6">
        <v>0.10299999999999999</v>
      </c>
      <c r="Z1869" s="6">
        <v>3.71</v>
      </c>
      <c r="AA1869" s="6">
        <v>7.9</v>
      </c>
      <c r="AD1869" s="6">
        <v>547.46</v>
      </c>
      <c r="AK1869" s="6">
        <v>33.28</v>
      </c>
      <c r="AL1869" s="6">
        <v>1376.2</v>
      </c>
      <c r="AM1869" s="6"/>
      <c r="AN1869" s="6"/>
      <c r="AO1869" s="6"/>
      <c r="AP1869" s="6"/>
      <c r="AQ1869" s="6"/>
    </row>
    <row r="1870" spans="1:43" x14ac:dyDescent="0.3">
      <c r="A1870" s="6">
        <v>28032</v>
      </c>
      <c r="B1870" s="5" t="s">
        <v>230</v>
      </c>
      <c r="C1870" s="5" t="s">
        <v>231</v>
      </c>
      <c r="D1870" s="2">
        <f t="shared" si="112"/>
        <v>2014</v>
      </c>
      <c r="E1870" s="2">
        <f t="shared" si="113"/>
        <v>2</v>
      </c>
      <c r="F1870" s="3" t="s">
        <v>175</v>
      </c>
      <c r="G1870" s="7">
        <v>41688</v>
      </c>
      <c r="H1870" s="6">
        <v>6599245</v>
      </c>
      <c r="I1870" s="6">
        <v>1622345</v>
      </c>
      <c r="J1870" s="5" t="s">
        <v>186</v>
      </c>
      <c r="K1870" s="1">
        <v>1</v>
      </c>
      <c r="L1870" s="1" t="str">
        <f t="shared" si="114"/>
        <v>Norrviken 1</v>
      </c>
      <c r="M1870" s="5" t="s">
        <v>211</v>
      </c>
      <c r="N1870" s="6">
        <v>1</v>
      </c>
      <c r="O1870" s="6">
        <v>1</v>
      </c>
      <c r="Q1870" s="6">
        <v>1.5</v>
      </c>
      <c r="R1870" s="6">
        <v>11.7</v>
      </c>
      <c r="S1870" s="6">
        <v>85</v>
      </c>
    </row>
    <row r="1871" spans="1:43" x14ac:dyDescent="0.3">
      <c r="A1871" s="6">
        <v>28033</v>
      </c>
      <c r="B1871" s="5" t="s">
        <v>230</v>
      </c>
      <c r="C1871" s="5" t="s">
        <v>231</v>
      </c>
      <c r="D1871" s="2">
        <f t="shared" si="112"/>
        <v>2014</v>
      </c>
      <c r="E1871" s="2">
        <f t="shared" si="113"/>
        <v>2</v>
      </c>
      <c r="F1871" s="3" t="s">
        <v>175</v>
      </c>
      <c r="G1871" s="7">
        <v>41688</v>
      </c>
      <c r="H1871" s="6">
        <v>6599245</v>
      </c>
      <c r="I1871" s="6">
        <v>1622345</v>
      </c>
      <c r="J1871" s="5" t="s">
        <v>186</v>
      </c>
      <c r="K1871" s="1">
        <v>1</v>
      </c>
      <c r="L1871" s="1" t="str">
        <f t="shared" si="114"/>
        <v>Norrviken 1</v>
      </c>
      <c r="M1871" s="5" t="s">
        <v>212</v>
      </c>
      <c r="N1871" s="6">
        <v>2</v>
      </c>
      <c r="O1871" s="6">
        <v>2</v>
      </c>
      <c r="Q1871" s="6">
        <v>1.5</v>
      </c>
      <c r="R1871" s="6">
        <v>10.3</v>
      </c>
      <c r="S1871" s="6">
        <v>74</v>
      </c>
    </row>
    <row r="1872" spans="1:43" x14ac:dyDescent="0.3">
      <c r="A1872" s="6">
        <v>28034</v>
      </c>
      <c r="B1872" s="5" t="s">
        <v>230</v>
      </c>
      <c r="C1872" s="5" t="s">
        <v>231</v>
      </c>
      <c r="D1872" s="2">
        <f t="shared" si="112"/>
        <v>2014</v>
      </c>
      <c r="E1872" s="2">
        <f t="shared" si="113"/>
        <v>2</v>
      </c>
      <c r="F1872" s="3" t="s">
        <v>175</v>
      </c>
      <c r="G1872" s="7">
        <v>41688</v>
      </c>
      <c r="H1872" s="6">
        <v>6599245</v>
      </c>
      <c r="I1872" s="6">
        <v>1622345</v>
      </c>
      <c r="J1872" s="5" t="s">
        <v>186</v>
      </c>
      <c r="K1872" s="1">
        <v>1</v>
      </c>
      <c r="L1872" s="1" t="str">
        <f t="shared" si="114"/>
        <v>Norrviken 1</v>
      </c>
      <c r="M1872" s="1" t="s">
        <v>184</v>
      </c>
      <c r="N1872" s="6">
        <v>2.7</v>
      </c>
      <c r="O1872" s="6">
        <v>2.7</v>
      </c>
      <c r="Q1872" s="6">
        <v>2</v>
      </c>
      <c r="R1872" s="6">
        <v>7.6</v>
      </c>
      <c r="S1872" s="6">
        <v>55</v>
      </c>
      <c r="W1872" s="6">
        <v>162.267</v>
      </c>
      <c r="Y1872" s="6">
        <v>9.7000000000000003E-2</v>
      </c>
      <c r="Z1872" s="6">
        <v>5.29</v>
      </c>
      <c r="AA1872" s="6">
        <v>9.5</v>
      </c>
      <c r="AD1872" s="6">
        <v>667.2</v>
      </c>
      <c r="AK1872" s="6">
        <v>42.54</v>
      </c>
      <c r="AL1872" s="6">
        <v>1564.41</v>
      </c>
      <c r="AM1872" s="6"/>
      <c r="AN1872" s="6"/>
      <c r="AO1872" s="6"/>
      <c r="AP1872" s="6"/>
      <c r="AQ1872" s="6"/>
    </row>
    <row r="1873" spans="1:43" x14ac:dyDescent="0.3">
      <c r="A1873" s="6">
        <v>28035</v>
      </c>
      <c r="B1873" s="5" t="s">
        <v>230</v>
      </c>
      <c r="C1873" s="5" t="s">
        <v>231</v>
      </c>
      <c r="D1873" s="2">
        <f t="shared" si="112"/>
        <v>2014</v>
      </c>
      <c r="E1873" s="2">
        <f t="shared" si="113"/>
        <v>2</v>
      </c>
      <c r="F1873" s="3" t="s">
        <v>175</v>
      </c>
      <c r="G1873" s="7">
        <v>41688</v>
      </c>
      <c r="H1873" s="6">
        <v>6596620</v>
      </c>
      <c r="I1873" s="6">
        <v>1620350</v>
      </c>
      <c r="J1873" s="5" t="s">
        <v>186</v>
      </c>
      <c r="K1873" s="1">
        <v>2</v>
      </c>
      <c r="L1873" s="1" t="str">
        <f t="shared" si="114"/>
        <v>Norrviken 2</v>
      </c>
      <c r="M1873" s="1" t="s">
        <v>177</v>
      </c>
      <c r="N1873" s="6">
        <v>0.5</v>
      </c>
      <c r="O1873" s="6">
        <v>0.5</v>
      </c>
      <c r="P1873" s="6">
        <v>5</v>
      </c>
      <c r="Q1873" s="6">
        <v>1.9</v>
      </c>
      <c r="R1873" s="6">
        <v>12</v>
      </c>
      <c r="S1873" s="6">
        <v>87</v>
      </c>
      <c r="W1873" s="6">
        <v>56.083100000000002</v>
      </c>
      <c r="Y1873" s="6">
        <v>4.7E-2</v>
      </c>
      <c r="Z1873" s="6">
        <v>26.13</v>
      </c>
      <c r="AA1873" s="6">
        <v>1.8</v>
      </c>
      <c r="AD1873" s="6">
        <v>459.78</v>
      </c>
      <c r="AK1873" s="6">
        <v>42.76</v>
      </c>
      <c r="AL1873" s="6">
        <v>1004.98</v>
      </c>
      <c r="AM1873" s="6"/>
      <c r="AN1873" s="6"/>
      <c r="AO1873" s="6"/>
      <c r="AP1873" s="6"/>
      <c r="AQ1873" s="6"/>
    </row>
    <row r="1874" spans="1:43" x14ac:dyDescent="0.3">
      <c r="A1874" s="6">
        <v>28036</v>
      </c>
      <c r="B1874" s="5" t="s">
        <v>230</v>
      </c>
      <c r="C1874" s="5" t="s">
        <v>231</v>
      </c>
      <c r="D1874" s="2">
        <f t="shared" si="112"/>
        <v>2014</v>
      </c>
      <c r="E1874" s="2">
        <f t="shared" si="113"/>
        <v>2</v>
      </c>
      <c r="F1874" s="3" t="s">
        <v>175</v>
      </c>
      <c r="G1874" s="7">
        <v>41688</v>
      </c>
      <c r="H1874" s="6">
        <v>6596620</v>
      </c>
      <c r="I1874" s="6">
        <v>1620350</v>
      </c>
      <c r="J1874" s="5" t="s">
        <v>186</v>
      </c>
      <c r="K1874" s="1">
        <v>2</v>
      </c>
      <c r="L1874" s="1" t="str">
        <f t="shared" si="114"/>
        <v>Norrviken 2</v>
      </c>
      <c r="M1874" s="5" t="s">
        <v>211</v>
      </c>
      <c r="N1874" s="6">
        <v>1</v>
      </c>
      <c r="O1874" s="6">
        <v>1</v>
      </c>
      <c r="Q1874" s="6">
        <v>1.8</v>
      </c>
      <c r="R1874" s="6">
        <v>12</v>
      </c>
      <c r="S1874" s="6">
        <v>87</v>
      </c>
    </row>
    <row r="1875" spans="1:43" x14ac:dyDescent="0.3">
      <c r="A1875" s="6">
        <v>28037</v>
      </c>
      <c r="B1875" s="5" t="s">
        <v>230</v>
      </c>
      <c r="C1875" s="5" t="s">
        <v>231</v>
      </c>
      <c r="D1875" s="2">
        <f t="shared" si="112"/>
        <v>2014</v>
      </c>
      <c r="E1875" s="2">
        <f t="shared" si="113"/>
        <v>2</v>
      </c>
      <c r="F1875" s="3" t="s">
        <v>175</v>
      </c>
      <c r="G1875" s="7">
        <v>41688</v>
      </c>
      <c r="H1875" s="6">
        <v>6596620</v>
      </c>
      <c r="I1875" s="6">
        <v>1620350</v>
      </c>
      <c r="J1875" s="5" t="s">
        <v>186</v>
      </c>
      <c r="K1875" s="1">
        <v>2</v>
      </c>
      <c r="L1875" s="1" t="str">
        <f t="shared" si="114"/>
        <v>Norrviken 2</v>
      </c>
      <c r="M1875" s="5" t="s">
        <v>212</v>
      </c>
      <c r="N1875" s="6">
        <v>2</v>
      </c>
      <c r="O1875" s="6">
        <v>2</v>
      </c>
      <c r="Q1875" s="6">
        <v>1.8</v>
      </c>
      <c r="R1875" s="6">
        <v>12</v>
      </c>
      <c r="S1875" s="6">
        <v>87</v>
      </c>
    </row>
    <row r="1876" spans="1:43" x14ac:dyDescent="0.3">
      <c r="A1876" s="6">
        <v>28038</v>
      </c>
      <c r="B1876" s="5" t="s">
        <v>230</v>
      </c>
      <c r="C1876" s="5" t="s">
        <v>231</v>
      </c>
      <c r="D1876" s="2">
        <f t="shared" si="112"/>
        <v>2014</v>
      </c>
      <c r="E1876" s="2">
        <f t="shared" si="113"/>
        <v>2</v>
      </c>
      <c r="F1876" s="3" t="s">
        <v>175</v>
      </c>
      <c r="G1876" s="7">
        <v>41688</v>
      </c>
      <c r="H1876" s="6">
        <v>6596620</v>
      </c>
      <c r="I1876" s="6">
        <v>1620350</v>
      </c>
      <c r="J1876" s="5" t="s">
        <v>186</v>
      </c>
      <c r="K1876" s="1">
        <v>2</v>
      </c>
      <c r="L1876" s="1" t="str">
        <f t="shared" si="114"/>
        <v>Norrviken 2</v>
      </c>
      <c r="M1876" s="5" t="s">
        <v>213</v>
      </c>
      <c r="N1876" s="6">
        <v>3</v>
      </c>
      <c r="O1876" s="6">
        <v>3</v>
      </c>
      <c r="Q1876" s="6">
        <v>1.8</v>
      </c>
      <c r="R1876" s="6">
        <v>12</v>
      </c>
      <c r="S1876" s="6">
        <v>87</v>
      </c>
    </row>
    <row r="1877" spans="1:43" x14ac:dyDescent="0.3">
      <c r="A1877" s="6">
        <v>28039</v>
      </c>
      <c r="B1877" s="5" t="s">
        <v>230</v>
      </c>
      <c r="C1877" s="5" t="s">
        <v>231</v>
      </c>
      <c r="D1877" s="2">
        <f t="shared" si="112"/>
        <v>2014</v>
      </c>
      <c r="E1877" s="2">
        <f t="shared" si="113"/>
        <v>2</v>
      </c>
      <c r="F1877" s="3" t="s">
        <v>175</v>
      </c>
      <c r="G1877" s="7">
        <v>41688</v>
      </c>
      <c r="H1877" s="6">
        <v>6596620</v>
      </c>
      <c r="I1877" s="6">
        <v>1620350</v>
      </c>
      <c r="J1877" s="5" t="s">
        <v>186</v>
      </c>
      <c r="K1877" s="1">
        <v>2</v>
      </c>
      <c r="L1877" s="1" t="str">
        <f t="shared" si="114"/>
        <v>Norrviken 2</v>
      </c>
      <c r="M1877" s="5" t="s">
        <v>214</v>
      </c>
      <c r="N1877" s="6">
        <v>4</v>
      </c>
      <c r="O1877" s="6">
        <v>4</v>
      </c>
      <c r="Q1877" s="6">
        <v>1.8</v>
      </c>
      <c r="R1877" s="6">
        <v>11.9</v>
      </c>
      <c r="S1877" s="6">
        <v>86</v>
      </c>
    </row>
    <row r="1878" spans="1:43" x14ac:dyDescent="0.3">
      <c r="A1878" s="6">
        <v>28040</v>
      </c>
      <c r="B1878" s="5" t="s">
        <v>230</v>
      </c>
      <c r="C1878" s="5" t="s">
        <v>231</v>
      </c>
      <c r="D1878" s="2">
        <f t="shared" si="112"/>
        <v>2014</v>
      </c>
      <c r="E1878" s="2">
        <f t="shared" si="113"/>
        <v>2</v>
      </c>
      <c r="F1878" s="3" t="s">
        <v>175</v>
      </c>
      <c r="G1878" s="7">
        <v>41688</v>
      </c>
      <c r="H1878" s="6">
        <v>6596620</v>
      </c>
      <c r="I1878" s="6">
        <v>1620350</v>
      </c>
      <c r="J1878" s="5" t="s">
        <v>186</v>
      </c>
      <c r="K1878" s="1">
        <v>2</v>
      </c>
      <c r="L1878" s="1" t="str">
        <f t="shared" si="114"/>
        <v>Norrviken 2</v>
      </c>
      <c r="M1878" s="5" t="s">
        <v>217</v>
      </c>
      <c r="N1878" s="6">
        <v>5</v>
      </c>
      <c r="O1878" s="6">
        <v>5</v>
      </c>
      <c r="Q1878" s="6">
        <v>1.8</v>
      </c>
      <c r="R1878" s="6">
        <v>11.7</v>
      </c>
      <c r="S1878" s="6">
        <v>85</v>
      </c>
    </row>
    <row r="1879" spans="1:43" x14ac:dyDescent="0.3">
      <c r="A1879" s="6">
        <v>28041</v>
      </c>
      <c r="B1879" s="5" t="s">
        <v>230</v>
      </c>
      <c r="C1879" s="5" t="s">
        <v>231</v>
      </c>
      <c r="D1879" s="2">
        <f t="shared" si="112"/>
        <v>2014</v>
      </c>
      <c r="E1879" s="2">
        <f t="shared" si="113"/>
        <v>2</v>
      </c>
      <c r="F1879" s="3" t="s">
        <v>175</v>
      </c>
      <c r="G1879" s="7">
        <v>41688</v>
      </c>
      <c r="H1879" s="6">
        <v>6596620</v>
      </c>
      <c r="I1879" s="6">
        <v>1620350</v>
      </c>
      <c r="J1879" s="5" t="s">
        <v>186</v>
      </c>
      <c r="K1879" s="1">
        <v>2</v>
      </c>
      <c r="L1879" s="1" t="str">
        <f t="shared" si="114"/>
        <v>Norrviken 2</v>
      </c>
      <c r="M1879" s="5" t="s">
        <v>218</v>
      </c>
      <c r="N1879" s="6">
        <v>6</v>
      </c>
      <c r="O1879" s="6">
        <v>6</v>
      </c>
      <c r="Q1879" s="6">
        <v>1.9</v>
      </c>
      <c r="R1879" s="6">
        <v>10.3</v>
      </c>
      <c r="S1879" s="6">
        <v>75</v>
      </c>
    </row>
    <row r="1880" spans="1:43" x14ac:dyDescent="0.3">
      <c r="A1880" s="6">
        <v>28042</v>
      </c>
      <c r="B1880" s="5" t="s">
        <v>230</v>
      </c>
      <c r="C1880" s="5" t="s">
        <v>231</v>
      </c>
      <c r="D1880" s="2">
        <f t="shared" si="112"/>
        <v>2014</v>
      </c>
      <c r="E1880" s="2">
        <f t="shared" si="113"/>
        <v>2</v>
      </c>
      <c r="F1880" s="3" t="s">
        <v>175</v>
      </c>
      <c r="G1880" s="7">
        <v>41688</v>
      </c>
      <c r="H1880" s="6">
        <v>6596620</v>
      </c>
      <c r="I1880" s="6">
        <v>1620350</v>
      </c>
      <c r="J1880" s="5" t="s">
        <v>186</v>
      </c>
      <c r="K1880" s="1">
        <v>2</v>
      </c>
      <c r="L1880" s="1" t="str">
        <f t="shared" si="114"/>
        <v>Norrviken 2</v>
      </c>
      <c r="M1880" s="5" t="s">
        <v>219</v>
      </c>
      <c r="N1880" s="6">
        <v>7</v>
      </c>
      <c r="O1880" s="6">
        <v>7</v>
      </c>
      <c r="Q1880" s="6">
        <v>1.9</v>
      </c>
      <c r="R1880" s="6">
        <v>10.1</v>
      </c>
      <c r="S1880" s="6">
        <v>73</v>
      </c>
    </row>
    <row r="1881" spans="1:43" x14ac:dyDescent="0.3">
      <c r="A1881" s="6">
        <v>28043</v>
      </c>
      <c r="B1881" s="5" t="s">
        <v>230</v>
      </c>
      <c r="C1881" s="5" t="s">
        <v>231</v>
      </c>
      <c r="D1881" s="2">
        <f t="shared" si="112"/>
        <v>2014</v>
      </c>
      <c r="E1881" s="2">
        <f t="shared" si="113"/>
        <v>2</v>
      </c>
      <c r="F1881" s="3" t="s">
        <v>175</v>
      </c>
      <c r="G1881" s="7">
        <v>41688</v>
      </c>
      <c r="H1881" s="6">
        <v>6596620</v>
      </c>
      <c r="I1881" s="6">
        <v>1620350</v>
      </c>
      <c r="J1881" s="5" t="s">
        <v>186</v>
      </c>
      <c r="K1881" s="1">
        <v>2</v>
      </c>
      <c r="L1881" s="1" t="str">
        <f t="shared" si="114"/>
        <v>Norrviken 2</v>
      </c>
      <c r="M1881" s="5" t="s">
        <v>220</v>
      </c>
      <c r="N1881" s="6">
        <v>8</v>
      </c>
      <c r="O1881" s="6">
        <v>8</v>
      </c>
      <c r="Q1881" s="6">
        <v>2.5</v>
      </c>
      <c r="R1881" s="6">
        <v>4.4000000000000004</v>
      </c>
      <c r="S1881" s="6">
        <v>32</v>
      </c>
    </row>
    <row r="1882" spans="1:43" x14ac:dyDescent="0.3">
      <c r="A1882" s="6">
        <v>28044</v>
      </c>
      <c r="B1882" s="5" t="s">
        <v>230</v>
      </c>
      <c r="C1882" s="5" t="s">
        <v>231</v>
      </c>
      <c r="D1882" s="2">
        <f t="shared" si="112"/>
        <v>2014</v>
      </c>
      <c r="E1882" s="2">
        <f t="shared" si="113"/>
        <v>2</v>
      </c>
      <c r="F1882" s="3" t="s">
        <v>175</v>
      </c>
      <c r="G1882" s="7">
        <v>41688</v>
      </c>
      <c r="H1882" s="6">
        <v>6596620</v>
      </c>
      <c r="I1882" s="6">
        <v>1620350</v>
      </c>
      <c r="J1882" s="5" t="s">
        <v>186</v>
      </c>
      <c r="K1882" s="1">
        <v>2</v>
      </c>
      <c r="L1882" s="1" t="str">
        <f t="shared" si="114"/>
        <v>Norrviken 2</v>
      </c>
      <c r="M1882" s="1" t="s">
        <v>184</v>
      </c>
      <c r="N1882" s="6">
        <v>8.6999999999999993</v>
      </c>
      <c r="O1882" s="6">
        <v>8.6999999999999993</v>
      </c>
      <c r="Q1882" s="6">
        <v>2.9</v>
      </c>
      <c r="R1882" s="6">
        <v>2</v>
      </c>
      <c r="S1882" s="6">
        <v>15</v>
      </c>
      <c r="W1882" s="6">
        <v>58.524799999999999</v>
      </c>
      <c r="Y1882" s="6">
        <v>5.6000000000000001E-2</v>
      </c>
      <c r="Z1882" s="6">
        <v>45.95</v>
      </c>
      <c r="AA1882" s="6">
        <v>3.8</v>
      </c>
      <c r="AD1882" s="6">
        <v>650.14</v>
      </c>
      <c r="AK1882" s="6">
        <v>66.22</v>
      </c>
      <c r="AL1882" s="6">
        <v>1249.67</v>
      </c>
      <c r="AM1882" s="6"/>
      <c r="AN1882" s="6"/>
      <c r="AO1882" s="6"/>
      <c r="AP1882" s="6"/>
      <c r="AQ1882" s="6"/>
    </row>
    <row r="1883" spans="1:43" x14ac:dyDescent="0.3">
      <c r="A1883" s="6">
        <v>28045</v>
      </c>
      <c r="B1883" s="5" t="s">
        <v>230</v>
      </c>
      <c r="C1883" s="5" t="s">
        <v>231</v>
      </c>
      <c r="D1883" s="2">
        <f t="shared" si="112"/>
        <v>2014</v>
      </c>
      <c r="E1883" s="2">
        <f t="shared" si="113"/>
        <v>2</v>
      </c>
      <c r="F1883" s="3" t="s">
        <v>175</v>
      </c>
      <c r="G1883" s="7">
        <v>41688</v>
      </c>
      <c r="H1883" s="6">
        <v>6594885</v>
      </c>
      <c r="I1883" s="6">
        <v>1620750</v>
      </c>
      <c r="J1883" s="5" t="s">
        <v>186</v>
      </c>
      <c r="K1883" s="1">
        <v>3</v>
      </c>
      <c r="L1883" s="1" t="str">
        <f t="shared" si="114"/>
        <v>Norrviken 3</v>
      </c>
      <c r="M1883" s="1" t="s">
        <v>177</v>
      </c>
      <c r="N1883" s="6">
        <v>0.5</v>
      </c>
      <c r="O1883" s="6">
        <v>0.5</v>
      </c>
      <c r="P1883" s="6">
        <v>5.5</v>
      </c>
      <c r="Q1883" s="6">
        <v>1.9</v>
      </c>
      <c r="R1883" s="6">
        <v>12</v>
      </c>
      <c r="S1883" s="6">
        <v>87</v>
      </c>
      <c r="W1883" s="6">
        <v>22.9191</v>
      </c>
      <c r="Y1883" s="6">
        <v>3.1E-2</v>
      </c>
      <c r="Z1883" s="6">
        <v>41.06</v>
      </c>
      <c r="AA1883" s="6">
        <v>0.89</v>
      </c>
      <c r="AD1883" s="6">
        <v>441.77</v>
      </c>
      <c r="AK1883" s="6">
        <v>54.73</v>
      </c>
      <c r="AL1883" s="6">
        <v>955.98</v>
      </c>
      <c r="AM1883" s="6"/>
      <c r="AN1883" s="6"/>
      <c r="AO1883" s="6"/>
      <c r="AP1883" s="6"/>
      <c r="AQ1883" s="6"/>
    </row>
    <row r="1884" spans="1:43" x14ac:dyDescent="0.3">
      <c r="A1884" s="6">
        <v>28046</v>
      </c>
      <c r="B1884" s="5" t="s">
        <v>230</v>
      </c>
      <c r="C1884" s="5" t="s">
        <v>231</v>
      </c>
      <c r="D1884" s="2">
        <f t="shared" si="112"/>
        <v>2014</v>
      </c>
      <c r="E1884" s="2">
        <f t="shared" si="113"/>
        <v>2</v>
      </c>
      <c r="F1884" s="3" t="s">
        <v>175</v>
      </c>
      <c r="G1884" s="7">
        <v>41688</v>
      </c>
      <c r="H1884" s="6">
        <v>6594885</v>
      </c>
      <c r="I1884" s="6">
        <v>1620750</v>
      </c>
      <c r="J1884" s="5" t="s">
        <v>186</v>
      </c>
      <c r="K1884" s="1">
        <v>3</v>
      </c>
      <c r="L1884" s="1" t="str">
        <f t="shared" si="114"/>
        <v>Norrviken 3</v>
      </c>
      <c r="M1884" s="5" t="s">
        <v>211</v>
      </c>
      <c r="N1884" s="6">
        <v>1</v>
      </c>
      <c r="O1884" s="6">
        <v>1</v>
      </c>
      <c r="Q1884" s="6">
        <v>1.9</v>
      </c>
      <c r="R1884" s="6">
        <v>11.9</v>
      </c>
      <c r="S1884" s="6">
        <v>87</v>
      </c>
    </row>
    <row r="1885" spans="1:43" x14ac:dyDescent="0.3">
      <c r="A1885" s="6">
        <v>28047</v>
      </c>
      <c r="B1885" s="5" t="s">
        <v>230</v>
      </c>
      <c r="C1885" s="5" t="s">
        <v>231</v>
      </c>
      <c r="D1885" s="2">
        <f t="shared" si="112"/>
        <v>2014</v>
      </c>
      <c r="E1885" s="2">
        <f t="shared" si="113"/>
        <v>2</v>
      </c>
      <c r="F1885" s="3" t="s">
        <v>175</v>
      </c>
      <c r="G1885" s="7">
        <v>41688</v>
      </c>
      <c r="H1885" s="6">
        <v>6594885</v>
      </c>
      <c r="I1885" s="6">
        <v>1620750</v>
      </c>
      <c r="J1885" s="5" t="s">
        <v>186</v>
      </c>
      <c r="K1885" s="1">
        <v>3</v>
      </c>
      <c r="L1885" s="1" t="str">
        <f t="shared" si="114"/>
        <v>Norrviken 3</v>
      </c>
      <c r="M1885" s="5" t="s">
        <v>212</v>
      </c>
      <c r="N1885" s="6">
        <v>2</v>
      </c>
      <c r="O1885" s="6">
        <v>2</v>
      </c>
      <c r="Q1885" s="6">
        <v>1.9</v>
      </c>
      <c r="R1885" s="6">
        <v>11.8</v>
      </c>
      <c r="S1885" s="6">
        <v>86</v>
      </c>
    </row>
    <row r="1886" spans="1:43" x14ac:dyDescent="0.3">
      <c r="A1886" s="6">
        <v>28048</v>
      </c>
      <c r="B1886" s="5" t="s">
        <v>230</v>
      </c>
      <c r="C1886" s="5" t="s">
        <v>231</v>
      </c>
      <c r="D1886" s="2">
        <f t="shared" si="112"/>
        <v>2014</v>
      </c>
      <c r="E1886" s="2">
        <f t="shared" si="113"/>
        <v>2</v>
      </c>
      <c r="F1886" s="3" t="s">
        <v>175</v>
      </c>
      <c r="G1886" s="7">
        <v>41688</v>
      </c>
      <c r="H1886" s="6">
        <v>6594885</v>
      </c>
      <c r="I1886" s="6">
        <v>1620750</v>
      </c>
      <c r="J1886" s="5" t="s">
        <v>186</v>
      </c>
      <c r="K1886" s="1">
        <v>3</v>
      </c>
      <c r="L1886" s="1" t="str">
        <f t="shared" si="114"/>
        <v>Norrviken 3</v>
      </c>
      <c r="M1886" s="5" t="s">
        <v>213</v>
      </c>
      <c r="N1886" s="6">
        <v>3</v>
      </c>
      <c r="O1886" s="6">
        <v>3</v>
      </c>
      <c r="Q1886" s="6">
        <v>1.9</v>
      </c>
      <c r="R1886" s="6">
        <v>11.8</v>
      </c>
      <c r="S1886" s="6">
        <v>86</v>
      </c>
    </row>
    <row r="1887" spans="1:43" x14ac:dyDescent="0.3">
      <c r="A1887" s="6">
        <v>28049</v>
      </c>
      <c r="B1887" s="5" t="s">
        <v>230</v>
      </c>
      <c r="C1887" s="5" t="s">
        <v>231</v>
      </c>
      <c r="D1887" s="2">
        <f t="shared" si="112"/>
        <v>2014</v>
      </c>
      <c r="E1887" s="2">
        <f t="shared" si="113"/>
        <v>2</v>
      </c>
      <c r="F1887" s="3" t="s">
        <v>175</v>
      </c>
      <c r="G1887" s="7">
        <v>41688</v>
      </c>
      <c r="H1887" s="6">
        <v>6594885</v>
      </c>
      <c r="I1887" s="6">
        <v>1620750</v>
      </c>
      <c r="J1887" s="5" t="s">
        <v>186</v>
      </c>
      <c r="K1887" s="1">
        <v>3</v>
      </c>
      <c r="L1887" s="1" t="str">
        <f t="shared" si="114"/>
        <v>Norrviken 3</v>
      </c>
      <c r="M1887" s="5" t="s">
        <v>214</v>
      </c>
      <c r="N1887" s="6">
        <v>4</v>
      </c>
      <c r="O1887" s="6">
        <v>4</v>
      </c>
      <c r="Q1887" s="6">
        <v>1.9</v>
      </c>
      <c r="R1887" s="6">
        <v>11.8</v>
      </c>
      <c r="S1887" s="6">
        <v>86</v>
      </c>
    </row>
    <row r="1888" spans="1:43" x14ac:dyDescent="0.3">
      <c r="A1888" s="6">
        <v>28050</v>
      </c>
      <c r="B1888" s="5" t="s">
        <v>230</v>
      </c>
      <c r="C1888" s="5" t="s">
        <v>231</v>
      </c>
      <c r="D1888" s="2">
        <f t="shared" si="112"/>
        <v>2014</v>
      </c>
      <c r="E1888" s="2">
        <f t="shared" si="113"/>
        <v>2</v>
      </c>
      <c r="F1888" s="3" t="s">
        <v>175</v>
      </c>
      <c r="G1888" s="7">
        <v>41688</v>
      </c>
      <c r="H1888" s="6">
        <v>6594885</v>
      </c>
      <c r="I1888" s="6">
        <v>1620750</v>
      </c>
      <c r="J1888" s="5" t="s">
        <v>186</v>
      </c>
      <c r="K1888" s="1">
        <v>3</v>
      </c>
      <c r="L1888" s="1" t="str">
        <f t="shared" si="114"/>
        <v>Norrviken 3</v>
      </c>
      <c r="M1888" s="5" t="s">
        <v>217</v>
      </c>
      <c r="N1888" s="6">
        <v>5</v>
      </c>
      <c r="O1888" s="6">
        <v>5</v>
      </c>
      <c r="Q1888" s="6">
        <v>1.9</v>
      </c>
      <c r="R1888" s="6">
        <v>11.6</v>
      </c>
      <c r="S1888" s="6">
        <v>84</v>
      </c>
    </row>
    <row r="1889" spans="1:43" x14ac:dyDescent="0.3">
      <c r="A1889" s="6">
        <v>28051</v>
      </c>
      <c r="B1889" s="5" t="s">
        <v>230</v>
      </c>
      <c r="C1889" s="5" t="s">
        <v>231</v>
      </c>
      <c r="D1889" s="2">
        <f t="shared" si="112"/>
        <v>2014</v>
      </c>
      <c r="E1889" s="2">
        <f t="shared" si="113"/>
        <v>2</v>
      </c>
      <c r="F1889" s="3" t="s">
        <v>175</v>
      </c>
      <c r="G1889" s="7">
        <v>41688</v>
      </c>
      <c r="H1889" s="6">
        <v>6594885</v>
      </c>
      <c r="I1889" s="6">
        <v>1620750</v>
      </c>
      <c r="J1889" s="5" t="s">
        <v>186</v>
      </c>
      <c r="K1889" s="1">
        <v>3</v>
      </c>
      <c r="L1889" s="1" t="str">
        <f t="shared" si="114"/>
        <v>Norrviken 3</v>
      </c>
      <c r="M1889" s="5" t="s">
        <v>218</v>
      </c>
      <c r="N1889" s="6">
        <v>6</v>
      </c>
      <c r="O1889" s="6">
        <v>6</v>
      </c>
      <c r="Q1889" s="6">
        <v>1.9</v>
      </c>
      <c r="R1889" s="6">
        <v>10.9</v>
      </c>
      <c r="S1889" s="6">
        <v>79</v>
      </c>
    </row>
    <row r="1890" spans="1:43" x14ac:dyDescent="0.3">
      <c r="A1890" s="6">
        <v>28052</v>
      </c>
      <c r="B1890" s="5" t="s">
        <v>230</v>
      </c>
      <c r="C1890" s="5" t="s">
        <v>231</v>
      </c>
      <c r="D1890" s="2">
        <f t="shared" si="112"/>
        <v>2014</v>
      </c>
      <c r="E1890" s="2">
        <f t="shared" si="113"/>
        <v>2</v>
      </c>
      <c r="F1890" s="3" t="s">
        <v>175</v>
      </c>
      <c r="G1890" s="7">
        <v>41688</v>
      </c>
      <c r="H1890" s="6">
        <v>6594885</v>
      </c>
      <c r="I1890" s="6">
        <v>1620750</v>
      </c>
      <c r="J1890" s="5" t="s">
        <v>186</v>
      </c>
      <c r="K1890" s="1">
        <v>3</v>
      </c>
      <c r="L1890" s="1" t="str">
        <f t="shared" si="114"/>
        <v>Norrviken 3</v>
      </c>
      <c r="M1890" s="5" t="s">
        <v>219</v>
      </c>
      <c r="N1890" s="6">
        <v>7</v>
      </c>
      <c r="O1890" s="6">
        <v>7</v>
      </c>
      <c r="Q1890" s="6">
        <v>2.1</v>
      </c>
      <c r="R1890" s="6">
        <v>9.6999999999999993</v>
      </c>
      <c r="S1890" s="6">
        <v>71</v>
      </c>
    </row>
    <row r="1891" spans="1:43" x14ac:dyDescent="0.3">
      <c r="A1891" s="6">
        <v>28053</v>
      </c>
      <c r="B1891" s="5" t="s">
        <v>230</v>
      </c>
      <c r="C1891" s="5" t="s">
        <v>231</v>
      </c>
      <c r="D1891" s="2">
        <f t="shared" si="112"/>
        <v>2014</v>
      </c>
      <c r="E1891" s="2">
        <f t="shared" si="113"/>
        <v>2</v>
      </c>
      <c r="F1891" s="3" t="s">
        <v>175</v>
      </c>
      <c r="G1891" s="7">
        <v>41688</v>
      </c>
      <c r="H1891" s="6">
        <v>6594885</v>
      </c>
      <c r="I1891" s="6">
        <v>1620750</v>
      </c>
      <c r="J1891" s="5" t="s">
        <v>186</v>
      </c>
      <c r="K1891" s="1">
        <v>3</v>
      </c>
      <c r="L1891" s="1" t="str">
        <f t="shared" si="114"/>
        <v>Norrviken 3</v>
      </c>
      <c r="M1891" s="5" t="s">
        <v>220</v>
      </c>
      <c r="N1891" s="6">
        <v>8</v>
      </c>
      <c r="O1891" s="6">
        <v>8</v>
      </c>
      <c r="Q1891" s="6">
        <v>2.2000000000000002</v>
      </c>
      <c r="R1891" s="6">
        <v>8.6</v>
      </c>
      <c r="S1891" s="6">
        <v>63</v>
      </c>
    </row>
    <row r="1892" spans="1:43" x14ac:dyDescent="0.3">
      <c r="A1892" s="6">
        <v>28054</v>
      </c>
      <c r="B1892" s="5" t="s">
        <v>230</v>
      </c>
      <c r="C1892" s="5" t="s">
        <v>231</v>
      </c>
      <c r="D1892" s="2">
        <f t="shared" si="112"/>
        <v>2014</v>
      </c>
      <c r="E1892" s="2">
        <f t="shared" si="113"/>
        <v>2</v>
      </c>
      <c r="F1892" s="3" t="s">
        <v>175</v>
      </c>
      <c r="G1892" s="7">
        <v>41688</v>
      </c>
      <c r="H1892" s="6">
        <v>6594885</v>
      </c>
      <c r="I1892" s="6">
        <v>1620750</v>
      </c>
      <c r="J1892" s="5" t="s">
        <v>186</v>
      </c>
      <c r="K1892" s="1">
        <v>3</v>
      </c>
      <c r="L1892" s="1" t="str">
        <f t="shared" si="114"/>
        <v>Norrviken 3</v>
      </c>
      <c r="M1892" s="5" t="s">
        <v>221</v>
      </c>
      <c r="N1892" s="6">
        <v>9</v>
      </c>
      <c r="O1892" s="6">
        <v>9</v>
      </c>
      <c r="Q1892" s="6">
        <v>2.2999999999999998</v>
      </c>
      <c r="R1892" s="6">
        <v>6.3</v>
      </c>
      <c r="S1892" s="6">
        <v>46</v>
      </c>
    </row>
    <row r="1893" spans="1:43" x14ac:dyDescent="0.3">
      <c r="A1893" s="6">
        <v>28055</v>
      </c>
      <c r="B1893" s="5" t="s">
        <v>230</v>
      </c>
      <c r="C1893" s="5" t="s">
        <v>231</v>
      </c>
      <c r="D1893" s="2">
        <f t="shared" si="112"/>
        <v>2014</v>
      </c>
      <c r="E1893" s="2">
        <f t="shared" si="113"/>
        <v>2</v>
      </c>
      <c r="F1893" s="3" t="s">
        <v>175</v>
      </c>
      <c r="G1893" s="7">
        <v>41688</v>
      </c>
      <c r="H1893" s="6">
        <v>6594885</v>
      </c>
      <c r="I1893" s="6">
        <v>1620750</v>
      </c>
      <c r="J1893" s="5" t="s">
        <v>186</v>
      </c>
      <c r="K1893" s="1">
        <v>3</v>
      </c>
      <c r="L1893" s="1" t="str">
        <f t="shared" si="114"/>
        <v>Norrviken 3</v>
      </c>
      <c r="M1893" s="5" t="s">
        <v>222</v>
      </c>
      <c r="N1893" s="6">
        <v>10</v>
      </c>
      <c r="O1893" s="6">
        <v>10</v>
      </c>
      <c r="Q1893" s="6">
        <v>2.5</v>
      </c>
      <c r="R1893" s="6">
        <v>5.0999999999999996</v>
      </c>
      <c r="S1893" s="6">
        <v>37</v>
      </c>
    </row>
    <row r="1894" spans="1:43" x14ac:dyDescent="0.3">
      <c r="A1894" s="6">
        <v>28056</v>
      </c>
      <c r="B1894" s="5" t="s">
        <v>230</v>
      </c>
      <c r="C1894" s="5" t="s">
        <v>231</v>
      </c>
      <c r="D1894" s="2">
        <f t="shared" si="112"/>
        <v>2014</v>
      </c>
      <c r="E1894" s="2">
        <f t="shared" si="113"/>
        <v>2</v>
      </c>
      <c r="F1894" s="3" t="s">
        <v>175</v>
      </c>
      <c r="G1894" s="7">
        <v>41688</v>
      </c>
      <c r="H1894" s="6">
        <v>6594885</v>
      </c>
      <c r="I1894" s="6">
        <v>1620750</v>
      </c>
      <c r="J1894" s="5" t="s">
        <v>186</v>
      </c>
      <c r="K1894" s="1">
        <v>3</v>
      </c>
      <c r="L1894" s="1" t="str">
        <f t="shared" si="114"/>
        <v>Norrviken 3</v>
      </c>
      <c r="M1894" s="5" t="s">
        <v>223</v>
      </c>
      <c r="N1894" s="6">
        <v>11</v>
      </c>
      <c r="O1894" s="6">
        <v>11</v>
      </c>
      <c r="Q1894" s="6">
        <v>2.8</v>
      </c>
      <c r="R1894" s="6">
        <v>2</v>
      </c>
      <c r="S1894" s="6">
        <v>15</v>
      </c>
    </row>
    <row r="1895" spans="1:43" x14ac:dyDescent="0.3">
      <c r="A1895" s="6">
        <v>28057</v>
      </c>
      <c r="B1895" s="5" t="s">
        <v>230</v>
      </c>
      <c r="C1895" s="5" t="s">
        <v>231</v>
      </c>
      <c r="D1895" s="2">
        <f t="shared" si="112"/>
        <v>2014</v>
      </c>
      <c r="E1895" s="2">
        <f t="shared" si="113"/>
        <v>2</v>
      </c>
      <c r="F1895" s="3" t="s">
        <v>175</v>
      </c>
      <c r="G1895" s="7">
        <v>41688</v>
      </c>
      <c r="H1895" s="6">
        <v>6594885</v>
      </c>
      <c r="I1895" s="6">
        <v>1620750</v>
      </c>
      <c r="J1895" s="5" t="s">
        <v>186</v>
      </c>
      <c r="K1895" s="1">
        <v>3</v>
      </c>
      <c r="L1895" s="1" t="str">
        <f t="shared" si="114"/>
        <v>Norrviken 3</v>
      </c>
      <c r="M1895" s="1" t="s">
        <v>184</v>
      </c>
      <c r="N1895" s="6">
        <v>11.5</v>
      </c>
      <c r="O1895" s="6">
        <v>11.5</v>
      </c>
      <c r="Q1895" s="6">
        <v>2.9</v>
      </c>
      <c r="R1895" s="6">
        <v>2</v>
      </c>
      <c r="S1895" s="6">
        <v>15</v>
      </c>
      <c r="W1895" s="6">
        <v>124.015</v>
      </c>
      <c r="Y1895" s="6">
        <v>5.6000000000000001E-2</v>
      </c>
      <c r="Z1895" s="6">
        <v>46.11</v>
      </c>
      <c r="AA1895" s="6">
        <v>4.5</v>
      </c>
      <c r="AD1895" s="6">
        <v>540.42999999999995</v>
      </c>
      <c r="AK1895" s="6">
        <v>74.59</v>
      </c>
      <c r="AL1895" s="6">
        <v>1314.88</v>
      </c>
      <c r="AM1895" s="6"/>
      <c r="AN1895" s="6"/>
      <c r="AO1895" s="6"/>
      <c r="AP1895" s="6"/>
      <c r="AQ1895" s="6"/>
    </row>
    <row r="1896" spans="1:43" x14ac:dyDescent="0.3">
      <c r="A1896" s="6">
        <v>28058</v>
      </c>
      <c r="B1896" s="5" t="s">
        <v>230</v>
      </c>
      <c r="C1896" s="5" t="s">
        <v>231</v>
      </c>
      <c r="D1896" s="2">
        <f t="shared" si="112"/>
        <v>2014</v>
      </c>
      <c r="E1896" s="2">
        <f t="shared" si="113"/>
        <v>2</v>
      </c>
      <c r="F1896" s="3" t="s">
        <v>175</v>
      </c>
      <c r="G1896" s="7">
        <v>41688</v>
      </c>
      <c r="H1896" s="6">
        <v>6597300</v>
      </c>
      <c r="I1896" s="6">
        <v>1619975</v>
      </c>
      <c r="J1896" s="5" t="s">
        <v>186</v>
      </c>
      <c r="K1896" s="1">
        <v>4</v>
      </c>
      <c r="L1896" s="1" t="str">
        <f t="shared" si="114"/>
        <v>Norrviken 4</v>
      </c>
      <c r="M1896" s="1" t="s">
        <v>177</v>
      </c>
      <c r="N1896" s="6">
        <v>0.5</v>
      </c>
      <c r="O1896" s="6">
        <v>0.5</v>
      </c>
      <c r="P1896" s="6">
        <v>2.2999999999999998</v>
      </c>
      <c r="Q1896" s="6">
        <v>1.9</v>
      </c>
      <c r="R1896" s="6">
        <v>11.8</v>
      </c>
      <c r="S1896" s="6">
        <v>86</v>
      </c>
      <c r="W1896" s="6">
        <v>131.102</v>
      </c>
      <c r="Y1896" s="6">
        <v>5.8999999999999997E-2</v>
      </c>
      <c r="Z1896" s="6">
        <v>9.1199999999999992</v>
      </c>
      <c r="AA1896" s="6">
        <v>4</v>
      </c>
      <c r="AD1896" s="6">
        <v>440.08</v>
      </c>
      <c r="AK1896" s="6">
        <v>27.76</v>
      </c>
      <c r="AL1896" s="6">
        <v>1237.42</v>
      </c>
      <c r="AM1896" s="6"/>
      <c r="AN1896" s="6"/>
      <c r="AO1896" s="6"/>
      <c r="AP1896" s="6"/>
      <c r="AQ1896" s="6"/>
    </row>
    <row r="1897" spans="1:43" x14ac:dyDescent="0.3">
      <c r="A1897" s="6">
        <v>28059</v>
      </c>
      <c r="B1897" s="5" t="s">
        <v>230</v>
      </c>
      <c r="C1897" s="5" t="s">
        <v>231</v>
      </c>
      <c r="D1897" s="2">
        <f t="shared" si="112"/>
        <v>2014</v>
      </c>
      <c r="E1897" s="2">
        <f t="shared" si="113"/>
        <v>2</v>
      </c>
      <c r="F1897" s="3" t="s">
        <v>175</v>
      </c>
      <c r="G1897" s="7">
        <v>41688</v>
      </c>
      <c r="H1897" s="6">
        <v>6597300</v>
      </c>
      <c r="I1897" s="6">
        <v>1619975</v>
      </c>
      <c r="J1897" s="5" t="s">
        <v>186</v>
      </c>
      <c r="K1897" s="1">
        <v>4</v>
      </c>
      <c r="L1897" s="1" t="str">
        <f t="shared" si="114"/>
        <v>Norrviken 4</v>
      </c>
      <c r="M1897" s="5" t="s">
        <v>211</v>
      </c>
      <c r="N1897" s="6">
        <v>1</v>
      </c>
      <c r="O1897" s="6">
        <v>1</v>
      </c>
      <c r="Q1897" s="6">
        <v>1.8</v>
      </c>
      <c r="R1897" s="6">
        <v>12.2</v>
      </c>
      <c r="S1897" s="6">
        <v>88</v>
      </c>
    </row>
    <row r="1898" spans="1:43" x14ac:dyDescent="0.3">
      <c r="A1898" s="6">
        <v>28060</v>
      </c>
      <c r="B1898" s="5" t="s">
        <v>230</v>
      </c>
      <c r="C1898" s="5" t="s">
        <v>231</v>
      </c>
      <c r="D1898" s="2">
        <f t="shared" si="112"/>
        <v>2014</v>
      </c>
      <c r="E1898" s="2">
        <f t="shared" si="113"/>
        <v>2</v>
      </c>
      <c r="F1898" s="3" t="s">
        <v>175</v>
      </c>
      <c r="G1898" s="7">
        <v>41688</v>
      </c>
      <c r="H1898" s="6">
        <v>6597300</v>
      </c>
      <c r="I1898" s="6">
        <v>1619975</v>
      </c>
      <c r="J1898" s="5" t="s">
        <v>186</v>
      </c>
      <c r="K1898" s="1">
        <v>4</v>
      </c>
      <c r="L1898" s="1" t="str">
        <f t="shared" si="114"/>
        <v>Norrviken 4</v>
      </c>
      <c r="M1898" s="1" t="s">
        <v>184</v>
      </c>
      <c r="N1898" s="6">
        <v>2.2999999999999998</v>
      </c>
      <c r="O1898" s="6">
        <v>2.2999999999999998</v>
      </c>
      <c r="Q1898" s="6">
        <v>1.8</v>
      </c>
      <c r="R1898" s="6">
        <v>12.2</v>
      </c>
      <c r="S1898" s="6">
        <v>88</v>
      </c>
      <c r="W1898" s="6">
        <v>87.354399999999998</v>
      </c>
      <c r="Y1898" s="6">
        <v>5.3999999999999999E-2</v>
      </c>
      <c r="Z1898" s="6">
        <v>21.28</v>
      </c>
      <c r="AA1898" s="6">
        <v>2.6</v>
      </c>
      <c r="AD1898" s="6">
        <v>468.09</v>
      </c>
      <c r="AK1898" s="6">
        <v>46.12</v>
      </c>
      <c r="AL1898" s="6">
        <v>1198.73</v>
      </c>
      <c r="AM1898" s="6"/>
      <c r="AN1898" s="6"/>
      <c r="AO1898" s="6"/>
      <c r="AP1898" s="6"/>
      <c r="AQ1898" s="6"/>
    </row>
    <row r="1899" spans="1:43" x14ac:dyDescent="0.3">
      <c r="A1899" s="1">
        <v>28024</v>
      </c>
      <c r="B1899" s="1" t="s">
        <v>208</v>
      </c>
      <c r="C1899" s="1" t="s">
        <v>209</v>
      </c>
      <c r="D1899" s="2">
        <f t="shared" si="112"/>
        <v>2014</v>
      </c>
      <c r="E1899" s="2">
        <f t="shared" si="113"/>
        <v>2</v>
      </c>
      <c r="F1899" s="3" t="s">
        <v>175</v>
      </c>
      <c r="G1899" s="4">
        <v>41688</v>
      </c>
      <c r="H1899" s="1">
        <v>6600935</v>
      </c>
      <c r="I1899" s="1">
        <v>1626764</v>
      </c>
      <c r="J1899" s="1" t="s">
        <v>191</v>
      </c>
      <c r="K1899" s="1" t="s">
        <v>210</v>
      </c>
      <c r="L1899" s="1" t="str">
        <f t="shared" si="114"/>
        <v>Vallentunasjön Va2</v>
      </c>
      <c r="M1899" s="1" t="s">
        <v>177</v>
      </c>
      <c r="N1899" s="1">
        <v>0.5</v>
      </c>
      <c r="O1899" s="1">
        <v>0.5</v>
      </c>
      <c r="P1899" s="1">
        <v>1.9</v>
      </c>
      <c r="Q1899" s="1">
        <v>1.7</v>
      </c>
      <c r="R1899" s="1">
        <v>13.8</v>
      </c>
      <c r="S1899" s="1">
        <v>100</v>
      </c>
    </row>
    <row r="1900" spans="1:43" x14ac:dyDescent="0.3">
      <c r="A1900" s="1">
        <v>28025</v>
      </c>
      <c r="B1900" s="1" t="s">
        <v>208</v>
      </c>
      <c r="C1900" s="1" t="s">
        <v>209</v>
      </c>
      <c r="D1900" s="2">
        <f t="shared" si="112"/>
        <v>2014</v>
      </c>
      <c r="E1900" s="2">
        <f t="shared" si="113"/>
        <v>2</v>
      </c>
      <c r="F1900" s="3" t="s">
        <v>175</v>
      </c>
      <c r="G1900" s="4">
        <v>41688</v>
      </c>
      <c r="H1900" s="1">
        <v>6600935</v>
      </c>
      <c r="I1900" s="1">
        <v>1626764</v>
      </c>
      <c r="J1900" s="1" t="s">
        <v>191</v>
      </c>
      <c r="K1900" s="1" t="s">
        <v>210</v>
      </c>
      <c r="L1900" s="1" t="str">
        <f t="shared" si="114"/>
        <v>Vallentunasjön Va2</v>
      </c>
      <c r="M1900" s="1" t="s">
        <v>211</v>
      </c>
      <c r="N1900" s="1">
        <v>1</v>
      </c>
      <c r="O1900" s="1">
        <v>1</v>
      </c>
      <c r="Q1900" s="1">
        <v>1.9</v>
      </c>
      <c r="R1900" s="1">
        <v>13.9</v>
      </c>
      <c r="S1900" s="1">
        <v>101</v>
      </c>
    </row>
    <row r="1901" spans="1:43" x14ac:dyDescent="0.3">
      <c r="A1901" s="1">
        <v>28026</v>
      </c>
      <c r="B1901" s="1" t="s">
        <v>208</v>
      </c>
      <c r="C1901" s="1" t="s">
        <v>209</v>
      </c>
      <c r="D1901" s="2">
        <f t="shared" si="112"/>
        <v>2014</v>
      </c>
      <c r="E1901" s="2">
        <f t="shared" si="113"/>
        <v>2</v>
      </c>
      <c r="F1901" s="3" t="s">
        <v>175</v>
      </c>
      <c r="G1901" s="4">
        <v>41688</v>
      </c>
      <c r="H1901" s="1">
        <v>6600935</v>
      </c>
      <c r="I1901" s="1">
        <v>1626764</v>
      </c>
      <c r="J1901" s="1" t="s">
        <v>191</v>
      </c>
      <c r="K1901" s="1" t="s">
        <v>210</v>
      </c>
      <c r="L1901" s="1" t="str">
        <f t="shared" si="114"/>
        <v>Vallentunasjön Va2</v>
      </c>
      <c r="M1901" s="1" t="s">
        <v>212</v>
      </c>
      <c r="N1901" s="1">
        <v>2</v>
      </c>
      <c r="O1901" s="1">
        <v>2</v>
      </c>
      <c r="Q1901" s="1">
        <v>1.9</v>
      </c>
      <c r="R1901" s="1">
        <v>10.5</v>
      </c>
      <c r="S1901" s="1">
        <v>77</v>
      </c>
    </row>
    <row r="1902" spans="1:43" x14ac:dyDescent="0.3">
      <c r="A1902" s="1">
        <v>28027</v>
      </c>
      <c r="B1902" s="1" t="s">
        <v>208</v>
      </c>
      <c r="C1902" s="1" t="s">
        <v>209</v>
      </c>
      <c r="D1902" s="2">
        <f t="shared" si="112"/>
        <v>2014</v>
      </c>
      <c r="E1902" s="2">
        <f t="shared" si="113"/>
        <v>2</v>
      </c>
      <c r="F1902" s="3" t="s">
        <v>175</v>
      </c>
      <c r="G1902" s="4">
        <v>41688</v>
      </c>
      <c r="H1902" s="1">
        <v>6600935</v>
      </c>
      <c r="I1902" s="1">
        <v>1626764</v>
      </c>
      <c r="J1902" s="1" t="s">
        <v>191</v>
      </c>
      <c r="K1902" s="1" t="s">
        <v>210</v>
      </c>
      <c r="L1902" s="1" t="str">
        <f t="shared" si="114"/>
        <v>Vallentunasjön Va2</v>
      </c>
      <c r="M1902" s="1" t="s">
        <v>213</v>
      </c>
      <c r="N1902" s="1">
        <v>3</v>
      </c>
      <c r="O1902" s="1">
        <v>3</v>
      </c>
      <c r="Q1902" s="1">
        <v>2.5</v>
      </c>
      <c r="R1902" s="1">
        <v>3.5</v>
      </c>
      <c r="S1902" s="1">
        <v>26</v>
      </c>
    </row>
    <row r="1903" spans="1:43" x14ac:dyDescent="0.3">
      <c r="A1903" s="1">
        <v>28028</v>
      </c>
      <c r="B1903" s="1" t="s">
        <v>208</v>
      </c>
      <c r="C1903" s="1" t="s">
        <v>209</v>
      </c>
      <c r="D1903" s="2">
        <f t="shared" si="112"/>
        <v>2014</v>
      </c>
      <c r="E1903" s="2">
        <f t="shared" si="113"/>
        <v>2</v>
      </c>
      <c r="F1903" s="3" t="s">
        <v>175</v>
      </c>
      <c r="G1903" s="4">
        <v>41688</v>
      </c>
      <c r="H1903" s="1">
        <v>6600935</v>
      </c>
      <c r="I1903" s="1">
        <v>1626764</v>
      </c>
      <c r="J1903" s="1" t="s">
        <v>191</v>
      </c>
      <c r="K1903" s="1" t="s">
        <v>210</v>
      </c>
      <c r="L1903" s="1" t="str">
        <f t="shared" si="114"/>
        <v>Vallentunasjön Va2</v>
      </c>
      <c r="M1903" s="1" t="s">
        <v>214</v>
      </c>
      <c r="N1903" s="1">
        <v>4</v>
      </c>
      <c r="O1903" s="1">
        <v>4</v>
      </c>
      <c r="Q1903" s="1">
        <v>3.1</v>
      </c>
      <c r="R1903" s="1">
        <v>0.8</v>
      </c>
      <c r="S1903" s="1">
        <v>6</v>
      </c>
    </row>
    <row r="1904" spans="1:43" x14ac:dyDescent="0.3">
      <c r="A1904" s="1">
        <v>28029</v>
      </c>
      <c r="B1904" s="1" t="s">
        <v>208</v>
      </c>
      <c r="C1904" s="1" t="s">
        <v>209</v>
      </c>
      <c r="D1904" s="2">
        <f t="shared" si="112"/>
        <v>2014</v>
      </c>
      <c r="E1904" s="2">
        <f t="shared" si="113"/>
        <v>2</v>
      </c>
      <c r="F1904" s="3" t="s">
        <v>175</v>
      </c>
      <c r="G1904" s="4">
        <v>41688</v>
      </c>
      <c r="H1904" s="1">
        <v>6600935</v>
      </c>
      <c r="I1904" s="1">
        <v>1626764</v>
      </c>
      <c r="J1904" s="1" t="s">
        <v>191</v>
      </c>
      <c r="K1904" s="1" t="s">
        <v>210</v>
      </c>
      <c r="L1904" s="1" t="str">
        <f t="shared" si="114"/>
        <v>Vallentunasjön Va2</v>
      </c>
      <c r="M1904" s="1" t="s">
        <v>184</v>
      </c>
      <c r="N1904" s="1">
        <v>4.5</v>
      </c>
      <c r="O1904" s="1">
        <v>4.5</v>
      </c>
      <c r="Q1904" s="1">
        <v>3.4</v>
      </c>
      <c r="R1904" s="1">
        <v>2.2000000000000002</v>
      </c>
      <c r="S1904" s="1">
        <v>17</v>
      </c>
    </row>
    <row r="1905" spans="1:43" x14ac:dyDescent="0.3">
      <c r="A1905" s="1">
        <v>28030</v>
      </c>
      <c r="B1905" s="1" t="s">
        <v>208</v>
      </c>
      <c r="C1905" s="1" t="s">
        <v>209</v>
      </c>
      <c r="D1905" s="2">
        <f t="shared" si="112"/>
        <v>2014</v>
      </c>
      <c r="E1905" s="2">
        <f t="shared" si="113"/>
        <v>2</v>
      </c>
      <c r="F1905" s="3" t="s">
        <v>175</v>
      </c>
      <c r="G1905" s="4">
        <v>41688</v>
      </c>
      <c r="J1905" s="1" t="s">
        <v>191</v>
      </c>
      <c r="K1905" s="1" t="s">
        <v>206</v>
      </c>
      <c r="L1905" s="1" t="str">
        <f t="shared" si="114"/>
        <v>Vallentunasjön Blandprov</v>
      </c>
      <c r="M1905" s="1" t="s">
        <v>177</v>
      </c>
      <c r="N1905" s="1">
        <v>4</v>
      </c>
      <c r="O1905" s="1">
        <v>0</v>
      </c>
      <c r="W1905" s="1">
        <v>378.41</v>
      </c>
      <c r="Z1905" s="1">
        <v>0.86</v>
      </c>
      <c r="AB1905" s="1">
        <v>12.334300000000001</v>
      </c>
      <c r="AD1905" s="1">
        <v>195.22</v>
      </c>
      <c r="AG1905" s="1">
        <v>6.3333300000000001</v>
      </c>
      <c r="AK1905" s="1">
        <v>28.34</v>
      </c>
      <c r="AL1905" s="1">
        <v>1373.63</v>
      </c>
    </row>
    <row r="1906" spans="1:43" x14ac:dyDescent="0.3">
      <c r="A1906" s="6">
        <v>28866</v>
      </c>
      <c r="B1906" s="5" t="s">
        <v>230</v>
      </c>
      <c r="C1906" s="5" t="s">
        <v>231</v>
      </c>
      <c r="D1906" s="2">
        <f t="shared" si="112"/>
        <v>2014</v>
      </c>
      <c r="E1906" s="2">
        <f t="shared" si="113"/>
        <v>3</v>
      </c>
      <c r="F1906" s="3" t="s">
        <v>175</v>
      </c>
      <c r="G1906" s="7">
        <v>41711</v>
      </c>
      <c r="H1906" s="6">
        <v>6593820</v>
      </c>
      <c r="I1906" s="6">
        <v>1619360</v>
      </c>
      <c r="J1906" s="5" t="s">
        <v>188</v>
      </c>
      <c r="K1906" s="1"/>
      <c r="L1906" s="1" t="str">
        <f t="shared" si="114"/>
        <v xml:space="preserve">Ravalen </v>
      </c>
      <c r="M1906" s="1" t="s">
        <v>177</v>
      </c>
      <c r="N1906" s="6">
        <v>0.5</v>
      </c>
      <c r="O1906" s="6">
        <v>0.5</v>
      </c>
      <c r="P1906" s="6">
        <v>1.6</v>
      </c>
      <c r="Q1906" s="6">
        <v>4.7</v>
      </c>
      <c r="R1906" s="6">
        <v>12.9</v>
      </c>
      <c r="S1906" s="6">
        <v>100</v>
      </c>
      <c r="V1906" s="6">
        <v>2.8432457142856999</v>
      </c>
      <c r="W1906" s="6">
        <v>0.49640000000000001</v>
      </c>
      <c r="X1906" s="1">
        <f>W1906 * (1/((10^((0.0901821 + (2729.92 /(273.15 + Q1906)))-AE1906)+1)))</f>
        <v>7.1481379972414332E-3</v>
      </c>
      <c r="Y1906" s="6">
        <v>0.109</v>
      </c>
      <c r="Z1906" s="6">
        <v>2.94</v>
      </c>
      <c r="AA1906" s="6">
        <v>3.3</v>
      </c>
      <c r="AD1906" s="6">
        <v>2.63</v>
      </c>
      <c r="AE1906" s="6">
        <v>8.08</v>
      </c>
      <c r="AK1906" s="6">
        <v>35.42</v>
      </c>
      <c r="AL1906" s="6">
        <v>729.35</v>
      </c>
      <c r="AM1906" s="6"/>
      <c r="AN1906" s="6"/>
      <c r="AO1906" s="6"/>
      <c r="AP1906" s="6"/>
      <c r="AQ1906" s="6"/>
    </row>
    <row r="1907" spans="1:43" x14ac:dyDescent="0.3">
      <c r="A1907" s="6">
        <v>28867</v>
      </c>
      <c r="B1907" s="5" t="s">
        <v>230</v>
      </c>
      <c r="C1907" s="5" t="s">
        <v>231</v>
      </c>
      <c r="D1907" s="2">
        <f t="shared" si="112"/>
        <v>2014</v>
      </c>
      <c r="E1907" s="2">
        <f t="shared" si="113"/>
        <v>3</v>
      </c>
      <c r="F1907" s="3" t="s">
        <v>175</v>
      </c>
      <c r="G1907" s="7">
        <v>41711</v>
      </c>
      <c r="H1907" s="6">
        <v>6593820</v>
      </c>
      <c r="I1907" s="6">
        <v>1619360</v>
      </c>
      <c r="J1907" s="5" t="s">
        <v>188</v>
      </c>
      <c r="K1907" s="1"/>
      <c r="L1907" s="1" t="str">
        <f t="shared" si="114"/>
        <v xml:space="preserve">Ravalen </v>
      </c>
      <c r="M1907" s="5" t="s">
        <v>211</v>
      </c>
      <c r="N1907" s="6">
        <v>1</v>
      </c>
      <c r="O1907" s="6">
        <v>1</v>
      </c>
      <c r="Q1907" s="6">
        <v>4.7</v>
      </c>
      <c r="R1907" s="6">
        <v>13.1</v>
      </c>
      <c r="S1907" s="6">
        <v>101</v>
      </c>
    </row>
    <row r="1908" spans="1:43" x14ac:dyDescent="0.3">
      <c r="A1908" s="6">
        <v>28868</v>
      </c>
      <c r="B1908" s="5" t="s">
        <v>230</v>
      </c>
      <c r="C1908" s="5" t="s">
        <v>231</v>
      </c>
      <c r="D1908" s="2">
        <f t="shared" si="112"/>
        <v>2014</v>
      </c>
      <c r="E1908" s="2">
        <f t="shared" si="113"/>
        <v>3</v>
      </c>
      <c r="F1908" s="3" t="s">
        <v>175</v>
      </c>
      <c r="G1908" s="7">
        <v>41711</v>
      </c>
      <c r="H1908" s="6">
        <v>6593820</v>
      </c>
      <c r="I1908" s="6">
        <v>1619360</v>
      </c>
      <c r="J1908" s="5" t="s">
        <v>188</v>
      </c>
      <c r="K1908" s="1"/>
      <c r="L1908" s="1" t="str">
        <f t="shared" si="114"/>
        <v xml:space="preserve">Ravalen </v>
      </c>
      <c r="M1908" s="1" t="s">
        <v>184</v>
      </c>
      <c r="N1908" s="6">
        <v>1.6</v>
      </c>
      <c r="O1908" s="6">
        <v>1.6</v>
      </c>
      <c r="Q1908" s="6">
        <v>4.7</v>
      </c>
      <c r="R1908" s="6">
        <v>13.1</v>
      </c>
      <c r="S1908" s="6">
        <v>101</v>
      </c>
    </row>
    <row r="1909" spans="1:43" x14ac:dyDescent="0.3">
      <c r="A1909" s="6">
        <v>28869</v>
      </c>
      <c r="B1909" s="5" t="s">
        <v>230</v>
      </c>
      <c r="C1909" s="5" t="s">
        <v>231</v>
      </c>
      <c r="D1909" s="2">
        <f t="shared" si="112"/>
        <v>2014</v>
      </c>
      <c r="E1909" s="2">
        <f t="shared" si="113"/>
        <v>3</v>
      </c>
      <c r="F1909" s="3" t="s">
        <v>175</v>
      </c>
      <c r="G1909" s="7">
        <v>41711</v>
      </c>
      <c r="H1909" s="6">
        <v>6594980</v>
      </c>
      <c r="I1909" s="6">
        <v>1622960</v>
      </c>
      <c r="J1909" s="5" t="s">
        <v>192</v>
      </c>
      <c r="K1909" s="1"/>
      <c r="L1909" s="1" t="str">
        <f t="shared" si="114"/>
        <v xml:space="preserve">Väsjön </v>
      </c>
      <c r="M1909" s="1" t="s">
        <v>177</v>
      </c>
      <c r="N1909" s="6">
        <v>0.5</v>
      </c>
      <c r="O1909" s="6">
        <v>0.5</v>
      </c>
      <c r="P1909" s="6">
        <v>2.5</v>
      </c>
      <c r="Q1909" s="6">
        <v>4.5</v>
      </c>
      <c r="R1909" s="6">
        <v>10.5</v>
      </c>
      <c r="S1909" s="6">
        <v>81</v>
      </c>
      <c r="V1909" s="6">
        <v>2.8832914285714</v>
      </c>
      <c r="W1909" s="6">
        <v>12.9894</v>
      </c>
      <c r="X1909" s="1">
        <f>W1909 * (1/((10^((0.0901821 + (2729.92 /(273.15 + Q1909)))-AE1909)+1)))</f>
        <v>6.9001570933888257E-2</v>
      </c>
      <c r="Y1909" s="6">
        <v>9.7000000000000003E-2</v>
      </c>
      <c r="Z1909" s="6">
        <v>1.43</v>
      </c>
      <c r="AA1909" s="6">
        <v>1.88</v>
      </c>
      <c r="AD1909" s="6">
        <v>55.37</v>
      </c>
      <c r="AE1909" s="6">
        <v>7.65</v>
      </c>
      <c r="AK1909" s="6">
        <v>19.079999999999998</v>
      </c>
      <c r="AL1909" s="6">
        <v>668.84</v>
      </c>
      <c r="AM1909" s="6"/>
      <c r="AN1909" s="6"/>
      <c r="AO1909" s="6"/>
      <c r="AP1909" s="6"/>
      <c r="AQ1909" s="6"/>
    </row>
    <row r="1910" spans="1:43" x14ac:dyDescent="0.3">
      <c r="A1910" s="6">
        <v>28870</v>
      </c>
      <c r="B1910" s="5" t="s">
        <v>230</v>
      </c>
      <c r="C1910" s="5" t="s">
        <v>231</v>
      </c>
      <c r="D1910" s="2">
        <f t="shared" si="112"/>
        <v>2014</v>
      </c>
      <c r="E1910" s="2">
        <f t="shared" si="113"/>
        <v>3</v>
      </c>
      <c r="F1910" s="3" t="s">
        <v>175</v>
      </c>
      <c r="G1910" s="7">
        <v>41711</v>
      </c>
      <c r="H1910" s="6">
        <v>6594980</v>
      </c>
      <c r="I1910" s="6">
        <v>1622960</v>
      </c>
      <c r="J1910" s="5" t="s">
        <v>192</v>
      </c>
      <c r="K1910" s="1"/>
      <c r="L1910" s="1" t="str">
        <f t="shared" si="114"/>
        <v xml:space="preserve">Väsjön </v>
      </c>
      <c r="M1910" s="5" t="s">
        <v>211</v>
      </c>
      <c r="N1910" s="6">
        <v>1</v>
      </c>
      <c r="O1910" s="6">
        <v>1</v>
      </c>
      <c r="Q1910" s="6">
        <v>4.5</v>
      </c>
      <c r="R1910" s="6">
        <v>10.4</v>
      </c>
      <c r="S1910" s="6">
        <v>80</v>
      </c>
    </row>
    <row r="1911" spans="1:43" x14ac:dyDescent="0.3">
      <c r="A1911" s="6">
        <v>28871</v>
      </c>
      <c r="B1911" s="5" t="s">
        <v>230</v>
      </c>
      <c r="C1911" s="5" t="s">
        <v>231</v>
      </c>
      <c r="D1911" s="2">
        <f t="shared" si="112"/>
        <v>2014</v>
      </c>
      <c r="E1911" s="2">
        <f t="shared" si="113"/>
        <v>3</v>
      </c>
      <c r="F1911" s="3" t="s">
        <v>175</v>
      </c>
      <c r="G1911" s="7">
        <v>41711</v>
      </c>
      <c r="H1911" s="6">
        <v>6594980</v>
      </c>
      <c r="I1911" s="6">
        <v>1622960</v>
      </c>
      <c r="J1911" s="5" t="s">
        <v>192</v>
      </c>
      <c r="K1911" s="1"/>
      <c r="L1911" s="1" t="str">
        <f t="shared" si="114"/>
        <v xml:space="preserve">Väsjön </v>
      </c>
      <c r="M1911" s="5" t="s">
        <v>212</v>
      </c>
      <c r="N1911" s="6">
        <v>2</v>
      </c>
      <c r="O1911" s="6">
        <v>2</v>
      </c>
      <c r="Q1911" s="6">
        <v>4.4000000000000004</v>
      </c>
      <c r="R1911" s="6">
        <v>10.4</v>
      </c>
      <c r="S1911" s="6">
        <v>80</v>
      </c>
    </row>
    <row r="1912" spans="1:43" x14ac:dyDescent="0.3">
      <c r="A1912" s="6">
        <v>28872</v>
      </c>
      <c r="B1912" s="5" t="s">
        <v>230</v>
      </c>
      <c r="C1912" s="5" t="s">
        <v>231</v>
      </c>
      <c r="D1912" s="2">
        <f t="shared" si="112"/>
        <v>2014</v>
      </c>
      <c r="E1912" s="2">
        <f t="shared" si="113"/>
        <v>3</v>
      </c>
      <c r="F1912" s="3" t="s">
        <v>175</v>
      </c>
      <c r="G1912" s="7">
        <v>41711</v>
      </c>
      <c r="H1912" s="6">
        <v>6594980</v>
      </c>
      <c r="I1912" s="6">
        <v>1622960</v>
      </c>
      <c r="J1912" s="5" t="s">
        <v>192</v>
      </c>
      <c r="K1912" s="1"/>
      <c r="L1912" s="1" t="str">
        <f t="shared" si="114"/>
        <v xml:space="preserve">Väsjön </v>
      </c>
      <c r="M1912" s="1" t="s">
        <v>184</v>
      </c>
      <c r="N1912" s="6">
        <v>2.6</v>
      </c>
      <c r="O1912" s="6">
        <v>2.6</v>
      </c>
      <c r="Q1912" s="6">
        <v>4.4000000000000004</v>
      </c>
      <c r="R1912" s="6">
        <v>10.3</v>
      </c>
      <c r="S1912" s="6">
        <v>79</v>
      </c>
    </row>
    <row r="1913" spans="1:43" x14ac:dyDescent="0.3">
      <c r="A1913" s="6">
        <v>28873</v>
      </c>
      <c r="B1913" s="5" t="s">
        <v>230</v>
      </c>
      <c r="C1913" s="5" t="s">
        <v>231</v>
      </c>
      <c r="D1913" s="2">
        <f t="shared" si="112"/>
        <v>2014</v>
      </c>
      <c r="E1913" s="2">
        <f t="shared" si="113"/>
        <v>3</v>
      </c>
      <c r="F1913" s="3" t="s">
        <v>175</v>
      </c>
      <c r="G1913" s="7">
        <v>41711</v>
      </c>
      <c r="H1913" s="6">
        <v>6594420</v>
      </c>
      <c r="I1913" s="6">
        <v>1615795</v>
      </c>
      <c r="J1913" s="5" t="s">
        <v>193</v>
      </c>
      <c r="K1913" s="1"/>
      <c r="L1913" s="1" t="str">
        <f t="shared" si="114"/>
        <v xml:space="preserve">Översjön </v>
      </c>
      <c r="M1913" s="1" t="s">
        <v>177</v>
      </c>
      <c r="N1913" s="6">
        <v>0.5</v>
      </c>
      <c r="O1913" s="6">
        <v>0.5</v>
      </c>
      <c r="P1913" s="6">
        <v>2.4</v>
      </c>
      <c r="Q1913" s="6">
        <v>4.3</v>
      </c>
      <c r="R1913" s="6">
        <v>11.4</v>
      </c>
      <c r="S1913" s="6">
        <v>87</v>
      </c>
      <c r="V1913" s="6">
        <v>1.7620114285713999</v>
      </c>
      <c r="W1913" s="6">
        <v>136.59129999999999</v>
      </c>
      <c r="X1913" s="1">
        <f>W1913 * (1/((10^((0.0901821 + (2729.92 /(273.15 + Q1913)))-AE1913)+1)))</f>
        <v>0.73044888505321082</v>
      </c>
      <c r="Y1913" s="6">
        <v>5.7000000000000002E-2</v>
      </c>
      <c r="Z1913" s="6">
        <v>1.87</v>
      </c>
      <c r="AA1913" s="6">
        <v>2.2000000000000002</v>
      </c>
      <c r="AD1913" s="6">
        <v>168.11</v>
      </c>
      <c r="AE1913" s="6">
        <v>7.66</v>
      </c>
      <c r="AK1913" s="6">
        <v>24.77</v>
      </c>
      <c r="AL1913" s="6">
        <v>1040.79</v>
      </c>
      <c r="AM1913" s="6"/>
      <c r="AN1913" s="6"/>
      <c r="AO1913" s="6"/>
      <c r="AP1913" s="6"/>
      <c r="AQ1913" s="6"/>
    </row>
    <row r="1914" spans="1:43" x14ac:dyDescent="0.3">
      <c r="A1914" s="6">
        <v>28874</v>
      </c>
      <c r="B1914" s="5" t="s">
        <v>230</v>
      </c>
      <c r="C1914" s="5" t="s">
        <v>231</v>
      </c>
      <c r="D1914" s="2">
        <f t="shared" si="112"/>
        <v>2014</v>
      </c>
      <c r="E1914" s="2">
        <f t="shared" si="113"/>
        <v>3</v>
      </c>
      <c r="F1914" s="3" t="s">
        <v>175</v>
      </c>
      <c r="G1914" s="7">
        <v>41711</v>
      </c>
      <c r="H1914" s="6">
        <v>6594420</v>
      </c>
      <c r="I1914" s="6">
        <v>1615795</v>
      </c>
      <c r="J1914" s="5" t="s">
        <v>193</v>
      </c>
      <c r="K1914" s="1"/>
      <c r="L1914" s="1" t="str">
        <f t="shared" si="114"/>
        <v xml:space="preserve">Översjön </v>
      </c>
      <c r="M1914" s="5" t="s">
        <v>211</v>
      </c>
      <c r="N1914" s="6">
        <v>1</v>
      </c>
      <c r="O1914" s="6">
        <v>1</v>
      </c>
      <c r="Q1914" s="6">
        <v>4.3</v>
      </c>
      <c r="R1914" s="6">
        <v>11.4</v>
      </c>
      <c r="S1914" s="6">
        <v>87</v>
      </c>
    </row>
    <row r="1915" spans="1:43" x14ac:dyDescent="0.3">
      <c r="A1915" s="6">
        <v>28875</v>
      </c>
      <c r="B1915" s="5" t="s">
        <v>230</v>
      </c>
      <c r="C1915" s="5" t="s">
        <v>231</v>
      </c>
      <c r="D1915" s="2">
        <f t="shared" si="112"/>
        <v>2014</v>
      </c>
      <c r="E1915" s="2">
        <f t="shared" si="113"/>
        <v>3</v>
      </c>
      <c r="F1915" s="3" t="s">
        <v>175</v>
      </c>
      <c r="G1915" s="7">
        <v>41711</v>
      </c>
      <c r="H1915" s="6">
        <v>6594420</v>
      </c>
      <c r="I1915" s="6">
        <v>1615795</v>
      </c>
      <c r="J1915" s="5" t="s">
        <v>193</v>
      </c>
      <c r="K1915" s="1"/>
      <c r="L1915" s="1" t="str">
        <f t="shared" si="114"/>
        <v xml:space="preserve">Översjön </v>
      </c>
      <c r="M1915" s="5" t="s">
        <v>212</v>
      </c>
      <c r="N1915" s="6">
        <v>2</v>
      </c>
      <c r="O1915" s="6">
        <v>2</v>
      </c>
      <c r="Q1915" s="6">
        <v>4.3</v>
      </c>
      <c r="R1915" s="6">
        <v>11.4</v>
      </c>
      <c r="S1915" s="6">
        <v>87</v>
      </c>
    </row>
    <row r="1916" spans="1:43" x14ac:dyDescent="0.3">
      <c r="A1916" s="6">
        <v>28876</v>
      </c>
      <c r="B1916" s="5" t="s">
        <v>230</v>
      </c>
      <c r="C1916" s="5" t="s">
        <v>231</v>
      </c>
      <c r="D1916" s="2">
        <f t="shared" si="112"/>
        <v>2014</v>
      </c>
      <c r="E1916" s="2">
        <f t="shared" si="113"/>
        <v>3</v>
      </c>
      <c r="F1916" s="3" t="s">
        <v>175</v>
      </c>
      <c r="G1916" s="7">
        <v>41711</v>
      </c>
      <c r="H1916" s="6">
        <v>6594420</v>
      </c>
      <c r="I1916" s="6">
        <v>1615795</v>
      </c>
      <c r="J1916" s="5" t="s">
        <v>193</v>
      </c>
      <c r="K1916" s="1"/>
      <c r="L1916" s="1" t="str">
        <f t="shared" si="114"/>
        <v xml:space="preserve">Översjön </v>
      </c>
      <c r="M1916" s="5" t="s">
        <v>213</v>
      </c>
      <c r="N1916" s="6">
        <v>3</v>
      </c>
      <c r="O1916" s="6">
        <v>3</v>
      </c>
      <c r="Q1916" s="6">
        <v>4.3</v>
      </c>
      <c r="R1916" s="6">
        <v>11.4</v>
      </c>
      <c r="S1916" s="6">
        <v>87</v>
      </c>
    </row>
    <row r="1917" spans="1:43" x14ac:dyDescent="0.3">
      <c r="A1917" s="6">
        <v>28877</v>
      </c>
      <c r="B1917" s="5" t="s">
        <v>230</v>
      </c>
      <c r="C1917" s="5" t="s">
        <v>231</v>
      </c>
      <c r="D1917" s="2">
        <f t="shared" si="112"/>
        <v>2014</v>
      </c>
      <c r="E1917" s="2">
        <f t="shared" si="113"/>
        <v>3</v>
      </c>
      <c r="F1917" s="3" t="s">
        <v>175</v>
      </c>
      <c r="G1917" s="7">
        <v>41711</v>
      </c>
      <c r="H1917" s="6">
        <v>6594420</v>
      </c>
      <c r="I1917" s="6">
        <v>1615795</v>
      </c>
      <c r="J1917" s="5" t="s">
        <v>193</v>
      </c>
      <c r="K1917" s="1"/>
      <c r="L1917" s="1" t="str">
        <f t="shared" si="114"/>
        <v xml:space="preserve">Översjön </v>
      </c>
      <c r="M1917" s="1" t="s">
        <v>184</v>
      </c>
      <c r="N1917" s="6">
        <v>3.9</v>
      </c>
      <c r="O1917" s="6">
        <v>3.9</v>
      </c>
      <c r="Q1917" s="6">
        <v>4.3</v>
      </c>
      <c r="R1917" s="6">
        <v>11.4</v>
      </c>
      <c r="S1917" s="6">
        <v>87</v>
      </c>
    </row>
    <row r="1918" spans="1:43" x14ac:dyDescent="0.3">
      <c r="A1918" s="6">
        <v>28878</v>
      </c>
      <c r="B1918" s="5" t="s">
        <v>230</v>
      </c>
      <c r="C1918" s="5" t="s">
        <v>231</v>
      </c>
      <c r="D1918" s="2">
        <f t="shared" si="112"/>
        <v>2014</v>
      </c>
      <c r="E1918" s="2">
        <f t="shared" si="113"/>
        <v>3</v>
      </c>
      <c r="F1918" s="3" t="s">
        <v>175</v>
      </c>
      <c r="G1918" s="7">
        <v>41711</v>
      </c>
      <c r="H1918" s="6">
        <v>6595470</v>
      </c>
      <c r="I1918" s="6">
        <v>1622370</v>
      </c>
      <c r="J1918" s="5" t="s">
        <v>190</v>
      </c>
      <c r="K1918" s="1"/>
      <c r="L1918" s="1" t="str">
        <f t="shared" si="114"/>
        <v xml:space="preserve">Snuggan </v>
      </c>
      <c r="M1918" s="1" t="s">
        <v>177</v>
      </c>
      <c r="N1918" s="6">
        <v>0.5</v>
      </c>
      <c r="O1918" s="6">
        <v>0.5</v>
      </c>
      <c r="P1918" s="6">
        <v>0.6</v>
      </c>
      <c r="Q1918" s="6">
        <v>4.4000000000000004</v>
      </c>
      <c r="R1918" s="6">
        <v>9.1999999999999993</v>
      </c>
      <c r="S1918" s="6">
        <v>71</v>
      </c>
      <c r="V1918" s="6">
        <v>2.4027428571427999E-2</v>
      </c>
      <c r="W1918" s="6">
        <v>179.2236</v>
      </c>
      <c r="X1918" s="1">
        <f>W1918 * (1/((10^((0.0901821 + (2729.92 /(273.15 + Q1918)))-AE1918)+1)))</f>
        <v>2.8017473506282281E-3</v>
      </c>
      <c r="Y1918" s="6">
        <v>0.70199999999999996</v>
      </c>
      <c r="Z1918" s="6">
        <v>3.13</v>
      </c>
      <c r="AA1918" s="6">
        <v>1.85</v>
      </c>
      <c r="AD1918" s="6">
        <v>38.24</v>
      </c>
      <c r="AE1918" s="6">
        <v>5.12</v>
      </c>
      <c r="AK1918" s="6">
        <v>21.99</v>
      </c>
      <c r="AL1918" s="6">
        <v>1157.49</v>
      </c>
      <c r="AM1918" s="6"/>
      <c r="AN1918" s="6"/>
      <c r="AO1918" s="6"/>
      <c r="AP1918" s="6"/>
      <c r="AQ1918" s="6"/>
    </row>
    <row r="1919" spans="1:43" x14ac:dyDescent="0.3">
      <c r="A1919" s="6">
        <v>28879</v>
      </c>
      <c r="B1919" s="5" t="s">
        <v>230</v>
      </c>
      <c r="C1919" s="5" t="s">
        <v>231</v>
      </c>
      <c r="D1919" s="2">
        <f t="shared" si="112"/>
        <v>2014</v>
      </c>
      <c r="E1919" s="2">
        <f t="shared" si="113"/>
        <v>3</v>
      </c>
      <c r="F1919" s="3" t="s">
        <v>175</v>
      </c>
      <c r="G1919" s="7">
        <v>41711</v>
      </c>
      <c r="H1919" s="6">
        <v>6595470</v>
      </c>
      <c r="I1919" s="6">
        <v>1622370</v>
      </c>
      <c r="J1919" s="5" t="s">
        <v>190</v>
      </c>
      <c r="K1919" s="1"/>
      <c r="L1919" s="1" t="str">
        <f t="shared" si="114"/>
        <v xml:space="preserve">Snuggan </v>
      </c>
      <c r="M1919" s="5" t="s">
        <v>211</v>
      </c>
      <c r="N1919" s="6">
        <v>1</v>
      </c>
      <c r="O1919" s="6">
        <v>1</v>
      </c>
      <c r="Q1919" s="6">
        <v>4.4000000000000004</v>
      </c>
      <c r="R1919" s="6">
        <v>9.3000000000000007</v>
      </c>
      <c r="S1919" s="6">
        <v>71</v>
      </c>
    </row>
    <row r="1920" spans="1:43" x14ac:dyDescent="0.3">
      <c r="A1920" s="6">
        <v>28880</v>
      </c>
      <c r="B1920" s="5" t="s">
        <v>230</v>
      </c>
      <c r="C1920" s="5" t="s">
        <v>231</v>
      </c>
      <c r="D1920" s="2">
        <f t="shared" si="112"/>
        <v>2014</v>
      </c>
      <c r="E1920" s="2">
        <f t="shared" si="113"/>
        <v>3</v>
      </c>
      <c r="F1920" s="3" t="s">
        <v>175</v>
      </c>
      <c r="G1920" s="7">
        <v>41711</v>
      </c>
      <c r="H1920" s="6">
        <v>6595470</v>
      </c>
      <c r="I1920" s="6">
        <v>1622370</v>
      </c>
      <c r="J1920" s="5" t="s">
        <v>190</v>
      </c>
      <c r="K1920" s="1"/>
      <c r="L1920" s="1" t="str">
        <f t="shared" si="114"/>
        <v xml:space="preserve">Snuggan </v>
      </c>
      <c r="M1920" s="5" t="s">
        <v>212</v>
      </c>
      <c r="N1920" s="6">
        <v>2</v>
      </c>
      <c r="O1920" s="6">
        <v>2</v>
      </c>
      <c r="Q1920" s="6">
        <v>4.4000000000000004</v>
      </c>
      <c r="R1920" s="6">
        <v>9.3000000000000007</v>
      </c>
      <c r="S1920" s="6">
        <v>71</v>
      </c>
    </row>
    <row r="1921" spans="1:43" x14ac:dyDescent="0.3">
      <c r="A1921" s="6">
        <v>28881</v>
      </c>
      <c r="B1921" s="5" t="s">
        <v>230</v>
      </c>
      <c r="C1921" s="5" t="s">
        <v>231</v>
      </c>
      <c r="D1921" s="2">
        <f t="shared" si="112"/>
        <v>2014</v>
      </c>
      <c r="E1921" s="2">
        <f t="shared" si="113"/>
        <v>3</v>
      </c>
      <c r="F1921" s="3" t="s">
        <v>175</v>
      </c>
      <c r="G1921" s="7">
        <v>41711</v>
      </c>
      <c r="H1921" s="6">
        <v>6595470</v>
      </c>
      <c r="I1921" s="6">
        <v>1622370</v>
      </c>
      <c r="J1921" s="5" t="s">
        <v>190</v>
      </c>
      <c r="K1921" s="1"/>
      <c r="L1921" s="1" t="str">
        <f t="shared" si="114"/>
        <v xml:space="preserve">Snuggan </v>
      </c>
      <c r="M1921" s="1" t="s">
        <v>184</v>
      </c>
      <c r="N1921" s="6">
        <v>2.9</v>
      </c>
      <c r="O1921" s="6">
        <v>2.9</v>
      </c>
      <c r="Q1921" s="6">
        <v>4.3</v>
      </c>
      <c r="R1921" s="6">
        <v>9.1999999999999993</v>
      </c>
      <c r="S1921" s="6">
        <v>71</v>
      </c>
    </row>
    <row r="1922" spans="1:43" x14ac:dyDescent="0.3">
      <c r="A1922" s="6">
        <v>28882</v>
      </c>
      <c r="B1922" s="5" t="s">
        <v>230</v>
      </c>
      <c r="C1922" s="5" t="s">
        <v>231</v>
      </c>
      <c r="D1922" s="2">
        <f t="shared" ref="D1922:D1985" si="115">YEAR(G1922)</f>
        <v>2014</v>
      </c>
      <c r="E1922" s="2">
        <f t="shared" ref="E1922:E1985" si="116">MONTH(G1922)</f>
        <v>3</v>
      </c>
      <c r="F1922" s="3" t="s">
        <v>175</v>
      </c>
      <c r="G1922" s="7">
        <v>41711</v>
      </c>
      <c r="H1922" s="6">
        <v>6597555</v>
      </c>
      <c r="I1922" s="6">
        <v>1629125</v>
      </c>
      <c r="J1922" s="5" t="s">
        <v>185</v>
      </c>
      <c r="K1922" s="1"/>
      <c r="L1922" s="1" t="str">
        <f t="shared" ref="L1922:L1985" si="117">CONCATENATE(J1922," ",K1922)</f>
        <v xml:space="preserve">Gullsjön </v>
      </c>
      <c r="M1922" s="1" t="s">
        <v>177</v>
      </c>
      <c r="N1922" s="6">
        <v>0.5</v>
      </c>
      <c r="O1922" s="6">
        <v>0.5</v>
      </c>
      <c r="P1922" s="6">
        <v>2</v>
      </c>
      <c r="Q1922" s="6">
        <v>5.2</v>
      </c>
      <c r="R1922" s="6">
        <v>7.6</v>
      </c>
      <c r="S1922" s="6">
        <v>60</v>
      </c>
      <c r="V1922" s="6">
        <v>1.54176</v>
      </c>
      <c r="W1922" s="6">
        <v>0</v>
      </c>
      <c r="X1922" s="1">
        <f>W1922 * (1/((10^((0.0901821 + (2729.92 /(273.15 + Q1922)))-AE1922)+1)))</f>
        <v>0</v>
      </c>
      <c r="Y1922" s="6">
        <v>0.17</v>
      </c>
      <c r="Z1922" s="6">
        <v>2.23</v>
      </c>
      <c r="AA1922" s="6">
        <v>2.4</v>
      </c>
      <c r="AD1922" s="6">
        <v>32.880000000000003</v>
      </c>
      <c r="AE1922" s="6">
        <v>7.07</v>
      </c>
      <c r="AK1922" s="6">
        <v>29.67</v>
      </c>
      <c r="AL1922" s="6">
        <v>738.23</v>
      </c>
      <c r="AM1922" s="6"/>
      <c r="AN1922" s="6"/>
      <c r="AO1922" s="6"/>
      <c r="AP1922" s="6"/>
      <c r="AQ1922" s="6"/>
    </row>
    <row r="1923" spans="1:43" x14ac:dyDescent="0.3">
      <c r="A1923" s="6">
        <v>28883</v>
      </c>
      <c r="B1923" s="5" t="s">
        <v>230</v>
      </c>
      <c r="C1923" s="5" t="s">
        <v>231</v>
      </c>
      <c r="D1923" s="2">
        <f t="shared" si="115"/>
        <v>2014</v>
      </c>
      <c r="E1923" s="2">
        <f t="shared" si="116"/>
        <v>3</v>
      </c>
      <c r="F1923" s="3" t="s">
        <v>175</v>
      </c>
      <c r="G1923" s="7">
        <v>41711</v>
      </c>
      <c r="H1923" s="6">
        <v>6597555</v>
      </c>
      <c r="I1923" s="6">
        <v>1629125</v>
      </c>
      <c r="J1923" s="5" t="s">
        <v>185</v>
      </c>
      <c r="K1923" s="1"/>
      <c r="L1923" s="1" t="str">
        <f t="shared" si="117"/>
        <v xml:space="preserve">Gullsjön </v>
      </c>
      <c r="M1923" s="5" t="s">
        <v>211</v>
      </c>
      <c r="N1923" s="6">
        <v>1</v>
      </c>
      <c r="O1923" s="6">
        <v>1</v>
      </c>
      <c r="Q1923" s="6">
        <v>5.0999999999999996</v>
      </c>
      <c r="R1923" s="6">
        <v>7.5</v>
      </c>
      <c r="S1923" s="6">
        <v>58</v>
      </c>
    </row>
    <row r="1924" spans="1:43" x14ac:dyDescent="0.3">
      <c r="A1924" s="6">
        <v>28884</v>
      </c>
      <c r="B1924" s="5" t="s">
        <v>230</v>
      </c>
      <c r="C1924" s="5" t="s">
        <v>231</v>
      </c>
      <c r="D1924" s="2">
        <f t="shared" si="115"/>
        <v>2014</v>
      </c>
      <c r="E1924" s="2">
        <f t="shared" si="116"/>
        <v>3</v>
      </c>
      <c r="F1924" s="3" t="s">
        <v>175</v>
      </c>
      <c r="G1924" s="7">
        <v>41711</v>
      </c>
      <c r="H1924" s="6">
        <v>6597555</v>
      </c>
      <c r="I1924" s="6">
        <v>1629125</v>
      </c>
      <c r="J1924" s="5" t="s">
        <v>185</v>
      </c>
      <c r="K1924" s="1"/>
      <c r="L1924" s="1" t="str">
        <f t="shared" si="117"/>
        <v xml:space="preserve">Gullsjön </v>
      </c>
      <c r="M1924" s="1" t="s">
        <v>184</v>
      </c>
      <c r="N1924" s="6">
        <v>2</v>
      </c>
      <c r="O1924" s="6">
        <v>2</v>
      </c>
      <c r="Q1924" s="6">
        <v>5</v>
      </c>
      <c r="R1924" s="6">
        <v>7.4</v>
      </c>
      <c r="S1924" s="6">
        <v>58</v>
      </c>
    </row>
    <row r="1925" spans="1:43" x14ac:dyDescent="0.3">
      <c r="A1925" s="6">
        <v>28885</v>
      </c>
      <c r="B1925" s="5" t="s">
        <v>230</v>
      </c>
      <c r="C1925" s="5" t="s">
        <v>231</v>
      </c>
      <c r="D1925" s="2">
        <f t="shared" si="115"/>
        <v>2014</v>
      </c>
      <c r="E1925" s="2">
        <f t="shared" si="116"/>
        <v>3</v>
      </c>
      <c r="F1925" s="3" t="s">
        <v>175</v>
      </c>
      <c r="G1925" s="7">
        <v>41711</v>
      </c>
      <c r="H1925" s="6">
        <v>6594430</v>
      </c>
      <c r="I1925" s="6">
        <v>1625370</v>
      </c>
      <c r="J1925" s="5" t="s">
        <v>201</v>
      </c>
      <c r="K1925" s="1"/>
      <c r="L1925" s="1" t="str">
        <f t="shared" si="117"/>
        <v xml:space="preserve">Mörtsjön </v>
      </c>
      <c r="M1925" s="1" t="s">
        <v>177</v>
      </c>
      <c r="N1925" s="6">
        <v>0.5</v>
      </c>
      <c r="O1925" s="6">
        <v>0.5</v>
      </c>
      <c r="P1925" s="6">
        <v>2</v>
      </c>
      <c r="Q1925" s="6">
        <v>4.8</v>
      </c>
      <c r="R1925" s="6">
        <v>8.8000000000000007</v>
      </c>
      <c r="S1925" s="6">
        <v>68</v>
      </c>
      <c r="V1925" s="6">
        <v>1.9422171428571</v>
      </c>
      <c r="W1925" s="6">
        <v>0</v>
      </c>
      <c r="X1925" s="1">
        <f>W1925 * (1/((10^((0.0901821 + (2729.92 /(273.15 + Q1925)))-AE1925)+1)))</f>
        <v>0</v>
      </c>
      <c r="Y1925" s="6">
        <v>0.19800000000000001</v>
      </c>
      <c r="Z1925" s="6">
        <v>4.99</v>
      </c>
      <c r="AA1925" s="6">
        <v>4</v>
      </c>
      <c r="AD1925" s="6">
        <v>483.22</v>
      </c>
      <c r="AE1925" s="6">
        <v>7.28</v>
      </c>
      <c r="AK1925" s="6">
        <v>20.59</v>
      </c>
      <c r="AL1925" s="6">
        <v>1207.1400000000001</v>
      </c>
      <c r="AM1925" s="6"/>
      <c r="AN1925" s="6"/>
      <c r="AO1925" s="6"/>
      <c r="AP1925" s="6"/>
      <c r="AQ1925" s="6"/>
    </row>
    <row r="1926" spans="1:43" x14ac:dyDescent="0.3">
      <c r="A1926" s="6">
        <v>28886</v>
      </c>
      <c r="B1926" s="5" t="s">
        <v>230</v>
      </c>
      <c r="C1926" s="5" t="s">
        <v>231</v>
      </c>
      <c r="D1926" s="2">
        <f t="shared" si="115"/>
        <v>2014</v>
      </c>
      <c r="E1926" s="2">
        <f t="shared" si="116"/>
        <v>3</v>
      </c>
      <c r="F1926" s="3" t="s">
        <v>175</v>
      </c>
      <c r="G1926" s="7">
        <v>41711</v>
      </c>
      <c r="H1926" s="6">
        <v>6594430</v>
      </c>
      <c r="I1926" s="6">
        <v>1625370</v>
      </c>
      <c r="J1926" s="5" t="s">
        <v>201</v>
      </c>
      <c r="K1926" s="1"/>
      <c r="L1926" s="1" t="str">
        <f t="shared" si="117"/>
        <v xml:space="preserve">Mörtsjön </v>
      </c>
      <c r="M1926" s="5" t="s">
        <v>211</v>
      </c>
      <c r="N1926" s="6">
        <v>1</v>
      </c>
      <c r="O1926" s="6">
        <v>1</v>
      </c>
      <c r="Q1926" s="6">
        <v>4.4000000000000004</v>
      </c>
      <c r="R1926" s="6">
        <v>8.6999999999999993</v>
      </c>
      <c r="S1926" s="6">
        <v>67</v>
      </c>
    </row>
    <row r="1927" spans="1:43" x14ac:dyDescent="0.3">
      <c r="A1927" s="6">
        <v>28887</v>
      </c>
      <c r="B1927" s="5" t="s">
        <v>230</v>
      </c>
      <c r="C1927" s="5" t="s">
        <v>231</v>
      </c>
      <c r="D1927" s="2">
        <f t="shared" si="115"/>
        <v>2014</v>
      </c>
      <c r="E1927" s="2">
        <f t="shared" si="116"/>
        <v>3</v>
      </c>
      <c r="F1927" s="3" t="s">
        <v>175</v>
      </c>
      <c r="G1927" s="7">
        <v>41711</v>
      </c>
      <c r="H1927" s="6">
        <v>6594430</v>
      </c>
      <c r="I1927" s="6">
        <v>1625370</v>
      </c>
      <c r="J1927" s="5" t="s">
        <v>201</v>
      </c>
      <c r="K1927" s="1"/>
      <c r="L1927" s="1" t="str">
        <f t="shared" si="117"/>
        <v xml:space="preserve">Mörtsjön </v>
      </c>
      <c r="M1927" s="5" t="s">
        <v>212</v>
      </c>
      <c r="N1927" s="6">
        <v>2</v>
      </c>
      <c r="O1927" s="6">
        <v>2</v>
      </c>
      <c r="Q1927" s="6">
        <v>4.4000000000000004</v>
      </c>
      <c r="R1927" s="6">
        <v>8.6999999999999993</v>
      </c>
      <c r="S1927" s="6">
        <v>67</v>
      </c>
    </row>
    <row r="1928" spans="1:43" x14ac:dyDescent="0.3">
      <c r="A1928" s="6">
        <v>28888</v>
      </c>
      <c r="B1928" s="5" t="s">
        <v>230</v>
      </c>
      <c r="C1928" s="5" t="s">
        <v>231</v>
      </c>
      <c r="D1928" s="2">
        <f t="shared" si="115"/>
        <v>2014</v>
      </c>
      <c r="E1928" s="2">
        <f t="shared" si="116"/>
        <v>3</v>
      </c>
      <c r="F1928" s="3" t="s">
        <v>175</v>
      </c>
      <c r="G1928" s="7">
        <v>41711</v>
      </c>
      <c r="H1928" s="6">
        <v>6594430</v>
      </c>
      <c r="I1928" s="6">
        <v>1625370</v>
      </c>
      <c r="J1928" s="5" t="s">
        <v>201</v>
      </c>
      <c r="K1928" s="1"/>
      <c r="L1928" s="1" t="str">
        <f t="shared" si="117"/>
        <v xml:space="preserve">Mörtsjön </v>
      </c>
      <c r="M1928" s="5" t="s">
        <v>213</v>
      </c>
      <c r="N1928" s="6">
        <v>3</v>
      </c>
      <c r="O1928" s="6">
        <v>3</v>
      </c>
      <c r="Q1928" s="6">
        <v>4.4000000000000004</v>
      </c>
      <c r="R1928" s="6">
        <v>8.6</v>
      </c>
      <c r="S1928" s="6">
        <v>66</v>
      </c>
    </row>
    <row r="1929" spans="1:43" x14ac:dyDescent="0.3">
      <c r="A1929" s="6">
        <v>28889</v>
      </c>
      <c r="B1929" s="5" t="s">
        <v>230</v>
      </c>
      <c r="C1929" s="5" t="s">
        <v>231</v>
      </c>
      <c r="D1929" s="2">
        <f t="shared" si="115"/>
        <v>2014</v>
      </c>
      <c r="E1929" s="2">
        <f t="shared" si="116"/>
        <v>3</v>
      </c>
      <c r="F1929" s="3" t="s">
        <v>175</v>
      </c>
      <c r="G1929" s="7">
        <v>41711</v>
      </c>
      <c r="H1929" s="6">
        <v>6594430</v>
      </c>
      <c r="I1929" s="6">
        <v>1625370</v>
      </c>
      <c r="J1929" s="5" t="s">
        <v>201</v>
      </c>
      <c r="K1929" s="1"/>
      <c r="L1929" s="1" t="str">
        <f t="shared" si="117"/>
        <v xml:space="preserve">Mörtsjön </v>
      </c>
      <c r="M1929" s="1" t="s">
        <v>184</v>
      </c>
      <c r="N1929" s="6">
        <v>3.9</v>
      </c>
      <c r="O1929" s="6">
        <v>3.9</v>
      </c>
      <c r="Q1929" s="6">
        <v>4.3</v>
      </c>
      <c r="R1929" s="6">
        <v>8.6</v>
      </c>
      <c r="S1929" s="6">
        <v>66</v>
      </c>
    </row>
    <row r="1930" spans="1:43" x14ac:dyDescent="0.3">
      <c r="A1930" s="6">
        <v>28890</v>
      </c>
      <c r="B1930" s="5" t="s">
        <v>230</v>
      </c>
      <c r="C1930" s="5" t="s">
        <v>231</v>
      </c>
      <c r="D1930" s="2">
        <f t="shared" si="115"/>
        <v>2014</v>
      </c>
      <c r="E1930" s="2">
        <f t="shared" si="116"/>
        <v>3</v>
      </c>
      <c r="F1930" s="3" t="s">
        <v>175</v>
      </c>
      <c r="G1930" s="7">
        <v>41711</v>
      </c>
      <c r="H1930" s="6">
        <v>6595515</v>
      </c>
      <c r="I1930" s="6">
        <v>1624630</v>
      </c>
      <c r="J1930" s="5" t="s">
        <v>207</v>
      </c>
      <c r="K1930" s="1"/>
      <c r="L1930" s="1" t="str">
        <f t="shared" si="117"/>
        <v xml:space="preserve">Käringsjön </v>
      </c>
      <c r="M1930" s="1" t="s">
        <v>177</v>
      </c>
      <c r="N1930" s="6">
        <v>0.5</v>
      </c>
      <c r="O1930" s="6">
        <v>1</v>
      </c>
      <c r="P1930" s="6">
        <v>0.7</v>
      </c>
      <c r="Q1930" s="6">
        <v>4.3</v>
      </c>
      <c r="R1930" s="6">
        <v>8.1999999999999993</v>
      </c>
      <c r="S1930" s="6">
        <v>63</v>
      </c>
      <c r="V1930" s="6">
        <v>0.56064000000000003</v>
      </c>
      <c r="W1930" s="6">
        <v>0</v>
      </c>
      <c r="X1930" s="1">
        <f>W1930 * (1/((10^((0.0901821 + (2729.92 /(273.15 + Q1930)))-AE1930)+1)))</f>
        <v>0</v>
      </c>
      <c r="Y1930" s="6">
        <v>0.66</v>
      </c>
      <c r="Z1930" s="6">
        <v>13.19</v>
      </c>
      <c r="AA1930" s="6">
        <v>2.7</v>
      </c>
      <c r="AD1930" s="6">
        <v>187.22</v>
      </c>
      <c r="AE1930" s="6">
        <v>6.61</v>
      </c>
      <c r="AK1930" s="6">
        <v>31.79</v>
      </c>
      <c r="AL1930" s="6">
        <v>1239.45</v>
      </c>
      <c r="AM1930" s="6"/>
      <c r="AN1930" s="6"/>
      <c r="AO1930" s="6"/>
      <c r="AP1930" s="6"/>
      <c r="AQ1930" s="6"/>
    </row>
    <row r="1931" spans="1:43" x14ac:dyDescent="0.3">
      <c r="A1931" s="6">
        <v>28891</v>
      </c>
      <c r="B1931" s="5" t="s">
        <v>230</v>
      </c>
      <c r="C1931" s="5" t="s">
        <v>231</v>
      </c>
      <c r="D1931" s="2">
        <f t="shared" si="115"/>
        <v>2014</v>
      </c>
      <c r="E1931" s="2">
        <f t="shared" si="116"/>
        <v>3</v>
      </c>
      <c r="F1931" s="3" t="s">
        <v>175</v>
      </c>
      <c r="G1931" s="7">
        <v>41711</v>
      </c>
      <c r="H1931" s="6">
        <v>6595515</v>
      </c>
      <c r="I1931" s="6">
        <v>1624630</v>
      </c>
      <c r="J1931" s="5" t="s">
        <v>207</v>
      </c>
      <c r="K1931" s="1"/>
      <c r="L1931" s="1" t="str">
        <f t="shared" si="117"/>
        <v xml:space="preserve">Käringsjön </v>
      </c>
      <c r="M1931" s="5" t="s">
        <v>211</v>
      </c>
      <c r="N1931" s="6">
        <v>1</v>
      </c>
      <c r="O1931" s="6">
        <v>1</v>
      </c>
      <c r="Q1931" s="6">
        <v>4.0999999999999996</v>
      </c>
      <c r="R1931" s="6">
        <v>8.1</v>
      </c>
      <c r="S1931" s="6">
        <v>62</v>
      </c>
    </row>
    <row r="1932" spans="1:43" x14ac:dyDescent="0.3">
      <c r="A1932" s="6">
        <v>28892</v>
      </c>
      <c r="B1932" s="5" t="s">
        <v>230</v>
      </c>
      <c r="C1932" s="5" t="s">
        <v>231</v>
      </c>
      <c r="D1932" s="2">
        <f t="shared" si="115"/>
        <v>2014</v>
      </c>
      <c r="E1932" s="2">
        <f t="shared" si="116"/>
        <v>3</v>
      </c>
      <c r="F1932" s="3" t="s">
        <v>175</v>
      </c>
      <c r="G1932" s="7">
        <v>41711</v>
      </c>
      <c r="H1932" s="6">
        <v>6595515</v>
      </c>
      <c r="I1932" s="6">
        <v>1624630</v>
      </c>
      <c r="J1932" s="5" t="s">
        <v>207</v>
      </c>
      <c r="K1932" s="1"/>
      <c r="L1932" s="1" t="str">
        <f t="shared" si="117"/>
        <v xml:space="preserve">Käringsjön </v>
      </c>
      <c r="M1932" s="5" t="s">
        <v>212</v>
      </c>
      <c r="N1932" s="6">
        <v>2</v>
      </c>
      <c r="O1932" s="6">
        <v>2</v>
      </c>
      <c r="Q1932" s="6">
        <v>4.0999999999999996</v>
      </c>
      <c r="R1932" s="6">
        <v>8.1</v>
      </c>
      <c r="S1932" s="6">
        <v>62</v>
      </c>
    </row>
    <row r="1933" spans="1:43" x14ac:dyDescent="0.3">
      <c r="A1933" s="6">
        <v>28893</v>
      </c>
      <c r="B1933" s="5" t="s">
        <v>230</v>
      </c>
      <c r="C1933" s="5" t="s">
        <v>231</v>
      </c>
      <c r="D1933" s="2">
        <f t="shared" si="115"/>
        <v>2014</v>
      </c>
      <c r="E1933" s="2">
        <f t="shared" si="116"/>
        <v>3</v>
      </c>
      <c r="F1933" s="3" t="s">
        <v>175</v>
      </c>
      <c r="G1933" s="7">
        <v>41711</v>
      </c>
      <c r="H1933" s="6">
        <v>6595515</v>
      </c>
      <c r="I1933" s="6">
        <v>1624630</v>
      </c>
      <c r="J1933" s="5" t="s">
        <v>207</v>
      </c>
      <c r="K1933" s="1"/>
      <c r="L1933" s="1" t="str">
        <f t="shared" si="117"/>
        <v xml:space="preserve">Käringsjön </v>
      </c>
      <c r="M1933" s="5" t="s">
        <v>213</v>
      </c>
      <c r="N1933" s="6">
        <v>3</v>
      </c>
      <c r="O1933" s="6">
        <v>3</v>
      </c>
      <c r="Q1933" s="6">
        <v>4.0999999999999996</v>
      </c>
      <c r="R1933" s="6">
        <v>8</v>
      </c>
      <c r="S1933" s="6">
        <v>61</v>
      </c>
    </row>
    <row r="1934" spans="1:43" x14ac:dyDescent="0.3">
      <c r="A1934" s="6">
        <v>28894</v>
      </c>
      <c r="B1934" s="5" t="s">
        <v>230</v>
      </c>
      <c r="C1934" s="5" t="s">
        <v>231</v>
      </c>
      <c r="D1934" s="2">
        <f t="shared" si="115"/>
        <v>2014</v>
      </c>
      <c r="E1934" s="2">
        <f t="shared" si="116"/>
        <v>3</v>
      </c>
      <c r="F1934" s="3" t="s">
        <v>175</v>
      </c>
      <c r="G1934" s="7">
        <v>41711</v>
      </c>
      <c r="H1934" s="6">
        <v>6595515</v>
      </c>
      <c r="I1934" s="6">
        <v>1624630</v>
      </c>
      <c r="J1934" s="5" t="s">
        <v>207</v>
      </c>
      <c r="K1934" s="1"/>
      <c r="L1934" s="1" t="str">
        <f t="shared" si="117"/>
        <v xml:space="preserve">Käringsjön </v>
      </c>
      <c r="M1934" s="1" t="s">
        <v>184</v>
      </c>
      <c r="N1934" s="6">
        <v>3.9</v>
      </c>
      <c r="O1934" s="6">
        <v>3.9</v>
      </c>
      <c r="Q1934" s="6">
        <v>4.0999999999999996</v>
      </c>
      <c r="R1934" s="6">
        <v>7.5</v>
      </c>
      <c r="S1934" s="6">
        <v>57</v>
      </c>
    </row>
    <row r="1935" spans="1:43" x14ac:dyDescent="0.3">
      <c r="A1935" s="6">
        <v>28917</v>
      </c>
      <c r="B1935" s="5" t="s">
        <v>230</v>
      </c>
      <c r="C1935" s="5" t="s">
        <v>231</v>
      </c>
      <c r="D1935" s="2">
        <f t="shared" si="115"/>
        <v>2014</v>
      </c>
      <c r="E1935" s="2">
        <f t="shared" si="116"/>
        <v>3</v>
      </c>
      <c r="F1935" s="3" t="s">
        <v>175</v>
      </c>
      <c r="G1935" s="7">
        <v>41716</v>
      </c>
      <c r="H1935" s="6">
        <v>6606035</v>
      </c>
      <c r="I1935" s="6">
        <v>1615620</v>
      </c>
      <c r="J1935" s="5" t="s">
        <v>187</v>
      </c>
      <c r="K1935" s="1"/>
      <c r="L1935" s="1" t="str">
        <f t="shared" si="117"/>
        <v xml:space="preserve">Oxundasjön </v>
      </c>
      <c r="M1935" s="1" t="s">
        <v>177</v>
      </c>
      <c r="N1935" s="6">
        <v>0.5</v>
      </c>
      <c r="O1935" s="6">
        <v>0.5</v>
      </c>
      <c r="P1935" s="6">
        <v>1.4</v>
      </c>
      <c r="Q1935" s="6">
        <v>3.3</v>
      </c>
      <c r="R1935" s="6">
        <v>14.2</v>
      </c>
      <c r="S1935" s="6">
        <v>108</v>
      </c>
      <c r="V1935" s="6">
        <v>2.4125901639344001</v>
      </c>
      <c r="W1935" s="6">
        <v>8.2799999999999994</v>
      </c>
      <c r="X1935" s="1">
        <f>W1935 * (1/((10^((0.0901821 + (2729.92 /(273.15 + Q1935)))-AE1935)+1)))</f>
        <v>0.12203534410435984</v>
      </c>
      <c r="Y1935" s="6">
        <v>6.5000000000000002E-2</v>
      </c>
      <c r="Z1935" s="6">
        <v>4.66</v>
      </c>
      <c r="AA1935" s="6">
        <v>8.1999999999999993</v>
      </c>
      <c r="AD1935" s="6">
        <v>719.21</v>
      </c>
      <c r="AE1935" s="6">
        <v>8.14</v>
      </c>
      <c r="AK1935" s="6">
        <v>35.03</v>
      </c>
      <c r="AL1935" s="6">
        <v>1437.2</v>
      </c>
      <c r="AM1935" s="6"/>
      <c r="AN1935" s="6"/>
      <c r="AO1935" s="6"/>
      <c r="AP1935" s="6"/>
      <c r="AQ1935" s="6"/>
    </row>
    <row r="1936" spans="1:43" x14ac:dyDescent="0.3">
      <c r="A1936" s="6">
        <v>28918</v>
      </c>
      <c r="B1936" s="5" t="s">
        <v>230</v>
      </c>
      <c r="C1936" s="5" t="s">
        <v>231</v>
      </c>
      <c r="D1936" s="2">
        <f t="shared" si="115"/>
        <v>2014</v>
      </c>
      <c r="E1936" s="2">
        <f t="shared" si="116"/>
        <v>3</v>
      </c>
      <c r="F1936" s="3" t="s">
        <v>175</v>
      </c>
      <c r="G1936" s="7">
        <v>41716</v>
      </c>
      <c r="H1936" s="6">
        <v>6606035</v>
      </c>
      <c r="I1936" s="6">
        <v>1615620</v>
      </c>
      <c r="J1936" s="5" t="s">
        <v>187</v>
      </c>
      <c r="K1936" s="1"/>
      <c r="L1936" s="1" t="str">
        <f t="shared" si="117"/>
        <v xml:space="preserve">Oxundasjön </v>
      </c>
      <c r="M1936" s="5" t="s">
        <v>211</v>
      </c>
      <c r="N1936" s="6">
        <v>1</v>
      </c>
      <c r="O1936" s="6">
        <v>1</v>
      </c>
      <c r="Q1936" s="6">
        <v>3.3</v>
      </c>
      <c r="R1936" s="6">
        <v>14.2</v>
      </c>
      <c r="S1936" s="6">
        <v>108</v>
      </c>
    </row>
    <row r="1937" spans="1:43" x14ac:dyDescent="0.3">
      <c r="A1937" s="6">
        <v>28919</v>
      </c>
      <c r="B1937" s="5" t="s">
        <v>230</v>
      </c>
      <c r="C1937" s="5" t="s">
        <v>231</v>
      </c>
      <c r="D1937" s="2">
        <f t="shared" si="115"/>
        <v>2014</v>
      </c>
      <c r="E1937" s="2">
        <f t="shared" si="116"/>
        <v>3</v>
      </c>
      <c r="F1937" s="3" t="s">
        <v>175</v>
      </c>
      <c r="G1937" s="7">
        <v>41716</v>
      </c>
      <c r="H1937" s="6">
        <v>6606035</v>
      </c>
      <c r="I1937" s="6">
        <v>1615620</v>
      </c>
      <c r="J1937" s="5" t="s">
        <v>187</v>
      </c>
      <c r="K1937" s="1"/>
      <c r="L1937" s="1" t="str">
        <f t="shared" si="117"/>
        <v xml:space="preserve">Oxundasjön </v>
      </c>
      <c r="M1937" s="5" t="s">
        <v>212</v>
      </c>
      <c r="N1937" s="6">
        <v>2</v>
      </c>
      <c r="O1937" s="6">
        <v>2</v>
      </c>
      <c r="Q1937" s="6">
        <v>3.2</v>
      </c>
      <c r="R1937" s="6">
        <v>14</v>
      </c>
      <c r="S1937" s="6">
        <v>107</v>
      </c>
    </row>
    <row r="1938" spans="1:43" x14ac:dyDescent="0.3">
      <c r="A1938" s="6">
        <v>28920</v>
      </c>
      <c r="B1938" s="5" t="s">
        <v>230</v>
      </c>
      <c r="C1938" s="5" t="s">
        <v>231</v>
      </c>
      <c r="D1938" s="2">
        <f t="shared" si="115"/>
        <v>2014</v>
      </c>
      <c r="E1938" s="2">
        <f t="shared" si="116"/>
        <v>3</v>
      </c>
      <c r="F1938" s="3" t="s">
        <v>175</v>
      </c>
      <c r="G1938" s="7">
        <v>41716</v>
      </c>
      <c r="H1938" s="6">
        <v>6606035</v>
      </c>
      <c r="I1938" s="6">
        <v>1615620</v>
      </c>
      <c r="J1938" s="5" t="s">
        <v>187</v>
      </c>
      <c r="K1938" s="1"/>
      <c r="L1938" s="1" t="str">
        <f t="shared" si="117"/>
        <v xml:space="preserve">Oxundasjön </v>
      </c>
      <c r="M1938" s="5" t="s">
        <v>213</v>
      </c>
      <c r="N1938" s="6">
        <v>3</v>
      </c>
      <c r="O1938" s="6">
        <v>3</v>
      </c>
      <c r="Q1938" s="6">
        <v>3.2</v>
      </c>
      <c r="R1938" s="6">
        <v>14</v>
      </c>
      <c r="S1938" s="6">
        <v>107</v>
      </c>
    </row>
    <row r="1939" spans="1:43" x14ac:dyDescent="0.3">
      <c r="A1939" s="6">
        <v>28921</v>
      </c>
      <c r="B1939" s="5" t="s">
        <v>230</v>
      </c>
      <c r="C1939" s="5" t="s">
        <v>231</v>
      </c>
      <c r="D1939" s="2">
        <f t="shared" si="115"/>
        <v>2014</v>
      </c>
      <c r="E1939" s="2">
        <f t="shared" si="116"/>
        <v>3</v>
      </c>
      <c r="F1939" s="3" t="s">
        <v>175</v>
      </c>
      <c r="G1939" s="7">
        <v>41716</v>
      </c>
      <c r="H1939" s="6">
        <v>6606035</v>
      </c>
      <c r="I1939" s="6">
        <v>1615620</v>
      </c>
      <c r="J1939" s="5" t="s">
        <v>187</v>
      </c>
      <c r="K1939" s="1"/>
      <c r="L1939" s="1" t="str">
        <f t="shared" si="117"/>
        <v xml:space="preserve">Oxundasjön </v>
      </c>
      <c r="M1939" s="5" t="s">
        <v>214</v>
      </c>
      <c r="N1939" s="6">
        <v>4</v>
      </c>
      <c r="O1939" s="6">
        <v>4</v>
      </c>
      <c r="Q1939" s="6">
        <v>3.2</v>
      </c>
      <c r="R1939" s="6">
        <v>14</v>
      </c>
      <c r="S1939" s="6">
        <v>106</v>
      </c>
    </row>
    <row r="1940" spans="1:43" x14ac:dyDescent="0.3">
      <c r="A1940" s="6">
        <v>28922</v>
      </c>
      <c r="B1940" s="5" t="s">
        <v>230</v>
      </c>
      <c r="C1940" s="5" t="s">
        <v>231</v>
      </c>
      <c r="D1940" s="2">
        <f t="shared" si="115"/>
        <v>2014</v>
      </c>
      <c r="E1940" s="2">
        <f t="shared" si="116"/>
        <v>3</v>
      </c>
      <c r="F1940" s="3" t="s">
        <v>175</v>
      </c>
      <c r="G1940" s="7">
        <v>41716</v>
      </c>
      <c r="H1940" s="6">
        <v>6606035</v>
      </c>
      <c r="I1940" s="6">
        <v>1615620</v>
      </c>
      <c r="J1940" s="5" t="s">
        <v>187</v>
      </c>
      <c r="K1940" s="1"/>
      <c r="L1940" s="1" t="str">
        <f t="shared" si="117"/>
        <v xml:space="preserve">Oxundasjön </v>
      </c>
      <c r="M1940" s="5" t="s">
        <v>217</v>
      </c>
      <c r="N1940" s="6">
        <v>5</v>
      </c>
      <c r="O1940" s="6">
        <v>5</v>
      </c>
      <c r="Q1940" s="6">
        <v>3.2</v>
      </c>
      <c r="R1940" s="6">
        <v>14</v>
      </c>
      <c r="S1940" s="6">
        <v>106</v>
      </c>
    </row>
    <row r="1941" spans="1:43" x14ac:dyDescent="0.3">
      <c r="A1941" s="6">
        <v>28923</v>
      </c>
      <c r="B1941" s="5" t="s">
        <v>230</v>
      </c>
      <c r="C1941" s="5" t="s">
        <v>231</v>
      </c>
      <c r="D1941" s="2">
        <f t="shared" si="115"/>
        <v>2014</v>
      </c>
      <c r="E1941" s="2">
        <f t="shared" si="116"/>
        <v>3</v>
      </c>
      <c r="F1941" s="3" t="s">
        <v>175</v>
      </c>
      <c r="G1941" s="7">
        <v>41716</v>
      </c>
      <c r="H1941" s="6">
        <v>6606035</v>
      </c>
      <c r="I1941" s="6">
        <v>1615620</v>
      </c>
      <c r="J1941" s="5" t="s">
        <v>187</v>
      </c>
      <c r="K1941" s="1"/>
      <c r="L1941" s="1" t="str">
        <f t="shared" si="117"/>
        <v xml:space="preserve">Oxundasjön </v>
      </c>
      <c r="M1941" s="1" t="s">
        <v>184</v>
      </c>
      <c r="N1941" s="6">
        <v>6</v>
      </c>
      <c r="O1941" s="6">
        <v>6</v>
      </c>
      <c r="Q1941" s="6">
        <v>3.3</v>
      </c>
      <c r="R1941" s="6">
        <v>13.6</v>
      </c>
      <c r="S1941" s="6">
        <v>103</v>
      </c>
    </row>
    <row r="1942" spans="1:43" x14ac:dyDescent="0.3">
      <c r="A1942" s="6">
        <v>28924</v>
      </c>
      <c r="B1942" s="5" t="s">
        <v>230</v>
      </c>
      <c r="C1942" s="5" t="s">
        <v>231</v>
      </c>
      <c r="D1942" s="2">
        <f t="shared" si="115"/>
        <v>2014</v>
      </c>
      <c r="E1942" s="2">
        <f t="shared" si="116"/>
        <v>3</v>
      </c>
      <c r="F1942" s="3" t="s">
        <v>178</v>
      </c>
      <c r="G1942" s="7">
        <v>41716</v>
      </c>
      <c r="H1942" s="6">
        <v>6599695</v>
      </c>
      <c r="I1942" s="6">
        <v>1617290</v>
      </c>
      <c r="J1942" s="5" t="s">
        <v>182</v>
      </c>
      <c r="K1942" s="1"/>
      <c r="L1942" s="1" t="str">
        <f t="shared" si="117"/>
        <v xml:space="preserve">Edssjön </v>
      </c>
      <c r="M1942" s="1" t="s">
        <v>177</v>
      </c>
      <c r="N1942" s="6">
        <v>0.5</v>
      </c>
      <c r="O1942" s="6">
        <v>0.5</v>
      </c>
      <c r="P1942" s="6">
        <v>1.5</v>
      </c>
      <c r="Q1942" s="6">
        <v>3</v>
      </c>
      <c r="R1942" s="6">
        <v>14.4</v>
      </c>
      <c r="S1942" s="6">
        <v>109</v>
      </c>
      <c r="V1942" s="6">
        <v>2.5533245901638999</v>
      </c>
      <c r="W1942" s="6">
        <v>4.95</v>
      </c>
      <c r="X1942" s="1">
        <f>W1942 * (1/((10^((0.0901821 + (2729.92 /(273.15 + Q1942)))-AE1942)+1)))</f>
        <v>9.3434082740482149E-2</v>
      </c>
      <c r="Y1942" s="6">
        <v>6.3E-2</v>
      </c>
      <c r="Z1942" s="6">
        <v>4.2699999999999996</v>
      </c>
      <c r="AA1942" s="6">
        <v>6.6</v>
      </c>
      <c r="AD1942" s="6">
        <v>294.76</v>
      </c>
      <c r="AE1942" s="6">
        <v>8.26</v>
      </c>
      <c r="AK1942" s="6">
        <v>42.91</v>
      </c>
      <c r="AL1942" s="6">
        <v>1106.2</v>
      </c>
      <c r="AM1942" s="6"/>
      <c r="AN1942" s="6"/>
      <c r="AO1942" s="6"/>
      <c r="AP1942" s="6"/>
      <c r="AQ1942" s="6"/>
    </row>
    <row r="1943" spans="1:43" x14ac:dyDescent="0.3">
      <c r="A1943" s="6">
        <v>28925</v>
      </c>
      <c r="B1943" s="5" t="s">
        <v>230</v>
      </c>
      <c r="C1943" s="5" t="s">
        <v>231</v>
      </c>
      <c r="D1943" s="2">
        <f t="shared" si="115"/>
        <v>2014</v>
      </c>
      <c r="E1943" s="2">
        <f t="shared" si="116"/>
        <v>3</v>
      </c>
      <c r="F1943" s="3" t="s">
        <v>178</v>
      </c>
      <c r="G1943" s="7">
        <v>41716</v>
      </c>
      <c r="H1943" s="6">
        <v>6599695</v>
      </c>
      <c r="I1943" s="6">
        <v>1617290</v>
      </c>
      <c r="J1943" s="5" t="s">
        <v>182</v>
      </c>
      <c r="K1943" s="1"/>
      <c r="L1943" s="1" t="str">
        <f t="shared" si="117"/>
        <v xml:space="preserve">Edssjön </v>
      </c>
      <c r="M1943" s="5" t="s">
        <v>211</v>
      </c>
      <c r="N1943" s="6">
        <v>1</v>
      </c>
      <c r="O1943" s="6">
        <v>1</v>
      </c>
      <c r="Q1943" s="6">
        <v>3</v>
      </c>
      <c r="R1943" s="6">
        <v>14.4</v>
      </c>
      <c r="S1943" s="6">
        <v>109</v>
      </c>
    </row>
    <row r="1944" spans="1:43" x14ac:dyDescent="0.3">
      <c r="A1944" s="6">
        <v>28926</v>
      </c>
      <c r="B1944" s="5" t="s">
        <v>230</v>
      </c>
      <c r="C1944" s="5" t="s">
        <v>231</v>
      </c>
      <c r="D1944" s="2">
        <f t="shared" si="115"/>
        <v>2014</v>
      </c>
      <c r="E1944" s="2">
        <f t="shared" si="116"/>
        <v>3</v>
      </c>
      <c r="F1944" s="3" t="s">
        <v>178</v>
      </c>
      <c r="G1944" s="7">
        <v>41716</v>
      </c>
      <c r="H1944" s="6">
        <v>6599695</v>
      </c>
      <c r="I1944" s="6">
        <v>1617290</v>
      </c>
      <c r="J1944" s="5" t="s">
        <v>182</v>
      </c>
      <c r="K1944" s="1"/>
      <c r="L1944" s="1" t="str">
        <f t="shared" si="117"/>
        <v xml:space="preserve">Edssjön </v>
      </c>
      <c r="M1944" s="5" t="s">
        <v>212</v>
      </c>
      <c r="N1944" s="6">
        <v>2</v>
      </c>
      <c r="O1944" s="6">
        <v>2</v>
      </c>
      <c r="Q1944" s="6">
        <v>3</v>
      </c>
      <c r="R1944" s="6">
        <v>14.2</v>
      </c>
      <c r="S1944" s="6">
        <v>107</v>
      </c>
    </row>
    <row r="1945" spans="1:43" x14ac:dyDescent="0.3">
      <c r="A1945" s="6">
        <v>28927</v>
      </c>
      <c r="B1945" s="5" t="s">
        <v>230</v>
      </c>
      <c r="C1945" s="5" t="s">
        <v>231</v>
      </c>
      <c r="D1945" s="2">
        <f t="shared" si="115"/>
        <v>2014</v>
      </c>
      <c r="E1945" s="2">
        <f t="shared" si="116"/>
        <v>3</v>
      </c>
      <c r="F1945" s="3" t="s">
        <v>178</v>
      </c>
      <c r="G1945" s="7">
        <v>41716</v>
      </c>
      <c r="H1945" s="6">
        <v>6599695</v>
      </c>
      <c r="I1945" s="6">
        <v>1617290</v>
      </c>
      <c r="J1945" s="5" t="s">
        <v>182</v>
      </c>
      <c r="K1945" s="1"/>
      <c r="L1945" s="1" t="str">
        <f t="shared" si="117"/>
        <v xml:space="preserve">Edssjön </v>
      </c>
      <c r="M1945" s="5" t="s">
        <v>213</v>
      </c>
      <c r="N1945" s="6">
        <v>3</v>
      </c>
      <c r="O1945" s="6">
        <v>3</v>
      </c>
      <c r="Q1945" s="6">
        <v>3</v>
      </c>
      <c r="R1945" s="6">
        <v>14.1</v>
      </c>
      <c r="S1945" s="6">
        <v>106</v>
      </c>
    </row>
    <row r="1946" spans="1:43" x14ac:dyDescent="0.3">
      <c r="A1946" s="6">
        <v>28928</v>
      </c>
      <c r="B1946" s="5" t="s">
        <v>230</v>
      </c>
      <c r="C1946" s="5" t="s">
        <v>231</v>
      </c>
      <c r="D1946" s="2">
        <f t="shared" si="115"/>
        <v>2014</v>
      </c>
      <c r="E1946" s="2">
        <f t="shared" si="116"/>
        <v>3</v>
      </c>
      <c r="F1946" s="3" t="s">
        <v>178</v>
      </c>
      <c r="G1946" s="7">
        <v>41716</v>
      </c>
      <c r="H1946" s="6">
        <v>6599695</v>
      </c>
      <c r="I1946" s="6">
        <v>1617290</v>
      </c>
      <c r="J1946" s="5" t="s">
        <v>182</v>
      </c>
      <c r="K1946" s="1"/>
      <c r="L1946" s="1" t="str">
        <f t="shared" si="117"/>
        <v xml:space="preserve">Edssjön </v>
      </c>
      <c r="M1946" s="5" t="s">
        <v>214</v>
      </c>
      <c r="N1946" s="6">
        <v>4</v>
      </c>
      <c r="O1946" s="6">
        <v>4</v>
      </c>
      <c r="Q1946" s="6">
        <v>3</v>
      </c>
      <c r="R1946" s="6">
        <v>14</v>
      </c>
      <c r="S1946" s="6">
        <v>106</v>
      </c>
    </row>
    <row r="1947" spans="1:43" x14ac:dyDescent="0.3">
      <c r="A1947" s="6">
        <v>28929</v>
      </c>
      <c r="B1947" s="5" t="s">
        <v>230</v>
      </c>
      <c r="C1947" s="5" t="s">
        <v>231</v>
      </c>
      <c r="D1947" s="2">
        <f t="shared" si="115"/>
        <v>2014</v>
      </c>
      <c r="E1947" s="2">
        <f t="shared" si="116"/>
        <v>3</v>
      </c>
      <c r="F1947" s="3" t="s">
        <v>178</v>
      </c>
      <c r="G1947" s="7">
        <v>41716</v>
      </c>
      <c r="H1947" s="6">
        <v>6599695</v>
      </c>
      <c r="I1947" s="6">
        <v>1617290</v>
      </c>
      <c r="J1947" s="5" t="s">
        <v>182</v>
      </c>
      <c r="K1947" s="1"/>
      <c r="L1947" s="1" t="str">
        <f t="shared" si="117"/>
        <v xml:space="preserve">Edssjön </v>
      </c>
      <c r="M1947" s="1" t="s">
        <v>184</v>
      </c>
      <c r="N1947" s="6">
        <v>5.2</v>
      </c>
      <c r="O1947" s="6">
        <v>5.2</v>
      </c>
      <c r="Q1947" s="6">
        <v>3.1</v>
      </c>
      <c r="R1947" s="6">
        <v>13.3</v>
      </c>
      <c r="S1947" s="6">
        <v>101</v>
      </c>
    </row>
    <row r="1948" spans="1:43" x14ac:dyDescent="0.3">
      <c r="A1948" s="6">
        <v>28930</v>
      </c>
      <c r="B1948" s="5" t="s">
        <v>230</v>
      </c>
      <c r="C1948" s="5" t="s">
        <v>231</v>
      </c>
      <c r="D1948" s="2">
        <f t="shared" si="115"/>
        <v>2014</v>
      </c>
      <c r="E1948" s="2">
        <f t="shared" si="116"/>
        <v>3</v>
      </c>
      <c r="F1948" s="3" t="s">
        <v>175</v>
      </c>
      <c r="G1948" s="7">
        <v>41716</v>
      </c>
      <c r="H1948" s="6">
        <v>6593820</v>
      </c>
      <c r="I1948" s="6">
        <v>1624215</v>
      </c>
      <c r="J1948" s="5" t="s">
        <v>189</v>
      </c>
      <c r="K1948" s="1"/>
      <c r="L1948" s="1" t="str">
        <f t="shared" si="117"/>
        <v xml:space="preserve">Rösjön </v>
      </c>
      <c r="M1948" s="1" t="s">
        <v>177</v>
      </c>
      <c r="N1948" s="6">
        <v>0.5</v>
      </c>
      <c r="O1948" s="6">
        <v>0.5</v>
      </c>
      <c r="P1948" s="6">
        <v>3</v>
      </c>
      <c r="Q1948" s="6">
        <v>3.2</v>
      </c>
      <c r="R1948" s="6">
        <v>12.4</v>
      </c>
      <c r="S1948" s="6">
        <v>95</v>
      </c>
      <c r="V1948" s="6">
        <v>1.608393442623</v>
      </c>
      <c r="W1948" s="6">
        <v>0</v>
      </c>
      <c r="X1948" s="1">
        <f>W1948 * (1/((10^((0.0901821 + (2729.92 /(273.15 + Q1948)))-AE1948)+1)))</f>
        <v>0</v>
      </c>
      <c r="Y1948" s="6">
        <v>4.2999999999999997E-2</v>
      </c>
      <c r="Z1948" s="6">
        <v>0</v>
      </c>
      <c r="AA1948" s="6">
        <v>2.2000000000000002</v>
      </c>
      <c r="AD1948" s="6">
        <v>134.85</v>
      </c>
      <c r="AE1948" s="6">
        <v>7.83</v>
      </c>
      <c r="AK1948" s="6">
        <v>11.64</v>
      </c>
      <c r="AL1948" s="6">
        <v>582.20000000000005</v>
      </c>
      <c r="AM1948" s="6"/>
      <c r="AN1948" s="6"/>
      <c r="AO1948" s="6"/>
      <c r="AP1948" s="6"/>
      <c r="AQ1948" s="6"/>
    </row>
    <row r="1949" spans="1:43" x14ac:dyDescent="0.3">
      <c r="A1949" s="6">
        <v>28931</v>
      </c>
      <c r="B1949" s="5" t="s">
        <v>230</v>
      </c>
      <c r="C1949" s="5" t="s">
        <v>231</v>
      </c>
      <c r="D1949" s="2">
        <f t="shared" si="115"/>
        <v>2014</v>
      </c>
      <c r="E1949" s="2">
        <f t="shared" si="116"/>
        <v>3</v>
      </c>
      <c r="F1949" s="3" t="s">
        <v>175</v>
      </c>
      <c r="G1949" s="7">
        <v>41716</v>
      </c>
      <c r="H1949" s="6">
        <v>6593820</v>
      </c>
      <c r="I1949" s="6">
        <v>1624215</v>
      </c>
      <c r="J1949" s="5" t="s">
        <v>189</v>
      </c>
      <c r="K1949" s="1"/>
      <c r="L1949" s="1" t="str">
        <f t="shared" si="117"/>
        <v xml:space="preserve">Rösjön </v>
      </c>
      <c r="M1949" s="5" t="s">
        <v>211</v>
      </c>
      <c r="N1949" s="6">
        <v>1</v>
      </c>
      <c r="O1949" s="6">
        <v>1</v>
      </c>
      <c r="Q1949" s="6">
        <v>3.4</v>
      </c>
      <c r="R1949" s="6">
        <v>12.3</v>
      </c>
      <c r="S1949" s="6">
        <v>94</v>
      </c>
    </row>
    <row r="1950" spans="1:43" x14ac:dyDescent="0.3">
      <c r="A1950" s="6">
        <v>28932</v>
      </c>
      <c r="B1950" s="5" t="s">
        <v>230</v>
      </c>
      <c r="C1950" s="5" t="s">
        <v>231</v>
      </c>
      <c r="D1950" s="2">
        <f t="shared" si="115"/>
        <v>2014</v>
      </c>
      <c r="E1950" s="2">
        <f t="shared" si="116"/>
        <v>3</v>
      </c>
      <c r="F1950" s="3" t="s">
        <v>175</v>
      </c>
      <c r="G1950" s="7">
        <v>41716</v>
      </c>
      <c r="H1950" s="6">
        <v>6593820</v>
      </c>
      <c r="I1950" s="6">
        <v>1624215</v>
      </c>
      <c r="J1950" s="5" t="s">
        <v>189</v>
      </c>
      <c r="K1950" s="1"/>
      <c r="L1950" s="1" t="str">
        <f t="shared" si="117"/>
        <v xml:space="preserve">Rösjön </v>
      </c>
      <c r="M1950" s="5" t="s">
        <v>212</v>
      </c>
      <c r="N1950" s="6">
        <v>2</v>
      </c>
      <c r="O1950" s="6">
        <v>2</v>
      </c>
      <c r="Q1950" s="6">
        <v>3.4</v>
      </c>
      <c r="R1950" s="6">
        <v>12.3</v>
      </c>
      <c r="S1950" s="6">
        <v>94</v>
      </c>
    </row>
    <row r="1951" spans="1:43" x14ac:dyDescent="0.3">
      <c r="A1951" s="6">
        <v>28933</v>
      </c>
      <c r="B1951" s="5" t="s">
        <v>230</v>
      </c>
      <c r="C1951" s="5" t="s">
        <v>231</v>
      </c>
      <c r="D1951" s="2">
        <f t="shared" si="115"/>
        <v>2014</v>
      </c>
      <c r="E1951" s="2">
        <f t="shared" si="116"/>
        <v>3</v>
      </c>
      <c r="F1951" s="3" t="s">
        <v>175</v>
      </c>
      <c r="G1951" s="7">
        <v>41716</v>
      </c>
      <c r="H1951" s="6">
        <v>6593820</v>
      </c>
      <c r="I1951" s="6">
        <v>1624215</v>
      </c>
      <c r="J1951" s="5" t="s">
        <v>189</v>
      </c>
      <c r="K1951" s="1"/>
      <c r="L1951" s="1" t="str">
        <f t="shared" si="117"/>
        <v xml:space="preserve">Rösjön </v>
      </c>
      <c r="M1951" s="5" t="s">
        <v>213</v>
      </c>
      <c r="N1951" s="6">
        <v>3</v>
      </c>
      <c r="O1951" s="6">
        <v>3</v>
      </c>
      <c r="Q1951" s="6">
        <v>3.4</v>
      </c>
      <c r="R1951" s="6">
        <v>12.3</v>
      </c>
      <c r="S1951" s="6">
        <v>94</v>
      </c>
    </row>
    <row r="1952" spans="1:43" x14ac:dyDescent="0.3">
      <c r="A1952" s="6">
        <v>28934</v>
      </c>
      <c r="B1952" s="5" t="s">
        <v>230</v>
      </c>
      <c r="C1952" s="5" t="s">
        <v>231</v>
      </c>
      <c r="D1952" s="2">
        <f t="shared" si="115"/>
        <v>2014</v>
      </c>
      <c r="E1952" s="2">
        <f t="shared" si="116"/>
        <v>3</v>
      </c>
      <c r="F1952" s="3" t="s">
        <v>175</v>
      </c>
      <c r="G1952" s="7">
        <v>41716</v>
      </c>
      <c r="H1952" s="6">
        <v>6593820</v>
      </c>
      <c r="I1952" s="6">
        <v>1624215</v>
      </c>
      <c r="J1952" s="5" t="s">
        <v>189</v>
      </c>
      <c r="K1952" s="1"/>
      <c r="L1952" s="1" t="str">
        <f t="shared" si="117"/>
        <v xml:space="preserve">Rösjön </v>
      </c>
      <c r="M1952" s="5" t="s">
        <v>214</v>
      </c>
      <c r="N1952" s="6">
        <v>4</v>
      </c>
      <c r="O1952" s="6">
        <v>4</v>
      </c>
      <c r="Q1952" s="6">
        <v>3.4</v>
      </c>
      <c r="R1952" s="6">
        <v>12.3</v>
      </c>
      <c r="S1952" s="6">
        <v>94</v>
      </c>
    </row>
    <row r="1953" spans="1:51" x14ac:dyDescent="0.3">
      <c r="A1953" s="6">
        <v>28935</v>
      </c>
      <c r="B1953" s="5" t="s">
        <v>230</v>
      </c>
      <c r="C1953" s="5" t="s">
        <v>231</v>
      </c>
      <c r="D1953" s="2">
        <f t="shared" si="115"/>
        <v>2014</v>
      </c>
      <c r="E1953" s="2">
        <f t="shared" si="116"/>
        <v>3</v>
      </c>
      <c r="F1953" s="3" t="s">
        <v>175</v>
      </c>
      <c r="G1953" s="7">
        <v>41716</v>
      </c>
      <c r="H1953" s="6">
        <v>6593820</v>
      </c>
      <c r="I1953" s="6">
        <v>1624215</v>
      </c>
      <c r="J1953" s="5" t="s">
        <v>189</v>
      </c>
      <c r="K1953" s="1"/>
      <c r="L1953" s="1" t="str">
        <f t="shared" si="117"/>
        <v xml:space="preserve">Rösjön </v>
      </c>
      <c r="M1953" s="5" t="s">
        <v>217</v>
      </c>
      <c r="N1953" s="6">
        <v>5</v>
      </c>
      <c r="O1953" s="6">
        <v>5</v>
      </c>
      <c r="Q1953" s="6">
        <v>3.4</v>
      </c>
      <c r="R1953" s="6">
        <v>12.3</v>
      </c>
      <c r="S1953" s="6">
        <v>94</v>
      </c>
    </row>
    <row r="1954" spans="1:51" x14ac:dyDescent="0.3">
      <c r="A1954" s="6">
        <v>28936</v>
      </c>
      <c r="B1954" s="5" t="s">
        <v>230</v>
      </c>
      <c r="C1954" s="5" t="s">
        <v>231</v>
      </c>
      <c r="D1954" s="2">
        <f t="shared" si="115"/>
        <v>2014</v>
      </c>
      <c r="E1954" s="2">
        <f t="shared" si="116"/>
        <v>3</v>
      </c>
      <c r="F1954" s="3" t="s">
        <v>175</v>
      </c>
      <c r="G1954" s="7">
        <v>41716</v>
      </c>
      <c r="H1954" s="6">
        <v>6593820</v>
      </c>
      <c r="I1954" s="6">
        <v>1624215</v>
      </c>
      <c r="J1954" s="5" t="s">
        <v>189</v>
      </c>
      <c r="K1954" s="1"/>
      <c r="L1954" s="1" t="str">
        <f t="shared" si="117"/>
        <v xml:space="preserve">Rösjön </v>
      </c>
      <c r="M1954" s="5" t="s">
        <v>218</v>
      </c>
      <c r="N1954" s="6">
        <v>6</v>
      </c>
      <c r="O1954" s="6">
        <v>6</v>
      </c>
      <c r="Q1954" s="6">
        <v>3.4</v>
      </c>
      <c r="R1954" s="6">
        <v>12.3</v>
      </c>
      <c r="S1954" s="6">
        <v>94</v>
      </c>
    </row>
    <row r="1955" spans="1:51" x14ac:dyDescent="0.3">
      <c r="A1955" s="6">
        <v>28937</v>
      </c>
      <c r="B1955" s="5" t="s">
        <v>230</v>
      </c>
      <c r="C1955" s="5" t="s">
        <v>231</v>
      </c>
      <c r="D1955" s="2">
        <f t="shared" si="115"/>
        <v>2014</v>
      </c>
      <c r="E1955" s="2">
        <f t="shared" si="116"/>
        <v>3</v>
      </c>
      <c r="F1955" s="3" t="s">
        <v>175</v>
      </c>
      <c r="G1955" s="7">
        <v>41716</v>
      </c>
      <c r="H1955" s="6">
        <v>6593820</v>
      </c>
      <c r="I1955" s="6">
        <v>1624215</v>
      </c>
      <c r="J1955" s="5" t="s">
        <v>189</v>
      </c>
      <c r="K1955" s="1"/>
      <c r="L1955" s="1" t="str">
        <f t="shared" si="117"/>
        <v xml:space="preserve">Rösjön </v>
      </c>
      <c r="M1955" s="1" t="s">
        <v>184</v>
      </c>
      <c r="N1955" s="6">
        <v>6.8</v>
      </c>
      <c r="O1955" s="6">
        <v>6.8</v>
      </c>
      <c r="Q1955" s="6">
        <v>3.5</v>
      </c>
      <c r="R1955" s="6">
        <v>11.6</v>
      </c>
      <c r="S1955" s="6">
        <v>90</v>
      </c>
    </row>
    <row r="1956" spans="1:51" x14ac:dyDescent="0.3">
      <c r="A1956" s="6">
        <v>28938</v>
      </c>
      <c r="B1956" s="5" t="s">
        <v>230</v>
      </c>
      <c r="C1956" s="5" t="s">
        <v>231</v>
      </c>
      <c r="D1956" s="2">
        <f t="shared" si="115"/>
        <v>2014</v>
      </c>
      <c r="E1956" s="2">
        <f t="shared" si="116"/>
        <v>3</v>
      </c>
      <c r="F1956" s="3" t="s">
        <v>175</v>
      </c>
      <c r="G1956" s="7">
        <v>41716</v>
      </c>
      <c r="H1956" s="6">
        <v>6595400</v>
      </c>
      <c r="I1956" s="6">
        <v>1624045</v>
      </c>
      <c r="J1956" s="5" t="s">
        <v>183</v>
      </c>
      <c r="K1956" s="1"/>
      <c r="L1956" s="1" t="str">
        <f t="shared" si="117"/>
        <v xml:space="preserve">Fjäturen </v>
      </c>
      <c r="M1956" s="1" t="s">
        <v>177</v>
      </c>
      <c r="N1956" s="6">
        <v>0.5</v>
      </c>
      <c r="O1956" s="6">
        <v>0.5</v>
      </c>
      <c r="P1956" s="6">
        <v>1.7</v>
      </c>
      <c r="Q1956" s="6">
        <v>3.1</v>
      </c>
      <c r="R1956" s="6">
        <v>12.4</v>
      </c>
      <c r="S1956" s="6">
        <v>94</v>
      </c>
      <c r="V1956" s="6">
        <v>1.7893377049180001</v>
      </c>
      <c r="W1956" s="6">
        <v>0</v>
      </c>
      <c r="X1956" s="1">
        <f>W1956 * (1/((10^((0.0901821 + (2729.92 /(273.15 + Q1956)))-AE1956)+1)))</f>
        <v>0</v>
      </c>
      <c r="Y1956" s="6">
        <v>9.4E-2</v>
      </c>
      <c r="Z1956" s="6">
        <v>1.1000000000000001</v>
      </c>
      <c r="AA1956" s="6">
        <v>4.5999999999999996</v>
      </c>
      <c r="AD1956" s="6">
        <v>225.86</v>
      </c>
      <c r="AE1956" s="6">
        <v>7.82</v>
      </c>
      <c r="AK1956" s="6">
        <v>16.64</v>
      </c>
      <c r="AL1956" s="6">
        <v>780.2</v>
      </c>
      <c r="AM1956" s="6"/>
      <c r="AN1956" s="6"/>
      <c r="AO1956" s="6"/>
      <c r="AP1956" s="6"/>
      <c r="AQ1956" s="6"/>
    </row>
    <row r="1957" spans="1:51" x14ac:dyDescent="0.3">
      <c r="A1957" s="6">
        <v>28939</v>
      </c>
      <c r="B1957" s="5" t="s">
        <v>230</v>
      </c>
      <c r="C1957" s="5" t="s">
        <v>231</v>
      </c>
      <c r="D1957" s="2">
        <f t="shared" si="115"/>
        <v>2014</v>
      </c>
      <c r="E1957" s="2">
        <f t="shared" si="116"/>
        <v>3</v>
      </c>
      <c r="F1957" s="3" t="s">
        <v>175</v>
      </c>
      <c r="G1957" s="7">
        <v>41716</v>
      </c>
      <c r="H1957" s="6">
        <v>6595400</v>
      </c>
      <c r="I1957" s="6">
        <v>1624045</v>
      </c>
      <c r="J1957" s="5" t="s">
        <v>183</v>
      </c>
      <c r="K1957" s="1"/>
      <c r="L1957" s="1" t="str">
        <f t="shared" si="117"/>
        <v xml:space="preserve">Fjäturen </v>
      </c>
      <c r="M1957" s="5" t="s">
        <v>211</v>
      </c>
      <c r="N1957" s="6">
        <v>1</v>
      </c>
      <c r="O1957" s="6">
        <v>1</v>
      </c>
      <c r="Q1957" s="6">
        <v>3.1</v>
      </c>
      <c r="R1957" s="6">
        <v>12.4</v>
      </c>
      <c r="S1957" s="6">
        <v>94</v>
      </c>
    </row>
    <row r="1958" spans="1:51" x14ac:dyDescent="0.3">
      <c r="A1958" s="6">
        <v>28940</v>
      </c>
      <c r="B1958" s="5" t="s">
        <v>230</v>
      </c>
      <c r="C1958" s="5" t="s">
        <v>231</v>
      </c>
      <c r="D1958" s="2">
        <f t="shared" si="115"/>
        <v>2014</v>
      </c>
      <c r="E1958" s="2">
        <f t="shared" si="116"/>
        <v>3</v>
      </c>
      <c r="F1958" s="3" t="s">
        <v>175</v>
      </c>
      <c r="G1958" s="7">
        <v>41716</v>
      </c>
      <c r="H1958" s="6">
        <v>6595400</v>
      </c>
      <c r="I1958" s="6">
        <v>1624045</v>
      </c>
      <c r="J1958" s="5" t="s">
        <v>183</v>
      </c>
      <c r="K1958" s="1"/>
      <c r="L1958" s="1" t="str">
        <f t="shared" si="117"/>
        <v xml:space="preserve">Fjäturen </v>
      </c>
      <c r="M1958" s="5" t="s">
        <v>212</v>
      </c>
      <c r="N1958" s="6">
        <v>2</v>
      </c>
      <c r="O1958" s="6">
        <v>2</v>
      </c>
      <c r="Q1958" s="6">
        <v>3.1</v>
      </c>
      <c r="R1958" s="6">
        <v>12.3</v>
      </c>
      <c r="S1958" s="6">
        <v>93</v>
      </c>
    </row>
    <row r="1959" spans="1:51" x14ac:dyDescent="0.3">
      <c r="A1959" s="6">
        <v>28941</v>
      </c>
      <c r="B1959" s="5" t="s">
        <v>230</v>
      </c>
      <c r="C1959" s="5" t="s">
        <v>231</v>
      </c>
      <c r="D1959" s="2">
        <f t="shared" si="115"/>
        <v>2014</v>
      </c>
      <c r="E1959" s="2">
        <f t="shared" si="116"/>
        <v>3</v>
      </c>
      <c r="F1959" s="3" t="s">
        <v>175</v>
      </c>
      <c r="G1959" s="7">
        <v>41716</v>
      </c>
      <c r="H1959" s="6">
        <v>6595400</v>
      </c>
      <c r="I1959" s="6">
        <v>1624045</v>
      </c>
      <c r="J1959" s="5" t="s">
        <v>183</v>
      </c>
      <c r="K1959" s="1"/>
      <c r="L1959" s="1" t="str">
        <f t="shared" si="117"/>
        <v xml:space="preserve">Fjäturen </v>
      </c>
      <c r="M1959" s="5" t="s">
        <v>213</v>
      </c>
      <c r="N1959" s="6">
        <v>3</v>
      </c>
      <c r="O1959" s="6">
        <v>3</v>
      </c>
      <c r="Q1959" s="6">
        <v>3.1</v>
      </c>
      <c r="R1959" s="6">
        <v>12.3</v>
      </c>
      <c r="S1959" s="6">
        <v>93</v>
      </c>
    </row>
    <row r="1960" spans="1:51" x14ac:dyDescent="0.3">
      <c r="A1960" s="6">
        <v>28942</v>
      </c>
      <c r="B1960" s="5" t="s">
        <v>230</v>
      </c>
      <c r="C1960" s="5" t="s">
        <v>231</v>
      </c>
      <c r="D1960" s="2">
        <f t="shared" si="115"/>
        <v>2014</v>
      </c>
      <c r="E1960" s="2">
        <f t="shared" si="116"/>
        <v>3</v>
      </c>
      <c r="F1960" s="3" t="s">
        <v>175</v>
      </c>
      <c r="G1960" s="7">
        <v>41716</v>
      </c>
      <c r="H1960" s="6">
        <v>6595400</v>
      </c>
      <c r="I1960" s="6">
        <v>1624045</v>
      </c>
      <c r="J1960" s="5" t="s">
        <v>183</v>
      </c>
      <c r="K1960" s="1"/>
      <c r="L1960" s="1" t="str">
        <f t="shared" si="117"/>
        <v xml:space="preserve">Fjäturen </v>
      </c>
      <c r="M1960" s="5" t="s">
        <v>214</v>
      </c>
      <c r="N1960" s="6">
        <v>4</v>
      </c>
      <c r="O1960" s="6">
        <v>4</v>
      </c>
      <c r="Q1960" s="6">
        <v>3.1</v>
      </c>
      <c r="R1960" s="6">
        <v>12.3</v>
      </c>
      <c r="S1960" s="6">
        <v>93</v>
      </c>
    </row>
    <row r="1961" spans="1:51" x14ac:dyDescent="0.3">
      <c r="A1961" s="6">
        <v>28943</v>
      </c>
      <c r="B1961" s="5" t="s">
        <v>230</v>
      </c>
      <c r="C1961" s="5" t="s">
        <v>231</v>
      </c>
      <c r="D1961" s="2">
        <f t="shared" si="115"/>
        <v>2014</v>
      </c>
      <c r="E1961" s="2">
        <f t="shared" si="116"/>
        <v>3</v>
      </c>
      <c r="F1961" s="3" t="s">
        <v>175</v>
      </c>
      <c r="G1961" s="7">
        <v>41716</v>
      </c>
      <c r="H1961" s="6">
        <v>6595400</v>
      </c>
      <c r="I1961" s="6">
        <v>1624045</v>
      </c>
      <c r="J1961" s="5" t="s">
        <v>183</v>
      </c>
      <c r="K1961" s="1"/>
      <c r="L1961" s="1" t="str">
        <f t="shared" si="117"/>
        <v xml:space="preserve">Fjäturen </v>
      </c>
      <c r="M1961" s="5" t="s">
        <v>217</v>
      </c>
      <c r="N1961" s="6">
        <v>5</v>
      </c>
      <c r="O1961" s="6">
        <v>5</v>
      </c>
      <c r="Q1961" s="6">
        <v>3.1</v>
      </c>
      <c r="R1961" s="6">
        <v>12.3</v>
      </c>
      <c r="S1961" s="6">
        <v>93</v>
      </c>
    </row>
    <row r="1962" spans="1:51" x14ac:dyDescent="0.3">
      <c r="A1962" s="6">
        <v>28944</v>
      </c>
      <c r="B1962" s="5" t="s">
        <v>230</v>
      </c>
      <c r="C1962" s="5" t="s">
        <v>231</v>
      </c>
      <c r="D1962" s="2">
        <f t="shared" si="115"/>
        <v>2014</v>
      </c>
      <c r="E1962" s="2">
        <f t="shared" si="116"/>
        <v>3</v>
      </c>
      <c r="F1962" s="3" t="s">
        <v>175</v>
      </c>
      <c r="G1962" s="7">
        <v>41716</v>
      </c>
      <c r="H1962" s="6">
        <v>6595400</v>
      </c>
      <c r="I1962" s="6">
        <v>1624045</v>
      </c>
      <c r="J1962" s="5" t="s">
        <v>183</v>
      </c>
      <c r="K1962" s="1"/>
      <c r="L1962" s="1" t="str">
        <f t="shared" si="117"/>
        <v xml:space="preserve">Fjäturen </v>
      </c>
      <c r="M1962" s="5" t="s">
        <v>213</v>
      </c>
      <c r="N1962" s="6">
        <v>6</v>
      </c>
      <c r="O1962" s="6">
        <v>6</v>
      </c>
      <c r="Q1962" s="6">
        <v>3.1</v>
      </c>
      <c r="R1962" s="6">
        <v>12.3</v>
      </c>
      <c r="S1962" s="6">
        <v>93</v>
      </c>
    </row>
    <row r="1963" spans="1:51" x14ac:dyDescent="0.3">
      <c r="A1963" s="6">
        <v>28945</v>
      </c>
      <c r="B1963" s="5" t="s">
        <v>230</v>
      </c>
      <c r="C1963" s="5" t="s">
        <v>231</v>
      </c>
      <c r="D1963" s="2">
        <f t="shared" si="115"/>
        <v>2014</v>
      </c>
      <c r="E1963" s="2">
        <f t="shared" si="116"/>
        <v>3</v>
      </c>
      <c r="F1963" s="3" t="s">
        <v>175</v>
      </c>
      <c r="G1963" s="7">
        <v>41716</v>
      </c>
      <c r="H1963" s="6">
        <v>6595400</v>
      </c>
      <c r="I1963" s="6">
        <v>1624045</v>
      </c>
      <c r="J1963" s="5" t="s">
        <v>183</v>
      </c>
      <c r="K1963" s="1"/>
      <c r="L1963" s="1" t="str">
        <f t="shared" si="117"/>
        <v xml:space="preserve">Fjäturen </v>
      </c>
      <c r="M1963" s="5" t="s">
        <v>214</v>
      </c>
      <c r="N1963" s="6">
        <v>7</v>
      </c>
      <c r="O1963" s="6">
        <v>7</v>
      </c>
      <c r="Q1963" s="6">
        <v>3.1</v>
      </c>
      <c r="R1963" s="6">
        <v>12.3</v>
      </c>
      <c r="S1963" s="6">
        <v>93</v>
      </c>
    </row>
    <row r="1964" spans="1:51" x14ac:dyDescent="0.3">
      <c r="A1964" s="6">
        <v>28946</v>
      </c>
      <c r="B1964" s="5" t="s">
        <v>230</v>
      </c>
      <c r="C1964" s="5" t="s">
        <v>231</v>
      </c>
      <c r="D1964" s="2">
        <f t="shared" si="115"/>
        <v>2014</v>
      </c>
      <c r="E1964" s="2">
        <f t="shared" si="116"/>
        <v>3</v>
      </c>
      <c r="F1964" s="3" t="s">
        <v>175</v>
      </c>
      <c r="G1964" s="7">
        <v>41716</v>
      </c>
      <c r="H1964" s="6">
        <v>6595400</v>
      </c>
      <c r="I1964" s="6">
        <v>1624045</v>
      </c>
      <c r="J1964" s="5" t="s">
        <v>183</v>
      </c>
      <c r="K1964" s="1"/>
      <c r="L1964" s="1" t="str">
        <f t="shared" si="117"/>
        <v xml:space="preserve">Fjäturen </v>
      </c>
      <c r="M1964" s="5" t="s">
        <v>217</v>
      </c>
      <c r="N1964" s="6">
        <v>8</v>
      </c>
      <c r="O1964" s="6">
        <v>8</v>
      </c>
      <c r="Q1964" s="6">
        <v>3.1</v>
      </c>
      <c r="R1964" s="6">
        <v>12.3</v>
      </c>
      <c r="S1964" s="6">
        <v>93</v>
      </c>
    </row>
    <row r="1965" spans="1:51" x14ac:dyDescent="0.3">
      <c r="A1965" s="6">
        <v>28946.5</v>
      </c>
      <c r="B1965" s="5" t="s">
        <v>230</v>
      </c>
      <c r="C1965" s="5" t="s">
        <v>231</v>
      </c>
      <c r="D1965" s="2">
        <f t="shared" si="115"/>
        <v>2014</v>
      </c>
      <c r="E1965" s="2">
        <f t="shared" si="116"/>
        <v>3</v>
      </c>
      <c r="F1965" s="3" t="s">
        <v>175</v>
      </c>
      <c r="G1965" s="7">
        <v>41716</v>
      </c>
      <c r="H1965" s="6">
        <v>6595400</v>
      </c>
      <c r="I1965" s="6">
        <v>1624045</v>
      </c>
      <c r="J1965" s="5" t="s">
        <v>183</v>
      </c>
      <c r="K1965" s="1"/>
      <c r="L1965" s="1" t="str">
        <f t="shared" si="117"/>
        <v xml:space="preserve">Fjäturen </v>
      </c>
      <c r="M1965" s="1" t="s">
        <v>184</v>
      </c>
      <c r="N1965" s="6">
        <v>8.9</v>
      </c>
      <c r="O1965" s="6">
        <v>8.9</v>
      </c>
    </row>
    <row r="1966" spans="1:51" x14ac:dyDescent="0.3">
      <c r="D1966" s="2">
        <f t="shared" si="115"/>
        <v>2014</v>
      </c>
      <c r="E1966" s="2">
        <f t="shared" si="116"/>
        <v>3</v>
      </c>
      <c r="F1966" s="3" t="s">
        <v>175</v>
      </c>
      <c r="G1966" s="4">
        <v>41717</v>
      </c>
      <c r="H1966" s="1">
        <v>6606238</v>
      </c>
      <c r="I1966" s="1">
        <v>661152</v>
      </c>
      <c r="J1966" s="5" t="s">
        <v>176</v>
      </c>
      <c r="K1966" s="1"/>
      <c r="L1966" s="1" t="str">
        <f t="shared" si="117"/>
        <v xml:space="preserve">Oxundaån </v>
      </c>
      <c r="M1966" s="1" t="s">
        <v>177</v>
      </c>
      <c r="N1966" s="1">
        <v>0.5</v>
      </c>
      <c r="O1966" s="1">
        <v>0.5</v>
      </c>
      <c r="Q1966" s="1">
        <v>3.2</v>
      </c>
      <c r="T1966" s="1">
        <v>46.7</v>
      </c>
      <c r="V1966" s="1">
        <v>2.3580000000000001</v>
      </c>
      <c r="W1966" s="1">
        <v>21</v>
      </c>
      <c r="X1966" s="1">
        <f>W1966 * (1/((10^((0.0901821 + (2729.92 /(273.15 + Q1966)))-AE1966)+1)))</f>
        <v>0.24460285535974918</v>
      </c>
      <c r="Y1966" s="1">
        <v>0.05</v>
      </c>
      <c r="Z1966" s="1">
        <v>10</v>
      </c>
      <c r="AA1966" s="1">
        <v>6.6</v>
      </c>
      <c r="AD1966" s="1">
        <v>772</v>
      </c>
      <c r="AE1966" s="1">
        <v>8.0399999999999991</v>
      </c>
      <c r="AI1966" s="1">
        <v>9.9</v>
      </c>
      <c r="AK1966" s="1">
        <v>37.799999999999997</v>
      </c>
      <c r="AL1966" s="1">
        <v>1290</v>
      </c>
      <c r="AR1966" s="1">
        <v>51.4</v>
      </c>
      <c r="AT1966" s="1">
        <v>5.0439000000000007</v>
      </c>
      <c r="AU1966" s="1">
        <v>9.0145</v>
      </c>
      <c r="AV1966" s="1">
        <v>38.356900000000003</v>
      </c>
      <c r="AW1966" s="1">
        <v>26.151599999999998</v>
      </c>
      <c r="AX1966" s="1">
        <v>51.605699999999999</v>
      </c>
      <c r="AY1966" s="1">
        <v>3.9</v>
      </c>
    </row>
    <row r="1967" spans="1:51" x14ac:dyDescent="0.3">
      <c r="A1967" s="6">
        <v>29130</v>
      </c>
      <c r="B1967" s="5" t="s">
        <v>230</v>
      </c>
      <c r="C1967" s="5" t="s">
        <v>231</v>
      </c>
      <c r="D1967" s="2">
        <f t="shared" si="115"/>
        <v>2014</v>
      </c>
      <c r="E1967" s="2">
        <f t="shared" si="116"/>
        <v>3</v>
      </c>
      <c r="F1967" s="3" t="s">
        <v>175</v>
      </c>
      <c r="G1967" s="7">
        <v>41725</v>
      </c>
      <c r="H1967" s="6">
        <v>6599245</v>
      </c>
      <c r="I1967" s="6">
        <v>1622345</v>
      </c>
      <c r="J1967" s="5" t="s">
        <v>186</v>
      </c>
      <c r="K1967" s="1">
        <v>1</v>
      </c>
      <c r="L1967" s="1" t="str">
        <f t="shared" si="117"/>
        <v>Norrviken 1</v>
      </c>
      <c r="M1967" s="1" t="s">
        <v>177</v>
      </c>
      <c r="N1967" s="6">
        <v>0.5</v>
      </c>
      <c r="O1967" s="6">
        <v>0.5</v>
      </c>
      <c r="P1967" s="6">
        <v>1.1000000000000001</v>
      </c>
      <c r="Q1967" s="6">
        <v>4.2</v>
      </c>
      <c r="R1967" s="6">
        <v>12</v>
      </c>
      <c r="S1967" s="6">
        <v>91</v>
      </c>
      <c r="V1967" s="6">
        <v>2.113795122</v>
      </c>
      <c r="W1967" s="6">
        <v>42.549599999999998</v>
      </c>
      <c r="X1967" s="1">
        <f>W1967 * (1/((10^((0.0901821 + (2729.92 /(273.15 + Q1967)))-AE1967)+1)))</f>
        <v>0.26492980981691988</v>
      </c>
      <c r="Y1967" s="6">
        <v>8.3000000000000004E-2</v>
      </c>
      <c r="Z1967" s="6">
        <v>3.67</v>
      </c>
      <c r="AA1967" s="6">
        <v>10.8</v>
      </c>
      <c r="AD1967" s="6">
        <v>519.22</v>
      </c>
      <c r="AE1967" s="6">
        <v>7.73</v>
      </c>
      <c r="AK1967" s="6">
        <v>48.27</v>
      </c>
      <c r="AL1967" s="6">
        <v>1495.92</v>
      </c>
      <c r="AM1967" s="6"/>
      <c r="AN1967" s="6"/>
      <c r="AO1967" s="6"/>
      <c r="AP1967" s="6"/>
      <c r="AQ1967" s="6"/>
    </row>
    <row r="1968" spans="1:51" x14ac:dyDescent="0.3">
      <c r="A1968" s="6">
        <v>29131</v>
      </c>
      <c r="B1968" s="5" t="s">
        <v>230</v>
      </c>
      <c r="C1968" s="5" t="s">
        <v>231</v>
      </c>
      <c r="D1968" s="2">
        <f t="shared" si="115"/>
        <v>2014</v>
      </c>
      <c r="E1968" s="2">
        <f t="shared" si="116"/>
        <v>3</v>
      </c>
      <c r="F1968" s="3" t="s">
        <v>175</v>
      </c>
      <c r="G1968" s="7">
        <v>41725</v>
      </c>
      <c r="H1968" s="6">
        <v>6599245</v>
      </c>
      <c r="I1968" s="6">
        <v>1622345</v>
      </c>
      <c r="J1968" s="5" t="s">
        <v>186</v>
      </c>
      <c r="K1968" s="1">
        <v>1</v>
      </c>
      <c r="L1968" s="1" t="str">
        <f t="shared" si="117"/>
        <v>Norrviken 1</v>
      </c>
      <c r="M1968" s="5" t="s">
        <v>211</v>
      </c>
      <c r="N1968" s="6">
        <v>1</v>
      </c>
      <c r="O1968" s="6">
        <v>1</v>
      </c>
      <c r="Q1968" s="6">
        <v>4.2</v>
      </c>
      <c r="R1968" s="6">
        <v>12.2</v>
      </c>
      <c r="S1968" s="6">
        <v>92</v>
      </c>
    </row>
    <row r="1969" spans="1:43" x14ac:dyDescent="0.3">
      <c r="A1969" s="6">
        <v>29132</v>
      </c>
      <c r="B1969" s="5" t="s">
        <v>230</v>
      </c>
      <c r="C1969" s="5" t="s">
        <v>231</v>
      </c>
      <c r="D1969" s="2">
        <f t="shared" si="115"/>
        <v>2014</v>
      </c>
      <c r="E1969" s="2">
        <f t="shared" si="116"/>
        <v>3</v>
      </c>
      <c r="F1969" s="3" t="s">
        <v>175</v>
      </c>
      <c r="G1969" s="7">
        <v>41725</v>
      </c>
      <c r="H1969" s="6">
        <v>6599245</v>
      </c>
      <c r="I1969" s="6">
        <v>1622345</v>
      </c>
      <c r="J1969" s="5" t="s">
        <v>186</v>
      </c>
      <c r="K1969" s="1">
        <v>1</v>
      </c>
      <c r="L1969" s="1" t="str">
        <f t="shared" si="117"/>
        <v>Norrviken 1</v>
      </c>
      <c r="M1969" s="5" t="s">
        <v>212</v>
      </c>
      <c r="N1969" s="6">
        <v>2</v>
      </c>
      <c r="O1969" s="6">
        <v>2</v>
      </c>
      <c r="Q1969" s="6">
        <v>4.3</v>
      </c>
      <c r="R1969" s="6">
        <v>12.3</v>
      </c>
      <c r="S1969" s="6">
        <v>93</v>
      </c>
    </row>
    <row r="1970" spans="1:43" x14ac:dyDescent="0.3">
      <c r="A1970" s="6">
        <v>29133</v>
      </c>
      <c r="B1970" s="5" t="s">
        <v>230</v>
      </c>
      <c r="C1970" s="5" t="s">
        <v>231</v>
      </c>
      <c r="D1970" s="2">
        <f t="shared" si="115"/>
        <v>2014</v>
      </c>
      <c r="E1970" s="2">
        <f t="shared" si="116"/>
        <v>3</v>
      </c>
      <c r="F1970" s="3" t="s">
        <v>175</v>
      </c>
      <c r="G1970" s="7">
        <v>41725</v>
      </c>
      <c r="H1970" s="6">
        <v>6599245</v>
      </c>
      <c r="I1970" s="6">
        <v>1622345</v>
      </c>
      <c r="J1970" s="5" t="s">
        <v>186</v>
      </c>
      <c r="K1970" s="1">
        <v>1</v>
      </c>
      <c r="L1970" s="1" t="str">
        <f t="shared" si="117"/>
        <v>Norrviken 1</v>
      </c>
      <c r="M1970" s="1" t="s">
        <v>184</v>
      </c>
      <c r="N1970" s="6">
        <v>2.7</v>
      </c>
      <c r="O1970" s="6">
        <v>2.7</v>
      </c>
      <c r="Q1970" s="6">
        <v>4.3</v>
      </c>
      <c r="R1970" s="6">
        <v>12.2</v>
      </c>
      <c r="S1970" s="6">
        <v>92</v>
      </c>
    </row>
    <row r="1971" spans="1:43" x14ac:dyDescent="0.3">
      <c r="A1971" s="6">
        <v>29134</v>
      </c>
      <c r="B1971" s="5" t="s">
        <v>230</v>
      </c>
      <c r="C1971" s="5" t="s">
        <v>231</v>
      </c>
      <c r="D1971" s="2">
        <f t="shared" si="115"/>
        <v>2014</v>
      </c>
      <c r="E1971" s="2">
        <f t="shared" si="116"/>
        <v>3</v>
      </c>
      <c r="F1971" s="3" t="s">
        <v>175</v>
      </c>
      <c r="G1971" s="7">
        <v>41725</v>
      </c>
      <c r="H1971" s="6">
        <v>6596620</v>
      </c>
      <c r="I1971" s="6">
        <v>1620350</v>
      </c>
      <c r="J1971" s="5" t="s">
        <v>186</v>
      </c>
      <c r="K1971" s="1">
        <v>2</v>
      </c>
      <c r="L1971" s="1" t="str">
        <f t="shared" si="117"/>
        <v>Norrviken 2</v>
      </c>
      <c r="M1971" s="1" t="s">
        <v>177</v>
      </c>
      <c r="N1971" s="6">
        <v>0.5</v>
      </c>
      <c r="O1971" s="6">
        <v>0.5</v>
      </c>
      <c r="P1971" s="6">
        <v>1.7</v>
      </c>
      <c r="Q1971" s="6">
        <v>3.6</v>
      </c>
      <c r="R1971" s="6">
        <v>14.2</v>
      </c>
      <c r="S1971" s="6">
        <v>106</v>
      </c>
      <c r="V1971" s="6">
        <v>2.4328585366</v>
      </c>
      <c r="W1971" s="6">
        <v>3.7505999999999999</v>
      </c>
      <c r="X1971" s="1">
        <f>W1971 * (1/((10^((0.0901821 + (2729.92 /(273.15 + Q1971)))-AE1971)+1)))</f>
        <v>6.3430972745043876E-2</v>
      </c>
      <c r="Y1971" s="6">
        <v>4.8000000000000001E-2</v>
      </c>
      <c r="Z1971" s="6">
        <v>7.91</v>
      </c>
      <c r="AA1971" s="6">
        <v>5.3</v>
      </c>
      <c r="AD1971" s="6">
        <v>370.83</v>
      </c>
      <c r="AE1971" s="6">
        <v>8.19</v>
      </c>
      <c r="AK1971" s="6">
        <v>49.27</v>
      </c>
      <c r="AL1971" s="6">
        <v>1167.0999999999999</v>
      </c>
      <c r="AM1971" s="6"/>
      <c r="AN1971" s="6"/>
      <c r="AO1971" s="6"/>
      <c r="AP1971" s="6"/>
      <c r="AQ1971" s="6"/>
    </row>
    <row r="1972" spans="1:43" x14ac:dyDescent="0.3">
      <c r="A1972" s="6">
        <v>29135</v>
      </c>
      <c r="B1972" s="5" t="s">
        <v>230</v>
      </c>
      <c r="C1972" s="5" t="s">
        <v>231</v>
      </c>
      <c r="D1972" s="2">
        <f t="shared" si="115"/>
        <v>2014</v>
      </c>
      <c r="E1972" s="2">
        <f t="shared" si="116"/>
        <v>3</v>
      </c>
      <c r="F1972" s="3" t="s">
        <v>175</v>
      </c>
      <c r="G1972" s="7">
        <v>41725</v>
      </c>
      <c r="H1972" s="6">
        <v>6596620</v>
      </c>
      <c r="I1972" s="6">
        <v>1620350</v>
      </c>
      <c r="J1972" s="5" t="s">
        <v>186</v>
      </c>
      <c r="K1972" s="1">
        <v>2</v>
      </c>
      <c r="L1972" s="1" t="str">
        <f t="shared" si="117"/>
        <v>Norrviken 2</v>
      </c>
      <c r="M1972" s="5" t="s">
        <v>211</v>
      </c>
      <c r="N1972" s="6">
        <v>1</v>
      </c>
      <c r="O1972" s="6">
        <v>1</v>
      </c>
      <c r="Q1972" s="6">
        <v>3.8</v>
      </c>
      <c r="R1972" s="6">
        <v>14.2</v>
      </c>
      <c r="S1972" s="6">
        <v>107</v>
      </c>
    </row>
    <row r="1973" spans="1:43" x14ac:dyDescent="0.3">
      <c r="A1973" s="6">
        <v>29136</v>
      </c>
      <c r="B1973" s="5" t="s">
        <v>230</v>
      </c>
      <c r="C1973" s="5" t="s">
        <v>231</v>
      </c>
      <c r="D1973" s="2">
        <f t="shared" si="115"/>
        <v>2014</v>
      </c>
      <c r="E1973" s="2">
        <f t="shared" si="116"/>
        <v>3</v>
      </c>
      <c r="F1973" s="3" t="s">
        <v>175</v>
      </c>
      <c r="G1973" s="7">
        <v>41725</v>
      </c>
      <c r="H1973" s="6">
        <v>6596620</v>
      </c>
      <c r="I1973" s="6">
        <v>1620350</v>
      </c>
      <c r="J1973" s="5" t="s">
        <v>186</v>
      </c>
      <c r="K1973" s="1">
        <v>2</v>
      </c>
      <c r="L1973" s="1" t="str">
        <f t="shared" si="117"/>
        <v>Norrviken 2</v>
      </c>
      <c r="M1973" s="5" t="s">
        <v>212</v>
      </c>
      <c r="N1973" s="6">
        <v>2</v>
      </c>
      <c r="O1973" s="6">
        <v>2</v>
      </c>
      <c r="Q1973" s="6">
        <v>3.9</v>
      </c>
      <c r="R1973" s="6">
        <v>14.2</v>
      </c>
      <c r="S1973" s="6">
        <v>107</v>
      </c>
    </row>
    <row r="1974" spans="1:43" x14ac:dyDescent="0.3">
      <c r="A1974" s="6">
        <v>29137</v>
      </c>
      <c r="B1974" s="5" t="s">
        <v>230</v>
      </c>
      <c r="C1974" s="5" t="s">
        <v>231</v>
      </c>
      <c r="D1974" s="2">
        <f t="shared" si="115"/>
        <v>2014</v>
      </c>
      <c r="E1974" s="2">
        <f t="shared" si="116"/>
        <v>3</v>
      </c>
      <c r="F1974" s="3" t="s">
        <v>175</v>
      </c>
      <c r="G1974" s="7">
        <v>41725</v>
      </c>
      <c r="H1974" s="6">
        <v>6596620</v>
      </c>
      <c r="I1974" s="6">
        <v>1620350</v>
      </c>
      <c r="J1974" s="5" t="s">
        <v>186</v>
      </c>
      <c r="K1974" s="1">
        <v>2</v>
      </c>
      <c r="L1974" s="1" t="str">
        <f t="shared" si="117"/>
        <v>Norrviken 2</v>
      </c>
      <c r="M1974" s="5" t="s">
        <v>213</v>
      </c>
      <c r="N1974" s="6">
        <v>3</v>
      </c>
      <c r="O1974" s="6">
        <v>3</v>
      </c>
      <c r="Q1974" s="6">
        <v>3.9</v>
      </c>
      <c r="R1974" s="6">
        <v>14.1</v>
      </c>
      <c r="S1974" s="6">
        <v>106</v>
      </c>
    </row>
    <row r="1975" spans="1:43" x14ac:dyDescent="0.3">
      <c r="A1975" s="6">
        <v>29138</v>
      </c>
      <c r="B1975" s="5" t="s">
        <v>230</v>
      </c>
      <c r="C1975" s="5" t="s">
        <v>231</v>
      </c>
      <c r="D1975" s="2">
        <f t="shared" si="115"/>
        <v>2014</v>
      </c>
      <c r="E1975" s="2">
        <f t="shared" si="116"/>
        <v>3</v>
      </c>
      <c r="F1975" s="3" t="s">
        <v>175</v>
      </c>
      <c r="G1975" s="7">
        <v>41725</v>
      </c>
      <c r="H1975" s="6">
        <v>6596620</v>
      </c>
      <c r="I1975" s="6">
        <v>1620350</v>
      </c>
      <c r="J1975" s="5" t="s">
        <v>186</v>
      </c>
      <c r="K1975" s="1">
        <v>2</v>
      </c>
      <c r="L1975" s="1" t="str">
        <f t="shared" si="117"/>
        <v>Norrviken 2</v>
      </c>
      <c r="M1975" s="5" t="s">
        <v>214</v>
      </c>
      <c r="N1975" s="6">
        <v>4</v>
      </c>
      <c r="O1975" s="6">
        <v>4</v>
      </c>
      <c r="Q1975" s="6">
        <v>4</v>
      </c>
      <c r="R1975" s="6">
        <v>14</v>
      </c>
      <c r="S1975" s="6">
        <v>106</v>
      </c>
    </row>
    <row r="1976" spans="1:43" x14ac:dyDescent="0.3">
      <c r="A1976" s="6">
        <v>29139</v>
      </c>
      <c r="B1976" s="5" t="s">
        <v>230</v>
      </c>
      <c r="C1976" s="5" t="s">
        <v>231</v>
      </c>
      <c r="D1976" s="2">
        <f t="shared" si="115"/>
        <v>2014</v>
      </c>
      <c r="E1976" s="2">
        <f t="shared" si="116"/>
        <v>3</v>
      </c>
      <c r="F1976" s="3" t="s">
        <v>175</v>
      </c>
      <c r="G1976" s="7">
        <v>41725</v>
      </c>
      <c r="H1976" s="6">
        <v>6596620</v>
      </c>
      <c r="I1976" s="6">
        <v>1620350</v>
      </c>
      <c r="J1976" s="5" t="s">
        <v>186</v>
      </c>
      <c r="K1976" s="1">
        <v>2</v>
      </c>
      <c r="L1976" s="1" t="str">
        <f t="shared" si="117"/>
        <v>Norrviken 2</v>
      </c>
      <c r="M1976" s="5" t="s">
        <v>217</v>
      </c>
      <c r="N1976" s="6">
        <v>5</v>
      </c>
      <c r="O1976" s="6">
        <v>5</v>
      </c>
      <c r="Q1976" s="6">
        <v>4</v>
      </c>
      <c r="R1976" s="6">
        <v>14</v>
      </c>
      <c r="S1976" s="6">
        <v>106</v>
      </c>
    </row>
    <row r="1977" spans="1:43" x14ac:dyDescent="0.3">
      <c r="A1977" s="6">
        <v>29140</v>
      </c>
      <c r="B1977" s="5" t="s">
        <v>230</v>
      </c>
      <c r="C1977" s="5" t="s">
        <v>231</v>
      </c>
      <c r="D1977" s="2">
        <f t="shared" si="115"/>
        <v>2014</v>
      </c>
      <c r="E1977" s="2">
        <f t="shared" si="116"/>
        <v>3</v>
      </c>
      <c r="F1977" s="3" t="s">
        <v>175</v>
      </c>
      <c r="G1977" s="7">
        <v>41725</v>
      </c>
      <c r="H1977" s="6">
        <v>6596620</v>
      </c>
      <c r="I1977" s="6">
        <v>1620350</v>
      </c>
      <c r="J1977" s="5" t="s">
        <v>186</v>
      </c>
      <c r="K1977" s="1">
        <v>2</v>
      </c>
      <c r="L1977" s="1" t="str">
        <f t="shared" si="117"/>
        <v>Norrviken 2</v>
      </c>
      <c r="M1977" s="5" t="s">
        <v>218</v>
      </c>
      <c r="N1977" s="6">
        <v>6</v>
      </c>
      <c r="O1977" s="6">
        <v>6</v>
      </c>
      <c r="Q1977" s="6">
        <v>4</v>
      </c>
      <c r="R1977" s="6">
        <v>14</v>
      </c>
      <c r="S1977" s="6">
        <v>106</v>
      </c>
    </row>
    <row r="1978" spans="1:43" x14ac:dyDescent="0.3">
      <c r="A1978" s="6">
        <v>29141</v>
      </c>
      <c r="B1978" s="5" t="s">
        <v>230</v>
      </c>
      <c r="C1978" s="5" t="s">
        <v>231</v>
      </c>
      <c r="D1978" s="2">
        <f t="shared" si="115"/>
        <v>2014</v>
      </c>
      <c r="E1978" s="2">
        <f t="shared" si="116"/>
        <v>3</v>
      </c>
      <c r="F1978" s="3" t="s">
        <v>175</v>
      </c>
      <c r="G1978" s="7">
        <v>41725</v>
      </c>
      <c r="H1978" s="6">
        <v>6596620</v>
      </c>
      <c r="I1978" s="6">
        <v>1620350</v>
      </c>
      <c r="J1978" s="5" t="s">
        <v>186</v>
      </c>
      <c r="K1978" s="1">
        <v>2</v>
      </c>
      <c r="L1978" s="1" t="str">
        <f t="shared" si="117"/>
        <v>Norrviken 2</v>
      </c>
      <c r="M1978" s="5" t="s">
        <v>219</v>
      </c>
      <c r="N1978" s="6">
        <v>7</v>
      </c>
      <c r="O1978" s="6">
        <v>7</v>
      </c>
      <c r="Q1978" s="6">
        <v>4</v>
      </c>
      <c r="R1978" s="6">
        <v>14</v>
      </c>
      <c r="S1978" s="6">
        <v>106</v>
      </c>
    </row>
    <row r="1979" spans="1:43" x14ac:dyDescent="0.3">
      <c r="A1979" s="6">
        <v>29142</v>
      </c>
      <c r="B1979" s="5" t="s">
        <v>230</v>
      </c>
      <c r="C1979" s="5" t="s">
        <v>231</v>
      </c>
      <c r="D1979" s="2">
        <f t="shared" si="115"/>
        <v>2014</v>
      </c>
      <c r="E1979" s="2">
        <f t="shared" si="116"/>
        <v>3</v>
      </c>
      <c r="F1979" s="3" t="s">
        <v>175</v>
      </c>
      <c r="G1979" s="7">
        <v>41725</v>
      </c>
      <c r="H1979" s="6">
        <v>6596620</v>
      </c>
      <c r="I1979" s="6">
        <v>1620350</v>
      </c>
      <c r="J1979" s="5" t="s">
        <v>186</v>
      </c>
      <c r="K1979" s="1">
        <v>2</v>
      </c>
      <c r="L1979" s="1" t="str">
        <f t="shared" si="117"/>
        <v>Norrviken 2</v>
      </c>
      <c r="M1979" s="5" t="s">
        <v>220</v>
      </c>
      <c r="N1979" s="6">
        <v>8</v>
      </c>
      <c r="O1979" s="6">
        <v>8</v>
      </c>
      <c r="Q1979" s="6">
        <v>4</v>
      </c>
      <c r="R1979" s="6">
        <v>14</v>
      </c>
      <c r="S1979" s="6">
        <v>106</v>
      </c>
    </row>
    <row r="1980" spans="1:43" x14ac:dyDescent="0.3">
      <c r="A1980" s="6">
        <v>29143</v>
      </c>
      <c r="B1980" s="5" t="s">
        <v>230</v>
      </c>
      <c r="C1980" s="5" t="s">
        <v>231</v>
      </c>
      <c r="D1980" s="2">
        <f t="shared" si="115"/>
        <v>2014</v>
      </c>
      <c r="E1980" s="2">
        <f t="shared" si="116"/>
        <v>3</v>
      </c>
      <c r="F1980" s="3" t="s">
        <v>175</v>
      </c>
      <c r="G1980" s="7">
        <v>41725</v>
      </c>
      <c r="H1980" s="6">
        <v>6596620</v>
      </c>
      <c r="I1980" s="6">
        <v>1620350</v>
      </c>
      <c r="J1980" s="5" t="s">
        <v>186</v>
      </c>
      <c r="K1980" s="1">
        <v>2</v>
      </c>
      <c r="L1980" s="1" t="str">
        <f t="shared" si="117"/>
        <v>Norrviken 2</v>
      </c>
      <c r="M1980" s="1" t="s">
        <v>184</v>
      </c>
      <c r="N1980" s="6">
        <v>9.1999999999999993</v>
      </c>
      <c r="O1980" s="6">
        <v>9.1999999999999993</v>
      </c>
      <c r="Q1980" s="6">
        <v>4</v>
      </c>
      <c r="R1980" s="6">
        <v>13.8</v>
      </c>
      <c r="S1980" s="6">
        <v>105</v>
      </c>
    </row>
    <row r="1981" spans="1:43" x14ac:dyDescent="0.3">
      <c r="A1981" s="6">
        <v>29144</v>
      </c>
      <c r="B1981" s="5" t="s">
        <v>230</v>
      </c>
      <c r="C1981" s="5" t="s">
        <v>231</v>
      </c>
      <c r="D1981" s="2">
        <f t="shared" si="115"/>
        <v>2014</v>
      </c>
      <c r="E1981" s="2">
        <f t="shared" si="116"/>
        <v>3</v>
      </c>
      <c r="F1981" s="3" t="s">
        <v>175</v>
      </c>
      <c r="G1981" s="7">
        <v>41725</v>
      </c>
      <c r="H1981" s="6">
        <v>6594885</v>
      </c>
      <c r="I1981" s="6">
        <v>1620750</v>
      </c>
      <c r="J1981" s="5" t="s">
        <v>186</v>
      </c>
      <c r="K1981" s="1">
        <v>3</v>
      </c>
      <c r="L1981" s="1" t="str">
        <f t="shared" si="117"/>
        <v>Norrviken 3</v>
      </c>
      <c r="M1981" s="1" t="s">
        <v>177</v>
      </c>
      <c r="N1981" s="6">
        <v>0.5</v>
      </c>
      <c r="O1981" s="6">
        <v>0.5</v>
      </c>
      <c r="P1981" s="6">
        <v>1.8</v>
      </c>
      <c r="Q1981" s="6">
        <v>3.7</v>
      </c>
      <c r="R1981" s="6">
        <v>14.4</v>
      </c>
      <c r="S1981" s="6">
        <v>108</v>
      </c>
      <c r="V1981" s="6">
        <v>2.3730341464000002</v>
      </c>
      <c r="W1981" s="6">
        <v>3.7122999999999999</v>
      </c>
      <c r="X1981" s="1">
        <f>W1981 * (1/((10^((0.0901821 + (2729.92 /(273.15 + Q1981)))-AE1981)+1)))</f>
        <v>7.2485410367347292E-2</v>
      </c>
      <c r="Y1981" s="6">
        <v>4.9000000000000002E-2</v>
      </c>
      <c r="Z1981" s="6">
        <v>3.73</v>
      </c>
      <c r="AA1981" s="6">
        <v>5.3</v>
      </c>
      <c r="AD1981" s="6">
        <v>353.6</v>
      </c>
      <c r="AE1981" s="6">
        <v>8.25</v>
      </c>
      <c r="AK1981" s="6">
        <v>52.75</v>
      </c>
      <c r="AL1981" s="6">
        <v>1144.6300000000001</v>
      </c>
      <c r="AM1981" s="6"/>
      <c r="AN1981" s="6"/>
      <c r="AO1981" s="6"/>
      <c r="AP1981" s="6"/>
      <c r="AQ1981" s="6"/>
    </row>
    <row r="1982" spans="1:43" x14ac:dyDescent="0.3">
      <c r="A1982" s="6">
        <v>29145</v>
      </c>
      <c r="B1982" s="5" t="s">
        <v>230</v>
      </c>
      <c r="C1982" s="5" t="s">
        <v>231</v>
      </c>
      <c r="D1982" s="2">
        <f t="shared" si="115"/>
        <v>2014</v>
      </c>
      <c r="E1982" s="2">
        <f t="shared" si="116"/>
        <v>3</v>
      </c>
      <c r="F1982" s="3" t="s">
        <v>175</v>
      </c>
      <c r="G1982" s="7">
        <v>41725</v>
      </c>
      <c r="H1982" s="6">
        <v>6594885</v>
      </c>
      <c r="I1982" s="6">
        <v>1620750</v>
      </c>
      <c r="J1982" s="5" t="s">
        <v>186</v>
      </c>
      <c r="K1982" s="1">
        <v>3</v>
      </c>
      <c r="L1982" s="1" t="str">
        <f t="shared" si="117"/>
        <v>Norrviken 3</v>
      </c>
      <c r="M1982" s="5" t="s">
        <v>211</v>
      </c>
      <c r="N1982" s="6">
        <v>1</v>
      </c>
      <c r="O1982" s="6">
        <v>1</v>
      </c>
      <c r="Q1982" s="6">
        <v>3.8</v>
      </c>
      <c r="R1982" s="6">
        <v>14.4</v>
      </c>
      <c r="S1982" s="6">
        <v>108</v>
      </c>
    </row>
    <row r="1983" spans="1:43" x14ac:dyDescent="0.3">
      <c r="A1983" s="6">
        <v>29146</v>
      </c>
      <c r="B1983" s="5" t="s">
        <v>230</v>
      </c>
      <c r="C1983" s="5" t="s">
        <v>231</v>
      </c>
      <c r="D1983" s="2">
        <f t="shared" si="115"/>
        <v>2014</v>
      </c>
      <c r="E1983" s="2">
        <f t="shared" si="116"/>
        <v>3</v>
      </c>
      <c r="F1983" s="3" t="s">
        <v>175</v>
      </c>
      <c r="G1983" s="7">
        <v>41725</v>
      </c>
      <c r="H1983" s="6">
        <v>6594885</v>
      </c>
      <c r="I1983" s="6">
        <v>1620750</v>
      </c>
      <c r="J1983" s="5" t="s">
        <v>186</v>
      </c>
      <c r="K1983" s="1">
        <v>3</v>
      </c>
      <c r="L1983" s="1" t="str">
        <f t="shared" si="117"/>
        <v>Norrviken 3</v>
      </c>
      <c r="M1983" s="5" t="s">
        <v>212</v>
      </c>
      <c r="N1983" s="6">
        <v>2</v>
      </c>
      <c r="O1983" s="6">
        <v>2</v>
      </c>
      <c r="Q1983" s="6">
        <v>3.9</v>
      </c>
      <c r="R1983" s="6">
        <v>14.4</v>
      </c>
      <c r="S1983" s="6">
        <v>108</v>
      </c>
    </row>
    <row r="1984" spans="1:43" x14ac:dyDescent="0.3">
      <c r="A1984" s="6">
        <v>29147</v>
      </c>
      <c r="B1984" s="5" t="s">
        <v>230</v>
      </c>
      <c r="C1984" s="5" t="s">
        <v>231</v>
      </c>
      <c r="D1984" s="2">
        <f t="shared" si="115"/>
        <v>2014</v>
      </c>
      <c r="E1984" s="2">
        <f t="shared" si="116"/>
        <v>3</v>
      </c>
      <c r="F1984" s="3" t="s">
        <v>175</v>
      </c>
      <c r="G1984" s="7">
        <v>41725</v>
      </c>
      <c r="H1984" s="6">
        <v>6594885</v>
      </c>
      <c r="I1984" s="6">
        <v>1620750</v>
      </c>
      <c r="J1984" s="5" t="s">
        <v>186</v>
      </c>
      <c r="K1984" s="1">
        <v>3</v>
      </c>
      <c r="L1984" s="1" t="str">
        <f t="shared" si="117"/>
        <v>Norrviken 3</v>
      </c>
      <c r="M1984" s="5" t="s">
        <v>213</v>
      </c>
      <c r="N1984" s="6">
        <v>3</v>
      </c>
      <c r="O1984" s="6">
        <v>3</v>
      </c>
      <c r="Q1984" s="6">
        <v>3.9</v>
      </c>
      <c r="R1984" s="6">
        <v>14.3</v>
      </c>
      <c r="S1984" s="6">
        <v>108</v>
      </c>
    </row>
    <row r="1985" spans="1:43" x14ac:dyDescent="0.3">
      <c r="A1985" s="6">
        <v>29148</v>
      </c>
      <c r="B1985" s="5" t="s">
        <v>230</v>
      </c>
      <c r="C1985" s="5" t="s">
        <v>231</v>
      </c>
      <c r="D1985" s="2">
        <f t="shared" si="115"/>
        <v>2014</v>
      </c>
      <c r="E1985" s="2">
        <f t="shared" si="116"/>
        <v>3</v>
      </c>
      <c r="F1985" s="3" t="s">
        <v>175</v>
      </c>
      <c r="G1985" s="7">
        <v>41725</v>
      </c>
      <c r="H1985" s="6">
        <v>6594885</v>
      </c>
      <c r="I1985" s="6">
        <v>1620750</v>
      </c>
      <c r="J1985" s="5" t="s">
        <v>186</v>
      </c>
      <c r="K1985" s="1">
        <v>3</v>
      </c>
      <c r="L1985" s="1" t="str">
        <f t="shared" si="117"/>
        <v>Norrviken 3</v>
      </c>
      <c r="M1985" s="5" t="s">
        <v>214</v>
      </c>
      <c r="N1985" s="6">
        <v>4</v>
      </c>
      <c r="O1985" s="6">
        <v>4</v>
      </c>
      <c r="Q1985" s="6">
        <v>3.9</v>
      </c>
      <c r="R1985" s="6">
        <v>14.3</v>
      </c>
      <c r="S1985" s="6">
        <v>108</v>
      </c>
    </row>
    <row r="1986" spans="1:43" x14ac:dyDescent="0.3">
      <c r="A1986" s="6">
        <v>29149</v>
      </c>
      <c r="B1986" s="5" t="s">
        <v>230</v>
      </c>
      <c r="C1986" s="5" t="s">
        <v>231</v>
      </c>
      <c r="D1986" s="2">
        <f t="shared" ref="D1986:D2049" si="118">YEAR(G1986)</f>
        <v>2014</v>
      </c>
      <c r="E1986" s="2">
        <f t="shared" ref="E1986:E2049" si="119">MONTH(G1986)</f>
        <v>3</v>
      </c>
      <c r="F1986" s="3" t="s">
        <v>175</v>
      </c>
      <c r="G1986" s="7">
        <v>41725</v>
      </c>
      <c r="H1986" s="6">
        <v>6594885</v>
      </c>
      <c r="I1986" s="6">
        <v>1620750</v>
      </c>
      <c r="J1986" s="5" t="s">
        <v>186</v>
      </c>
      <c r="K1986" s="1">
        <v>3</v>
      </c>
      <c r="L1986" s="1" t="str">
        <f t="shared" ref="L1986:L2049" si="120">CONCATENATE(J1986," ",K1986)</f>
        <v>Norrviken 3</v>
      </c>
      <c r="M1986" s="5" t="s">
        <v>217</v>
      </c>
      <c r="N1986" s="6">
        <v>5</v>
      </c>
      <c r="O1986" s="6">
        <v>5</v>
      </c>
      <c r="Q1986" s="6">
        <v>3.9</v>
      </c>
      <c r="R1986" s="6">
        <v>14.2</v>
      </c>
      <c r="S1986" s="6">
        <v>107</v>
      </c>
    </row>
    <row r="1987" spans="1:43" x14ac:dyDescent="0.3">
      <c r="A1987" s="6">
        <v>29150</v>
      </c>
      <c r="B1987" s="5" t="s">
        <v>230</v>
      </c>
      <c r="C1987" s="5" t="s">
        <v>231</v>
      </c>
      <c r="D1987" s="2">
        <f t="shared" si="118"/>
        <v>2014</v>
      </c>
      <c r="E1987" s="2">
        <f t="shared" si="119"/>
        <v>3</v>
      </c>
      <c r="F1987" s="3" t="s">
        <v>175</v>
      </c>
      <c r="G1987" s="7">
        <v>41725</v>
      </c>
      <c r="H1987" s="6">
        <v>6594885</v>
      </c>
      <c r="I1987" s="6">
        <v>1620750</v>
      </c>
      <c r="J1987" s="5" t="s">
        <v>186</v>
      </c>
      <c r="K1987" s="1">
        <v>3</v>
      </c>
      <c r="L1987" s="1" t="str">
        <f t="shared" si="120"/>
        <v>Norrviken 3</v>
      </c>
      <c r="M1987" s="5" t="s">
        <v>218</v>
      </c>
      <c r="N1987" s="6">
        <v>6</v>
      </c>
      <c r="O1987" s="6">
        <v>6</v>
      </c>
      <c r="Q1987" s="6">
        <v>3.9</v>
      </c>
      <c r="R1987" s="6">
        <v>14.2</v>
      </c>
      <c r="S1987" s="6">
        <v>107</v>
      </c>
    </row>
    <row r="1988" spans="1:43" x14ac:dyDescent="0.3">
      <c r="A1988" s="6">
        <v>29151</v>
      </c>
      <c r="B1988" s="5" t="s">
        <v>230</v>
      </c>
      <c r="C1988" s="5" t="s">
        <v>231</v>
      </c>
      <c r="D1988" s="2">
        <f t="shared" si="118"/>
        <v>2014</v>
      </c>
      <c r="E1988" s="2">
        <f t="shared" si="119"/>
        <v>3</v>
      </c>
      <c r="F1988" s="3" t="s">
        <v>175</v>
      </c>
      <c r="G1988" s="7">
        <v>41725</v>
      </c>
      <c r="H1988" s="6">
        <v>6594885</v>
      </c>
      <c r="I1988" s="6">
        <v>1620750</v>
      </c>
      <c r="J1988" s="5" t="s">
        <v>186</v>
      </c>
      <c r="K1988" s="1">
        <v>3</v>
      </c>
      <c r="L1988" s="1" t="str">
        <f t="shared" si="120"/>
        <v>Norrviken 3</v>
      </c>
      <c r="M1988" s="5" t="s">
        <v>219</v>
      </c>
      <c r="N1988" s="6">
        <v>7</v>
      </c>
      <c r="O1988" s="6">
        <v>7</v>
      </c>
      <c r="Q1988" s="6">
        <v>3.9</v>
      </c>
      <c r="R1988" s="6">
        <v>14.2</v>
      </c>
      <c r="S1988" s="6">
        <v>107</v>
      </c>
    </row>
    <row r="1989" spans="1:43" x14ac:dyDescent="0.3">
      <c r="A1989" s="6">
        <v>29152</v>
      </c>
      <c r="B1989" s="5" t="s">
        <v>230</v>
      </c>
      <c r="C1989" s="5" t="s">
        <v>231</v>
      </c>
      <c r="D1989" s="2">
        <f t="shared" si="118"/>
        <v>2014</v>
      </c>
      <c r="E1989" s="2">
        <f t="shared" si="119"/>
        <v>3</v>
      </c>
      <c r="F1989" s="3" t="s">
        <v>175</v>
      </c>
      <c r="G1989" s="7">
        <v>41725</v>
      </c>
      <c r="H1989" s="6">
        <v>6594885</v>
      </c>
      <c r="I1989" s="6">
        <v>1620750</v>
      </c>
      <c r="J1989" s="5" t="s">
        <v>186</v>
      </c>
      <c r="K1989" s="1">
        <v>3</v>
      </c>
      <c r="L1989" s="1" t="str">
        <f t="shared" si="120"/>
        <v>Norrviken 3</v>
      </c>
      <c r="M1989" s="5" t="s">
        <v>220</v>
      </c>
      <c r="N1989" s="6">
        <v>8</v>
      </c>
      <c r="O1989" s="6">
        <v>8</v>
      </c>
      <c r="Q1989" s="6">
        <v>3.9</v>
      </c>
      <c r="R1989" s="6">
        <v>14.1</v>
      </c>
      <c r="S1989" s="6">
        <v>106</v>
      </c>
    </row>
    <row r="1990" spans="1:43" x14ac:dyDescent="0.3">
      <c r="A1990" s="6">
        <v>29153</v>
      </c>
      <c r="B1990" s="5" t="s">
        <v>230</v>
      </c>
      <c r="C1990" s="5" t="s">
        <v>231</v>
      </c>
      <c r="D1990" s="2">
        <f t="shared" si="118"/>
        <v>2014</v>
      </c>
      <c r="E1990" s="2">
        <f t="shared" si="119"/>
        <v>3</v>
      </c>
      <c r="F1990" s="3" t="s">
        <v>175</v>
      </c>
      <c r="G1990" s="7">
        <v>41725</v>
      </c>
      <c r="H1990" s="6">
        <v>6594885</v>
      </c>
      <c r="I1990" s="6">
        <v>1620750</v>
      </c>
      <c r="J1990" s="5" t="s">
        <v>186</v>
      </c>
      <c r="K1990" s="1">
        <v>3</v>
      </c>
      <c r="L1990" s="1" t="str">
        <f t="shared" si="120"/>
        <v>Norrviken 3</v>
      </c>
      <c r="M1990" s="5" t="s">
        <v>221</v>
      </c>
      <c r="N1990" s="6">
        <v>9</v>
      </c>
      <c r="O1990" s="6">
        <v>9</v>
      </c>
      <c r="Q1990" s="6">
        <v>3.9</v>
      </c>
      <c r="R1990" s="6">
        <v>14.1</v>
      </c>
      <c r="S1990" s="6">
        <v>106</v>
      </c>
    </row>
    <row r="1991" spans="1:43" x14ac:dyDescent="0.3">
      <c r="A1991" s="6">
        <v>29154</v>
      </c>
      <c r="B1991" s="5" t="s">
        <v>230</v>
      </c>
      <c r="C1991" s="5" t="s">
        <v>231</v>
      </c>
      <c r="D1991" s="2">
        <f t="shared" si="118"/>
        <v>2014</v>
      </c>
      <c r="E1991" s="2">
        <f t="shared" si="119"/>
        <v>3</v>
      </c>
      <c r="F1991" s="3" t="s">
        <v>175</v>
      </c>
      <c r="G1991" s="7">
        <v>41725</v>
      </c>
      <c r="H1991" s="6">
        <v>6594885</v>
      </c>
      <c r="I1991" s="6">
        <v>1620750</v>
      </c>
      <c r="J1991" s="5" t="s">
        <v>186</v>
      </c>
      <c r="K1991" s="1">
        <v>3</v>
      </c>
      <c r="L1991" s="1" t="str">
        <f t="shared" si="120"/>
        <v>Norrviken 3</v>
      </c>
      <c r="M1991" s="5" t="s">
        <v>222</v>
      </c>
      <c r="N1991" s="6">
        <v>10</v>
      </c>
      <c r="O1991" s="6">
        <v>10</v>
      </c>
      <c r="Q1991" s="6">
        <v>3.9</v>
      </c>
      <c r="R1991" s="6">
        <v>14.1</v>
      </c>
      <c r="S1991" s="6">
        <v>106</v>
      </c>
    </row>
    <row r="1992" spans="1:43" x14ac:dyDescent="0.3">
      <c r="A1992" s="6">
        <v>29155</v>
      </c>
      <c r="B1992" s="5" t="s">
        <v>230</v>
      </c>
      <c r="C1992" s="5" t="s">
        <v>231</v>
      </c>
      <c r="D1992" s="2">
        <f t="shared" si="118"/>
        <v>2014</v>
      </c>
      <c r="E1992" s="2">
        <f t="shared" si="119"/>
        <v>3</v>
      </c>
      <c r="F1992" s="3" t="s">
        <v>175</v>
      </c>
      <c r="G1992" s="7">
        <v>41725</v>
      </c>
      <c r="H1992" s="6">
        <v>6594885</v>
      </c>
      <c r="I1992" s="6">
        <v>1620750</v>
      </c>
      <c r="J1992" s="5" t="s">
        <v>186</v>
      </c>
      <c r="K1992" s="1">
        <v>3</v>
      </c>
      <c r="L1992" s="1" t="str">
        <f t="shared" si="120"/>
        <v>Norrviken 3</v>
      </c>
      <c r="M1992" s="5" t="s">
        <v>223</v>
      </c>
      <c r="N1992" s="6">
        <v>11</v>
      </c>
      <c r="O1992" s="6">
        <v>11</v>
      </c>
      <c r="Q1992" s="6">
        <v>3.9</v>
      </c>
      <c r="R1992" s="6">
        <v>14.1</v>
      </c>
      <c r="S1992" s="6">
        <v>106</v>
      </c>
    </row>
    <row r="1993" spans="1:43" x14ac:dyDescent="0.3">
      <c r="A1993" s="6">
        <v>29156</v>
      </c>
      <c r="B1993" s="5" t="s">
        <v>230</v>
      </c>
      <c r="C1993" s="5" t="s">
        <v>231</v>
      </c>
      <c r="D1993" s="2">
        <f t="shared" si="118"/>
        <v>2014</v>
      </c>
      <c r="E1993" s="2">
        <f t="shared" si="119"/>
        <v>3</v>
      </c>
      <c r="F1993" s="3" t="s">
        <v>175</v>
      </c>
      <c r="G1993" s="7">
        <v>41725</v>
      </c>
      <c r="H1993" s="6">
        <v>6594885</v>
      </c>
      <c r="I1993" s="6">
        <v>1620750</v>
      </c>
      <c r="J1993" s="5" t="s">
        <v>186</v>
      </c>
      <c r="K1993" s="1">
        <v>3</v>
      </c>
      <c r="L1993" s="1" t="str">
        <f t="shared" si="120"/>
        <v>Norrviken 3</v>
      </c>
      <c r="M1993" s="1" t="s">
        <v>184</v>
      </c>
      <c r="N1993" s="6">
        <v>11.4</v>
      </c>
      <c r="O1993" s="6">
        <v>11.4</v>
      </c>
      <c r="Q1993" s="6">
        <v>3.9</v>
      </c>
      <c r="R1993" s="6">
        <v>14</v>
      </c>
      <c r="S1993" s="6">
        <v>105</v>
      </c>
    </row>
    <row r="1994" spans="1:43" x14ac:dyDescent="0.3">
      <c r="A1994" s="6">
        <v>29157</v>
      </c>
      <c r="B1994" s="5" t="s">
        <v>230</v>
      </c>
      <c r="C1994" s="5" t="s">
        <v>231</v>
      </c>
      <c r="D1994" s="2">
        <f t="shared" si="118"/>
        <v>2014</v>
      </c>
      <c r="E1994" s="2">
        <f t="shared" si="119"/>
        <v>3</v>
      </c>
      <c r="F1994" s="3" t="s">
        <v>175</v>
      </c>
      <c r="G1994" s="7">
        <v>41725</v>
      </c>
      <c r="H1994" s="6">
        <v>6597300</v>
      </c>
      <c r="I1994" s="6">
        <v>1619975</v>
      </c>
      <c r="J1994" s="5" t="s">
        <v>186</v>
      </c>
      <c r="K1994" s="1">
        <v>4</v>
      </c>
      <c r="L1994" s="1" t="str">
        <f t="shared" si="120"/>
        <v>Norrviken 4</v>
      </c>
      <c r="M1994" s="1" t="s">
        <v>177</v>
      </c>
      <c r="N1994" s="6">
        <v>0.5</v>
      </c>
      <c r="O1994" s="6">
        <v>0.5</v>
      </c>
      <c r="P1994" s="6">
        <v>1.6</v>
      </c>
      <c r="Q1994" s="6">
        <v>3.5</v>
      </c>
      <c r="R1994" s="6">
        <v>14.4</v>
      </c>
      <c r="S1994" s="6">
        <v>107</v>
      </c>
      <c r="V1994" s="6">
        <v>2.3929756098000001</v>
      </c>
      <c r="W1994" s="6">
        <v>4.0812999999999997</v>
      </c>
      <c r="X1994" s="1">
        <f>W1994 * (1/((10^((0.0901821 + (2729.92 /(273.15 + Q1994)))-AE1994)+1)))</f>
        <v>7.8417957310325873E-2</v>
      </c>
      <c r="Y1994" s="6">
        <v>5.2999999999999999E-2</v>
      </c>
      <c r="Z1994" s="6">
        <v>0.01</v>
      </c>
      <c r="AA1994" s="6">
        <v>5.5</v>
      </c>
      <c r="AD1994" s="6">
        <v>362.09</v>
      </c>
      <c r="AE1994" s="6">
        <v>8.25</v>
      </c>
      <c r="AK1994" s="6">
        <v>44.98</v>
      </c>
      <c r="AL1994" s="6">
        <v>1172.79</v>
      </c>
      <c r="AM1994" s="6"/>
      <c r="AN1994" s="6"/>
      <c r="AO1994" s="6"/>
      <c r="AP1994" s="6"/>
      <c r="AQ1994" s="6"/>
    </row>
    <row r="1995" spans="1:43" x14ac:dyDescent="0.3">
      <c r="A1995" s="6">
        <v>29158</v>
      </c>
      <c r="B1995" s="5" t="s">
        <v>230</v>
      </c>
      <c r="C1995" s="5" t="s">
        <v>231</v>
      </c>
      <c r="D1995" s="2">
        <f t="shared" si="118"/>
        <v>2014</v>
      </c>
      <c r="E1995" s="2">
        <f t="shared" si="119"/>
        <v>3</v>
      </c>
      <c r="F1995" s="3" t="s">
        <v>175</v>
      </c>
      <c r="G1995" s="7">
        <v>41725</v>
      </c>
      <c r="H1995" s="6">
        <v>6597300</v>
      </c>
      <c r="I1995" s="6">
        <v>1619975</v>
      </c>
      <c r="J1995" s="5" t="s">
        <v>186</v>
      </c>
      <c r="K1995" s="1">
        <v>4</v>
      </c>
      <c r="L1995" s="1" t="str">
        <f t="shared" si="120"/>
        <v>Norrviken 4</v>
      </c>
      <c r="M1995" s="5" t="s">
        <v>211</v>
      </c>
      <c r="N1995" s="6">
        <v>1</v>
      </c>
      <c r="O1995" s="6">
        <v>1</v>
      </c>
      <c r="Q1995" s="6">
        <v>3.7</v>
      </c>
      <c r="R1995" s="6">
        <v>14.3</v>
      </c>
      <c r="S1995" s="6">
        <v>107</v>
      </c>
    </row>
    <row r="1996" spans="1:43" x14ac:dyDescent="0.3">
      <c r="A1996" s="6">
        <v>29159</v>
      </c>
      <c r="B1996" s="5" t="s">
        <v>230</v>
      </c>
      <c r="C1996" s="5" t="s">
        <v>231</v>
      </c>
      <c r="D1996" s="2">
        <f t="shared" si="118"/>
        <v>2014</v>
      </c>
      <c r="E1996" s="2">
        <f t="shared" si="119"/>
        <v>3</v>
      </c>
      <c r="F1996" s="3" t="s">
        <v>175</v>
      </c>
      <c r="G1996" s="7">
        <v>41725</v>
      </c>
      <c r="H1996" s="6">
        <v>6597300</v>
      </c>
      <c r="I1996" s="6">
        <v>1619975</v>
      </c>
      <c r="J1996" s="5" t="s">
        <v>186</v>
      </c>
      <c r="K1996" s="1">
        <v>4</v>
      </c>
      <c r="L1996" s="1" t="str">
        <f t="shared" si="120"/>
        <v>Norrviken 4</v>
      </c>
      <c r="M1996" s="1" t="s">
        <v>184</v>
      </c>
      <c r="N1996" s="6">
        <v>2.1</v>
      </c>
      <c r="O1996" s="6">
        <v>2.1</v>
      </c>
      <c r="Q1996" s="6">
        <v>3.9</v>
      </c>
      <c r="R1996" s="6">
        <v>14</v>
      </c>
      <c r="S1996" s="6">
        <v>105</v>
      </c>
    </row>
    <row r="1997" spans="1:43" x14ac:dyDescent="0.3">
      <c r="A1997" s="1">
        <v>29120</v>
      </c>
      <c r="B1997" s="1" t="s">
        <v>232</v>
      </c>
      <c r="C1997" s="1" t="s">
        <v>209</v>
      </c>
      <c r="D1997" s="2">
        <f t="shared" si="118"/>
        <v>2014</v>
      </c>
      <c r="E1997" s="2">
        <f t="shared" si="119"/>
        <v>3</v>
      </c>
      <c r="F1997" s="3" t="s">
        <v>175</v>
      </c>
      <c r="G1997" s="4">
        <v>41725</v>
      </c>
      <c r="H1997" s="1">
        <v>6600935</v>
      </c>
      <c r="I1997" s="1">
        <v>1626764</v>
      </c>
      <c r="J1997" s="1" t="s">
        <v>191</v>
      </c>
      <c r="K1997" s="1" t="s">
        <v>210</v>
      </c>
      <c r="L1997" s="1" t="str">
        <f t="shared" si="120"/>
        <v>Vallentunasjön Va2</v>
      </c>
      <c r="M1997" s="1" t="s">
        <v>177</v>
      </c>
      <c r="N1997" s="1">
        <v>0.5</v>
      </c>
      <c r="O1997" s="1">
        <v>0.5</v>
      </c>
      <c r="P1997" s="1">
        <v>1</v>
      </c>
      <c r="Q1997" s="1">
        <v>4</v>
      </c>
      <c r="R1997" s="1">
        <v>13.5</v>
      </c>
      <c r="S1997" s="1">
        <v>101</v>
      </c>
    </row>
    <row r="1998" spans="1:43" x14ac:dyDescent="0.3">
      <c r="A1998" s="1">
        <v>29121</v>
      </c>
      <c r="B1998" s="1" t="s">
        <v>232</v>
      </c>
      <c r="C1998" s="1" t="s">
        <v>209</v>
      </c>
      <c r="D1998" s="2">
        <f t="shared" si="118"/>
        <v>2014</v>
      </c>
      <c r="E1998" s="2">
        <f t="shared" si="119"/>
        <v>3</v>
      </c>
      <c r="F1998" s="3" t="s">
        <v>175</v>
      </c>
      <c r="G1998" s="4">
        <v>41725</v>
      </c>
      <c r="H1998" s="1">
        <v>6600935</v>
      </c>
      <c r="I1998" s="1">
        <v>1626764</v>
      </c>
      <c r="J1998" s="1" t="s">
        <v>191</v>
      </c>
      <c r="K1998" s="1" t="s">
        <v>210</v>
      </c>
      <c r="L1998" s="1" t="str">
        <f t="shared" si="120"/>
        <v>Vallentunasjön Va2</v>
      </c>
      <c r="M1998" s="1" t="s">
        <v>211</v>
      </c>
      <c r="N1998" s="1">
        <v>1</v>
      </c>
      <c r="O1998" s="1">
        <v>1</v>
      </c>
      <c r="Q1998" s="1">
        <v>4.0999999999999996</v>
      </c>
      <c r="R1998" s="1">
        <v>13.4</v>
      </c>
      <c r="S1998" s="1">
        <v>101</v>
      </c>
    </row>
    <row r="1999" spans="1:43" x14ac:dyDescent="0.3">
      <c r="A1999" s="1">
        <v>29122</v>
      </c>
      <c r="B1999" s="1" t="s">
        <v>232</v>
      </c>
      <c r="C1999" s="1" t="s">
        <v>209</v>
      </c>
      <c r="D1999" s="2">
        <f t="shared" si="118"/>
        <v>2014</v>
      </c>
      <c r="E1999" s="2">
        <f t="shared" si="119"/>
        <v>3</v>
      </c>
      <c r="F1999" s="3" t="s">
        <v>175</v>
      </c>
      <c r="G1999" s="4">
        <v>41725</v>
      </c>
      <c r="H1999" s="1">
        <v>6600935</v>
      </c>
      <c r="I1999" s="1">
        <v>1626764</v>
      </c>
      <c r="J1999" s="1" t="s">
        <v>191</v>
      </c>
      <c r="K1999" s="1" t="s">
        <v>210</v>
      </c>
      <c r="L1999" s="1" t="str">
        <f t="shared" si="120"/>
        <v>Vallentunasjön Va2</v>
      </c>
      <c r="M1999" s="1" t="s">
        <v>212</v>
      </c>
      <c r="N1999" s="1">
        <v>2</v>
      </c>
      <c r="O1999" s="1">
        <v>2</v>
      </c>
      <c r="Q1999" s="1">
        <v>4.0999999999999996</v>
      </c>
      <c r="R1999" s="1">
        <v>13.4</v>
      </c>
      <c r="S1999" s="1">
        <v>101</v>
      </c>
    </row>
    <row r="2000" spans="1:43" x14ac:dyDescent="0.3">
      <c r="A2000" s="1">
        <v>29123</v>
      </c>
      <c r="B2000" s="1" t="s">
        <v>232</v>
      </c>
      <c r="C2000" s="1" t="s">
        <v>209</v>
      </c>
      <c r="D2000" s="2">
        <f t="shared" si="118"/>
        <v>2014</v>
      </c>
      <c r="E2000" s="2">
        <f t="shared" si="119"/>
        <v>3</v>
      </c>
      <c r="F2000" s="3" t="s">
        <v>175</v>
      </c>
      <c r="G2000" s="4">
        <v>41725</v>
      </c>
      <c r="H2000" s="1">
        <v>6600935</v>
      </c>
      <c r="I2000" s="1">
        <v>1626764</v>
      </c>
      <c r="J2000" s="1" t="s">
        <v>191</v>
      </c>
      <c r="K2000" s="1" t="s">
        <v>210</v>
      </c>
      <c r="L2000" s="1" t="str">
        <f t="shared" si="120"/>
        <v>Vallentunasjön Va2</v>
      </c>
      <c r="M2000" s="1" t="s">
        <v>213</v>
      </c>
      <c r="N2000" s="1">
        <v>3</v>
      </c>
      <c r="O2000" s="1">
        <v>3</v>
      </c>
      <c r="Q2000" s="1">
        <v>4.0999999999999996</v>
      </c>
      <c r="R2000" s="1">
        <v>13.4</v>
      </c>
      <c r="S2000" s="1">
        <v>101</v>
      </c>
    </row>
    <row r="2001" spans="1:52" x14ac:dyDescent="0.3">
      <c r="A2001" s="1">
        <v>29124</v>
      </c>
      <c r="B2001" s="1" t="s">
        <v>232</v>
      </c>
      <c r="C2001" s="1" t="s">
        <v>209</v>
      </c>
      <c r="D2001" s="2">
        <f t="shared" si="118"/>
        <v>2014</v>
      </c>
      <c r="E2001" s="2">
        <f t="shared" si="119"/>
        <v>3</v>
      </c>
      <c r="F2001" s="3" t="s">
        <v>175</v>
      </c>
      <c r="G2001" s="4">
        <v>41725</v>
      </c>
      <c r="H2001" s="1">
        <v>6600935</v>
      </c>
      <c r="I2001" s="1">
        <v>1626764</v>
      </c>
      <c r="J2001" s="1" t="s">
        <v>191</v>
      </c>
      <c r="K2001" s="1" t="s">
        <v>210</v>
      </c>
      <c r="L2001" s="1" t="str">
        <f t="shared" si="120"/>
        <v>Vallentunasjön Va2</v>
      </c>
      <c r="M2001" s="1" t="s">
        <v>214</v>
      </c>
      <c r="N2001" s="1">
        <v>4</v>
      </c>
      <c r="O2001" s="1">
        <v>4</v>
      </c>
      <c r="Q2001" s="1">
        <v>4.0999999999999996</v>
      </c>
      <c r="R2001" s="1">
        <v>13.3</v>
      </c>
      <c r="S2001" s="1">
        <v>100</v>
      </c>
    </row>
    <row r="2002" spans="1:52" x14ac:dyDescent="0.3">
      <c r="A2002" s="1">
        <v>29125</v>
      </c>
      <c r="B2002" s="1" t="s">
        <v>232</v>
      </c>
      <c r="C2002" s="1" t="s">
        <v>209</v>
      </c>
      <c r="D2002" s="2">
        <f t="shared" si="118"/>
        <v>2014</v>
      </c>
      <c r="E2002" s="2">
        <f t="shared" si="119"/>
        <v>3</v>
      </c>
      <c r="F2002" s="3" t="s">
        <v>175</v>
      </c>
      <c r="G2002" s="4">
        <v>41725</v>
      </c>
      <c r="H2002" s="1">
        <v>6600935</v>
      </c>
      <c r="I2002" s="1">
        <v>1626764</v>
      </c>
      <c r="J2002" s="1" t="s">
        <v>191</v>
      </c>
      <c r="K2002" s="1" t="s">
        <v>210</v>
      </c>
      <c r="L2002" s="1" t="str">
        <f t="shared" si="120"/>
        <v>Vallentunasjön Va2</v>
      </c>
      <c r="M2002" s="1" t="s">
        <v>184</v>
      </c>
      <c r="N2002" s="1">
        <v>4.3</v>
      </c>
      <c r="O2002" s="1">
        <v>4.3</v>
      </c>
      <c r="Q2002" s="1">
        <v>4.2</v>
      </c>
      <c r="R2002" s="1">
        <v>13.2</v>
      </c>
      <c r="S2002" s="1">
        <v>100</v>
      </c>
    </row>
    <row r="2003" spans="1:52" x14ac:dyDescent="0.3">
      <c r="A2003" s="1">
        <v>29126</v>
      </c>
      <c r="B2003" s="1" t="s">
        <v>232</v>
      </c>
      <c r="C2003" s="1" t="s">
        <v>209</v>
      </c>
      <c r="D2003" s="2">
        <f t="shared" si="118"/>
        <v>2014</v>
      </c>
      <c r="E2003" s="2">
        <f t="shared" si="119"/>
        <v>3</v>
      </c>
      <c r="F2003" s="3" t="s">
        <v>175</v>
      </c>
      <c r="G2003" s="4">
        <v>41725</v>
      </c>
      <c r="J2003" s="1" t="s">
        <v>191</v>
      </c>
      <c r="K2003" s="1" t="s">
        <v>206</v>
      </c>
      <c r="L2003" s="1" t="str">
        <f t="shared" si="120"/>
        <v>Vallentunasjön Blandprov</v>
      </c>
      <c r="M2003" s="1" t="s">
        <v>177</v>
      </c>
      <c r="N2003" s="1">
        <v>4</v>
      </c>
      <c r="O2003" s="1">
        <v>0</v>
      </c>
      <c r="W2003" s="1">
        <v>136.34889999999999</v>
      </c>
      <c r="Z2003" s="1">
        <v>8.73</v>
      </c>
      <c r="AB2003" s="1">
        <v>27.3828</v>
      </c>
      <c r="AD2003" s="1">
        <v>258.39</v>
      </c>
      <c r="AG2003" s="1">
        <v>13.333333333000001</v>
      </c>
      <c r="AK2003" s="1">
        <v>44.42</v>
      </c>
      <c r="AL2003" s="1">
        <v>1481.95</v>
      </c>
    </row>
    <row r="2004" spans="1:52" x14ac:dyDescent="0.3">
      <c r="A2004" s="1">
        <v>29274</v>
      </c>
      <c r="B2004" s="1" t="s">
        <v>232</v>
      </c>
      <c r="C2004" s="1" t="s">
        <v>209</v>
      </c>
      <c r="D2004" s="2">
        <f t="shared" si="118"/>
        <v>2014</v>
      </c>
      <c r="E2004" s="2">
        <f t="shared" si="119"/>
        <v>4</v>
      </c>
      <c r="F2004" s="3" t="s">
        <v>178</v>
      </c>
      <c r="G2004" s="4">
        <v>41730</v>
      </c>
      <c r="H2004" s="1">
        <v>6600935</v>
      </c>
      <c r="I2004" s="1">
        <v>1626764</v>
      </c>
      <c r="J2004" s="1" t="s">
        <v>191</v>
      </c>
      <c r="K2004" s="1" t="s">
        <v>210</v>
      </c>
      <c r="L2004" s="1" t="str">
        <f t="shared" si="120"/>
        <v>Vallentunasjön Va2</v>
      </c>
      <c r="M2004" s="1" t="s">
        <v>177</v>
      </c>
      <c r="N2004" s="1">
        <v>0.5</v>
      </c>
      <c r="O2004" s="1">
        <v>0.5</v>
      </c>
      <c r="P2004" s="1">
        <v>1</v>
      </c>
      <c r="Q2004" s="1">
        <v>5.4</v>
      </c>
      <c r="R2004" s="1">
        <v>14</v>
      </c>
      <c r="S2004" s="1">
        <v>110</v>
      </c>
    </row>
    <row r="2005" spans="1:52" x14ac:dyDescent="0.3">
      <c r="A2005" s="1">
        <v>29275</v>
      </c>
      <c r="B2005" s="1" t="s">
        <v>232</v>
      </c>
      <c r="C2005" s="1" t="s">
        <v>209</v>
      </c>
      <c r="D2005" s="2">
        <f t="shared" si="118"/>
        <v>2014</v>
      </c>
      <c r="E2005" s="2">
        <f t="shared" si="119"/>
        <v>4</v>
      </c>
      <c r="F2005" s="3" t="s">
        <v>178</v>
      </c>
      <c r="G2005" s="4">
        <v>41730</v>
      </c>
      <c r="H2005" s="1">
        <v>6600935</v>
      </c>
      <c r="I2005" s="1">
        <v>1626764</v>
      </c>
      <c r="J2005" s="1" t="s">
        <v>191</v>
      </c>
      <c r="K2005" s="1" t="s">
        <v>210</v>
      </c>
      <c r="L2005" s="1" t="str">
        <f t="shared" si="120"/>
        <v>Vallentunasjön Va2</v>
      </c>
      <c r="M2005" s="1" t="s">
        <v>211</v>
      </c>
      <c r="N2005" s="1">
        <v>1</v>
      </c>
      <c r="O2005" s="1">
        <v>1</v>
      </c>
      <c r="Q2005" s="1">
        <v>5.4</v>
      </c>
      <c r="R2005" s="1">
        <v>14</v>
      </c>
      <c r="S2005" s="1">
        <v>110</v>
      </c>
    </row>
    <row r="2006" spans="1:52" x14ac:dyDescent="0.3">
      <c r="A2006" s="1">
        <v>29276</v>
      </c>
      <c r="B2006" s="1" t="s">
        <v>232</v>
      </c>
      <c r="C2006" s="1" t="s">
        <v>209</v>
      </c>
      <c r="D2006" s="2">
        <f t="shared" si="118"/>
        <v>2014</v>
      </c>
      <c r="E2006" s="2">
        <f t="shared" si="119"/>
        <v>4</v>
      </c>
      <c r="F2006" s="3" t="s">
        <v>178</v>
      </c>
      <c r="G2006" s="4">
        <v>41730</v>
      </c>
      <c r="H2006" s="1">
        <v>6600935</v>
      </c>
      <c r="I2006" s="1">
        <v>1626764</v>
      </c>
      <c r="J2006" s="1" t="s">
        <v>191</v>
      </c>
      <c r="K2006" s="1" t="s">
        <v>210</v>
      </c>
      <c r="L2006" s="1" t="str">
        <f t="shared" si="120"/>
        <v>Vallentunasjön Va2</v>
      </c>
      <c r="M2006" s="1" t="s">
        <v>212</v>
      </c>
      <c r="N2006" s="1">
        <v>2</v>
      </c>
      <c r="O2006" s="1">
        <v>2</v>
      </c>
      <c r="Q2006" s="1">
        <v>5.4</v>
      </c>
      <c r="R2006" s="1">
        <v>14</v>
      </c>
      <c r="S2006" s="1">
        <v>110</v>
      </c>
    </row>
    <row r="2007" spans="1:52" x14ac:dyDescent="0.3">
      <c r="A2007" s="1">
        <v>29277</v>
      </c>
      <c r="B2007" s="1" t="s">
        <v>232</v>
      </c>
      <c r="C2007" s="1" t="s">
        <v>209</v>
      </c>
      <c r="D2007" s="2">
        <f t="shared" si="118"/>
        <v>2014</v>
      </c>
      <c r="E2007" s="2">
        <f t="shared" si="119"/>
        <v>4</v>
      </c>
      <c r="F2007" s="3" t="s">
        <v>178</v>
      </c>
      <c r="G2007" s="4">
        <v>41730</v>
      </c>
      <c r="H2007" s="1">
        <v>6600935</v>
      </c>
      <c r="I2007" s="1">
        <v>1626764</v>
      </c>
      <c r="J2007" s="1" t="s">
        <v>191</v>
      </c>
      <c r="K2007" s="1" t="s">
        <v>210</v>
      </c>
      <c r="L2007" s="1" t="str">
        <f t="shared" si="120"/>
        <v>Vallentunasjön Va2</v>
      </c>
      <c r="M2007" s="1" t="s">
        <v>213</v>
      </c>
      <c r="N2007" s="1">
        <v>3</v>
      </c>
      <c r="O2007" s="1">
        <v>3</v>
      </c>
      <c r="Q2007" s="1">
        <v>5.4</v>
      </c>
      <c r="R2007" s="1">
        <v>14</v>
      </c>
      <c r="S2007" s="1">
        <v>110</v>
      </c>
    </row>
    <row r="2008" spans="1:52" x14ac:dyDescent="0.3">
      <c r="A2008" s="1">
        <v>29278</v>
      </c>
      <c r="B2008" s="1" t="s">
        <v>232</v>
      </c>
      <c r="C2008" s="1" t="s">
        <v>209</v>
      </c>
      <c r="D2008" s="2">
        <f t="shared" si="118"/>
        <v>2014</v>
      </c>
      <c r="E2008" s="2">
        <f t="shared" si="119"/>
        <v>4</v>
      </c>
      <c r="F2008" s="3" t="s">
        <v>178</v>
      </c>
      <c r="G2008" s="4">
        <v>41730</v>
      </c>
      <c r="H2008" s="1">
        <v>6600935</v>
      </c>
      <c r="I2008" s="1">
        <v>1626764</v>
      </c>
      <c r="J2008" s="1" t="s">
        <v>191</v>
      </c>
      <c r="K2008" s="1" t="s">
        <v>210</v>
      </c>
      <c r="L2008" s="1" t="str">
        <f t="shared" si="120"/>
        <v>Vallentunasjön Va2</v>
      </c>
      <c r="M2008" s="1" t="s">
        <v>214</v>
      </c>
      <c r="N2008" s="1">
        <v>4</v>
      </c>
      <c r="O2008" s="1">
        <v>4</v>
      </c>
      <c r="Q2008" s="1">
        <v>5.4</v>
      </c>
      <c r="R2008" s="1">
        <v>14</v>
      </c>
      <c r="S2008" s="1">
        <v>110</v>
      </c>
    </row>
    <row r="2009" spans="1:52" x14ac:dyDescent="0.3">
      <c r="A2009" s="1">
        <v>29279</v>
      </c>
      <c r="B2009" s="1" t="s">
        <v>232</v>
      </c>
      <c r="C2009" s="1" t="s">
        <v>209</v>
      </c>
      <c r="D2009" s="2">
        <f t="shared" si="118"/>
        <v>2014</v>
      </c>
      <c r="E2009" s="2">
        <f t="shared" si="119"/>
        <v>4</v>
      </c>
      <c r="F2009" s="3" t="s">
        <v>178</v>
      </c>
      <c r="G2009" s="4">
        <v>41730</v>
      </c>
      <c r="H2009" s="1">
        <v>6600935</v>
      </c>
      <c r="I2009" s="1">
        <v>1626764</v>
      </c>
      <c r="J2009" s="1" t="s">
        <v>191</v>
      </c>
      <c r="K2009" s="1" t="s">
        <v>210</v>
      </c>
      <c r="L2009" s="1" t="str">
        <f t="shared" si="120"/>
        <v>Vallentunasjön Va2</v>
      </c>
      <c r="M2009" s="1" t="s">
        <v>184</v>
      </c>
      <c r="N2009" s="1">
        <v>4.5</v>
      </c>
      <c r="O2009" s="1">
        <v>4.5</v>
      </c>
      <c r="Q2009" s="1">
        <v>5.4</v>
      </c>
      <c r="R2009" s="1">
        <v>14</v>
      </c>
      <c r="S2009" s="1">
        <v>110</v>
      </c>
    </row>
    <row r="2010" spans="1:52" x14ac:dyDescent="0.3">
      <c r="A2010" s="1">
        <v>29280</v>
      </c>
      <c r="B2010" s="1" t="s">
        <v>232</v>
      </c>
      <c r="C2010" s="1" t="s">
        <v>209</v>
      </c>
      <c r="D2010" s="2">
        <f t="shared" si="118"/>
        <v>2014</v>
      </c>
      <c r="E2010" s="2">
        <f t="shared" si="119"/>
        <v>4</v>
      </c>
      <c r="F2010" s="3" t="s">
        <v>178</v>
      </c>
      <c r="G2010" s="4">
        <v>41730</v>
      </c>
      <c r="J2010" s="1" t="s">
        <v>191</v>
      </c>
      <c r="K2010" s="1" t="s">
        <v>206</v>
      </c>
      <c r="L2010" s="1" t="str">
        <f t="shared" si="120"/>
        <v>Vallentunasjön Blandprov</v>
      </c>
      <c r="M2010" s="1" t="s">
        <v>177</v>
      </c>
      <c r="N2010" s="1">
        <v>4.5</v>
      </c>
      <c r="O2010" s="1">
        <v>0</v>
      </c>
      <c r="W2010" s="1">
        <v>85.33</v>
      </c>
      <c r="Z2010" s="1">
        <v>1.8199999999999998</v>
      </c>
      <c r="AB2010" s="1">
        <v>23.308800000000002</v>
      </c>
      <c r="AD2010" s="1">
        <v>266.75</v>
      </c>
      <c r="AG2010" s="1">
        <v>13.333333333000001</v>
      </c>
      <c r="AK2010" s="1">
        <v>37.090000000000003</v>
      </c>
      <c r="AL2010" s="1">
        <v>1324.62</v>
      </c>
    </row>
    <row r="2011" spans="1:52" x14ac:dyDescent="0.3">
      <c r="D2011" s="2">
        <f t="shared" si="118"/>
        <v>2014</v>
      </c>
      <c r="E2011" s="2">
        <f t="shared" si="119"/>
        <v>4</v>
      </c>
      <c r="F2011" s="3" t="s">
        <v>178</v>
      </c>
      <c r="G2011" s="4">
        <v>41743</v>
      </c>
      <c r="H2011" s="1">
        <v>6606238</v>
      </c>
      <c r="I2011" s="1">
        <v>661152</v>
      </c>
      <c r="J2011" s="5" t="s">
        <v>176</v>
      </c>
      <c r="K2011" s="1"/>
      <c r="L2011" s="1" t="str">
        <f t="shared" si="120"/>
        <v xml:space="preserve">Oxundaån </v>
      </c>
      <c r="M2011" s="1" t="s">
        <v>177</v>
      </c>
      <c r="N2011" s="1">
        <v>0.5</v>
      </c>
      <c r="O2011" s="1">
        <v>0.5</v>
      </c>
      <c r="Q2011" s="1">
        <v>6.7</v>
      </c>
      <c r="T2011" s="1">
        <v>45.9</v>
      </c>
      <c r="V2011" s="1">
        <v>2.3530000000000002</v>
      </c>
      <c r="W2011" s="1">
        <v>13</v>
      </c>
      <c r="X2011" s="1">
        <f>W2011 * (1/((10^((0.0901821 + (2729.92 /(273.15 + Q2011)))-AE2011)+1)))</f>
        <v>0.18308853010118378</v>
      </c>
      <c r="Y2011" s="1">
        <v>5.3999999999999999E-2</v>
      </c>
      <c r="Z2011" s="1">
        <v>6</v>
      </c>
      <c r="AA2011" s="1">
        <v>4.5999999999999996</v>
      </c>
      <c r="AD2011" s="1">
        <v>596</v>
      </c>
      <c r="AE2011" s="1">
        <v>8</v>
      </c>
      <c r="AI2011" s="1">
        <v>10.1</v>
      </c>
      <c r="AK2011" s="1">
        <v>32.1</v>
      </c>
      <c r="AL2011" s="1">
        <v>1180</v>
      </c>
      <c r="AR2011" s="1">
        <v>52.199999999999996</v>
      </c>
      <c r="AT2011" s="1">
        <v>4.9657</v>
      </c>
      <c r="AU2011" s="1">
        <v>8.7845999999999993</v>
      </c>
      <c r="AV2011" s="1">
        <v>38.286000000000008</v>
      </c>
      <c r="AW2011" s="1">
        <v>26.610399999999998</v>
      </c>
      <c r="AX2011" s="1">
        <v>49.972000000000001</v>
      </c>
      <c r="AY2011" s="1">
        <v>3.3</v>
      </c>
    </row>
    <row r="2012" spans="1:52" x14ac:dyDescent="0.3">
      <c r="D2012" s="2">
        <f t="shared" si="118"/>
        <v>2014</v>
      </c>
      <c r="E2012" s="2">
        <f t="shared" si="119"/>
        <v>4</v>
      </c>
      <c r="F2012" s="3" t="s">
        <v>178</v>
      </c>
      <c r="G2012" s="4">
        <v>41745</v>
      </c>
      <c r="J2012" s="1" t="s">
        <v>181</v>
      </c>
      <c r="K2012" s="1"/>
      <c r="L2012" s="1" t="str">
        <f t="shared" si="120"/>
        <v xml:space="preserve">Fysingen </v>
      </c>
      <c r="M2012" s="1" t="s">
        <v>177</v>
      </c>
      <c r="N2012" s="1">
        <v>0.5</v>
      </c>
      <c r="O2012" s="1">
        <v>0.5</v>
      </c>
      <c r="P2012" s="1">
        <v>1.05</v>
      </c>
      <c r="Q2012" s="1">
        <v>7.5</v>
      </c>
      <c r="V2012" s="1">
        <v>1.879</v>
      </c>
      <c r="W2012" s="1">
        <v>6</v>
      </c>
      <c r="X2012" s="1">
        <f>W2012 * (1/((10^((0.0901821 + (2729.92 /(273.15 + Q2012)))-AE2012)+1)))</f>
        <v>7.8543991356476453E-2</v>
      </c>
      <c r="Y2012" s="1">
        <v>5.3999999999999999E-2</v>
      </c>
      <c r="Z2012" s="1">
        <v>10</v>
      </c>
      <c r="AA2012" s="1">
        <v>6.2</v>
      </c>
      <c r="AB2012" s="1">
        <v>7.9</v>
      </c>
      <c r="AC2012" s="1">
        <v>47.6</v>
      </c>
      <c r="AD2012" s="1">
        <v>1575</v>
      </c>
      <c r="AE2012" s="1">
        <v>7.94</v>
      </c>
      <c r="AI2012" s="1">
        <v>9.6999999999999993</v>
      </c>
      <c r="AK2012" s="1">
        <v>27</v>
      </c>
      <c r="AL2012" s="1">
        <v>2060</v>
      </c>
      <c r="AR2012" s="1">
        <v>53.4</v>
      </c>
      <c r="AS2012" s="1">
        <v>0.32</v>
      </c>
      <c r="AT2012" s="1">
        <v>5.1612</v>
      </c>
      <c r="AU2012" s="1">
        <v>11.095700000000001</v>
      </c>
      <c r="AV2012" s="1">
        <v>31.479600000000001</v>
      </c>
      <c r="AW2012" s="1">
        <v>23.169400000000003</v>
      </c>
      <c r="AX2012" s="1">
        <v>84.808249999999987</v>
      </c>
      <c r="AY2012" s="1">
        <v>6.3</v>
      </c>
      <c r="AZ2012" s="1">
        <v>390</v>
      </c>
    </row>
    <row r="2013" spans="1:52" x14ac:dyDescent="0.3">
      <c r="A2013" s="1">
        <v>29474</v>
      </c>
      <c r="B2013" s="1" t="s">
        <v>232</v>
      </c>
      <c r="C2013" s="1" t="s">
        <v>209</v>
      </c>
      <c r="D2013" s="2">
        <f t="shared" si="118"/>
        <v>2014</v>
      </c>
      <c r="E2013" s="2">
        <f t="shared" si="119"/>
        <v>4</v>
      </c>
      <c r="F2013" s="3" t="s">
        <v>178</v>
      </c>
      <c r="G2013" s="4">
        <v>41752</v>
      </c>
      <c r="H2013" s="1">
        <v>6600935</v>
      </c>
      <c r="I2013" s="1">
        <v>1626764</v>
      </c>
      <c r="J2013" s="1" t="s">
        <v>191</v>
      </c>
      <c r="K2013" s="1" t="s">
        <v>210</v>
      </c>
      <c r="L2013" s="1" t="str">
        <f t="shared" si="120"/>
        <v>Vallentunasjön Va2</v>
      </c>
      <c r="M2013" s="1" t="s">
        <v>177</v>
      </c>
      <c r="N2013" s="1">
        <v>0.5</v>
      </c>
      <c r="O2013" s="1">
        <v>0.5</v>
      </c>
      <c r="P2013" s="1">
        <v>0.9</v>
      </c>
      <c r="Q2013" s="1">
        <v>10.8</v>
      </c>
      <c r="R2013" s="1">
        <v>13.2</v>
      </c>
      <c r="S2013" s="1">
        <v>120</v>
      </c>
    </row>
    <row r="2014" spans="1:52" x14ac:dyDescent="0.3">
      <c r="A2014" s="1">
        <v>29475</v>
      </c>
      <c r="B2014" s="1" t="s">
        <v>232</v>
      </c>
      <c r="C2014" s="1" t="s">
        <v>209</v>
      </c>
      <c r="D2014" s="2">
        <f t="shared" si="118"/>
        <v>2014</v>
      </c>
      <c r="E2014" s="2">
        <f t="shared" si="119"/>
        <v>4</v>
      </c>
      <c r="F2014" s="3" t="s">
        <v>178</v>
      </c>
      <c r="G2014" s="4">
        <v>41752</v>
      </c>
      <c r="H2014" s="1">
        <v>6600935</v>
      </c>
      <c r="I2014" s="1">
        <v>1626764</v>
      </c>
      <c r="J2014" s="1" t="s">
        <v>191</v>
      </c>
      <c r="K2014" s="1" t="s">
        <v>210</v>
      </c>
      <c r="L2014" s="1" t="str">
        <f t="shared" si="120"/>
        <v>Vallentunasjön Va2</v>
      </c>
      <c r="M2014" s="1" t="s">
        <v>211</v>
      </c>
      <c r="N2014" s="1">
        <v>1</v>
      </c>
      <c r="O2014" s="1">
        <v>1</v>
      </c>
      <c r="Q2014" s="1">
        <v>10.8</v>
      </c>
      <c r="R2014" s="1">
        <v>13.5</v>
      </c>
      <c r="S2014" s="1">
        <v>122</v>
      </c>
    </row>
    <row r="2015" spans="1:52" x14ac:dyDescent="0.3">
      <c r="A2015" s="1">
        <v>29476</v>
      </c>
      <c r="B2015" s="1" t="s">
        <v>232</v>
      </c>
      <c r="C2015" s="1" t="s">
        <v>209</v>
      </c>
      <c r="D2015" s="2">
        <f t="shared" si="118"/>
        <v>2014</v>
      </c>
      <c r="E2015" s="2">
        <f t="shared" si="119"/>
        <v>4</v>
      </c>
      <c r="F2015" s="3" t="s">
        <v>178</v>
      </c>
      <c r="G2015" s="4">
        <v>41752</v>
      </c>
      <c r="H2015" s="1">
        <v>6600935</v>
      </c>
      <c r="I2015" s="1">
        <v>1626764</v>
      </c>
      <c r="J2015" s="1" t="s">
        <v>191</v>
      </c>
      <c r="K2015" s="1" t="s">
        <v>210</v>
      </c>
      <c r="L2015" s="1" t="str">
        <f t="shared" si="120"/>
        <v>Vallentunasjön Va2</v>
      </c>
      <c r="M2015" s="1" t="s">
        <v>212</v>
      </c>
      <c r="N2015" s="1">
        <v>2</v>
      </c>
      <c r="O2015" s="1">
        <v>2</v>
      </c>
      <c r="Q2015" s="1">
        <v>10.8</v>
      </c>
      <c r="R2015" s="1">
        <v>13.8</v>
      </c>
      <c r="S2015" s="1">
        <v>124</v>
      </c>
    </row>
    <row r="2016" spans="1:52" x14ac:dyDescent="0.3">
      <c r="A2016" s="1">
        <v>29477</v>
      </c>
      <c r="B2016" s="1" t="s">
        <v>232</v>
      </c>
      <c r="C2016" s="1" t="s">
        <v>209</v>
      </c>
      <c r="D2016" s="2">
        <f t="shared" si="118"/>
        <v>2014</v>
      </c>
      <c r="E2016" s="2">
        <f t="shared" si="119"/>
        <v>4</v>
      </c>
      <c r="F2016" s="3" t="s">
        <v>178</v>
      </c>
      <c r="G2016" s="4">
        <v>41752</v>
      </c>
      <c r="H2016" s="1">
        <v>6600935</v>
      </c>
      <c r="I2016" s="1">
        <v>1626764</v>
      </c>
      <c r="J2016" s="1" t="s">
        <v>191</v>
      </c>
      <c r="K2016" s="1" t="s">
        <v>210</v>
      </c>
      <c r="L2016" s="1" t="str">
        <f t="shared" si="120"/>
        <v>Vallentunasjön Va2</v>
      </c>
      <c r="M2016" s="1" t="s">
        <v>213</v>
      </c>
      <c r="N2016" s="1">
        <v>3</v>
      </c>
      <c r="O2016" s="1">
        <v>3</v>
      </c>
      <c r="Q2016" s="1">
        <v>10.8</v>
      </c>
      <c r="R2016" s="1">
        <v>14.1</v>
      </c>
      <c r="S2016" s="1">
        <v>126</v>
      </c>
    </row>
    <row r="2017" spans="1:51" x14ac:dyDescent="0.3">
      <c r="A2017" s="1">
        <v>29478</v>
      </c>
      <c r="B2017" s="1" t="s">
        <v>232</v>
      </c>
      <c r="C2017" s="1" t="s">
        <v>209</v>
      </c>
      <c r="D2017" s="2">
        <f t="shared" si="118"/>
        <v>2014</v>
      </c>
      <c r="E2017" s="2">
        <f t="shared" si="119"/>
        <v>4</v>
      </c>
      <c r="F2017" s="3" t="s">
        <v>178</v>
      </c>
      <c r="G2017" s="4">
        <v>41752</v>
      </c>
      <c r="H2017" s="1">
        <v>6600935</v>
      </c>
      <c r="I2017" s="1">
        <v>1626764</v>
      </c>
      <c r="J2017" s="1" t="s">
        <v>191</v>
      </c>
      <c r="K2017" s="1" t="s">
        <v>210</v>
      </c>
      <c r="L2017" s="1" t="str">
        <f t="shared" si="120"/>
        <v>Vallentunasjön Va2</v>
      </c>
      <c r="M2017" s="1" t="s">
        <v>214</v>
      </c>
      <c r="N2017" s="1">
        <v>4</v>
      </c>
      <c r="O2017" s="1">
        <v>4</v>
      </c>
      <c r="Q2017" s="1">
        <v>10.8</v>
      </c>
      <c r="R2017" s="1">
        <v>14.2</v>
      </c>
      <c r="S2017" s="1">
        <v>127</v>
      </c>
    </row>
    <row r="2018" spans="1:51" x14ac:dyDescent="0.3">
      <c r="A2018" s="1">
        <v>29479</v>
      </c>
      <c r="B2018" s="1" t="s">
        <v>232</v>
      </c>
      <c r="C2018" s="1" t="s">
        <v>209</v>
      </c>
      <c r="D2018" s="2">
        <f t="shared" si="118"/>
        <v>2014</v>
      </c>
      <c r="E2018" s="2">
        <f t="shared" si="119"/>
        <v>4</v>
      </c>
      <c r="F2018" s="3" t="s">
        <v>178</v>
      </c>
      <c r="G2018" s="4">
        <v>41752</v>
      </c>
      <c r="H2018" s="1">
        <v>6600935</v>
      </c>
      <c r="I2018" s="1">
        <v>1626764</v>
      </c>
      <c r="J2018" s="1" t="s">
        <v>191</v>
      </c>
      <c r="K2018" s="1" t="s">
        <v>210</v>
      </c>
      <c r="L2018" s="1" t="str">
        <f t="shared" si="120"/>
        <v>Vallentunasjön Va2</v>
      </c>
      <c r="M2018" s="1" t="s">
        <v>184</v>
      </c>
      <c r="N2018" s="1">
        <v>4.5</v>
      </c>
      <c r="O2018" s="1">
        <v>4.5</v>
      </c>
      <c r="Q2018" s="1">
        <v>10.8</v>
      </c>
      <c r="R2018" s="1">
        <v>13.5</v>
      </c>
      <c r="S2018" s="1">
        <v>120</v>
      </c>
    </row>
    <row r="2019" spans="1:51" x14ac:dyDescent="0.3">
      <c r="A2019" s="1">
        <v>29480</v>
      </c>
      <c r="B2019" s="1" t="s">
        <v>232</v>
      </c>
      <c r="C2019" s="1" t="s">
        <v>209</v>
      </c>
      <c r="D2019" s="2">
        <f t="shared" si="118"/>
        <v>2014</v>
      </c>
      <c r="E2019" s="2">
        <f t="shared" si="119"/>
        <v>4</v>
      </c>
      <c r="F2019" s="3" t="s">
        <v>178</v>
      </c>
      <c r="G2019" s="4">
        <v>41752</v>
      </c>
      <c r="J2019" s="1" t="s">
        <v>191</v>
      </c>
      <c r="K2019" s="1" t="s">
        <v>206</v>
      </c>
      <c r="L2019" s="1" t="str">
        <f t="shared" si="120"/>
        <v>Vallentunasjön Blandprov</v>
      </c>
      <c r="M2019" s="1" t="s">
        <v>177</v>
      </c>
      <c r="N2019" s="1">
        <v>4</v>
      </c>
      <c r="O2019" s="1">
        <v>0</v>
      </c>
      <c r="Q2019" s="1">
        <v>10.8</v>
      </c>
      <c r="W2019" s="1">
        <v>6.9687999999999999</v>
      </c>
      <c r="Z2019" s="6">
        <v>0</v>
      </c>
      <c r="AB2019" s="1">
        <v>8.5347899999999992</v>
      </c>
      <c r="AD2019" s="1">
        <v>27.28</v>
      </c>
      <c r="AG2019" s="1">
        <v>16.5</v>
      </c>
      <c r="AK2019" s="1">
        <v>42.9</v>
      </c>
      <c r="AL2019" s="1">
        <v>1158.1400000000001</v>
      </c>
    </row>
    <row r="2020" spans="1:51" x14ac:dyDescent="0.3">
      <c r="A2020" s="1">
        <v>29671</v>
      </c>
      <c r="B2020" s="1" t="s">
        <v>232</v>
      </c>
      <c r="C2020" s="1" t="s">
        <v>209</v>
      </c>
      <c r="D2020" s="2">
        <f t="shared" si="118"/>
        <v>2014</v>
      </c>
      <c r="E2020" s="2">
        <f t="shared" si="119"/>
        <v>5</v>
      </c>
      <c r="F2020" s="3" t="s">
        <v>178</v>
      </c>
      <c r="G2020" s="4">
        <v>41772</v>
      </c>
      <c r="H2020" s="1">
        <v>6600935</v>
      </c>
      <c r="I2020" s="1">
        <v>1626764</v>
      </c>
      <c r="J2020" s="1" t="s">
        <v>191</v>
      </c>
      <c r="K2020" s="1" t="s">
        <v>210</v>
      </c>
      <c r="L2020" s="1" t="str">
        <f t="shared" si="120"/>
        <v>Vallentunasjön Va2</v>
      </c>
      <c r="M2020" s="1" t="s">
        <v>177</v>
      </c>
      <c r="N2020" s="1">
        <v>0.5</v>
      </c>
      <c r="O2020" s="1">
        <v>0.5</v>
      </c>
      <c r="P2020" s="1">
        <v>0.9</v>
      </c>
      <c r="Q2020" s="1">
        <v>10.3</v>
      </c>
      <c r="R2020" s="1">
        <v>10</v>
      </c>
      <c r="S2020" s="1">
        <v>92</v>
      </c>
    </row>
    <row r="2021" spans="1:51" x14ac:dyDescent="0.3">
      <c r="A2021" s="1">
        <v>29672</v>
      </c>
      <c r="B2021" s="1" t="s">
        <v>232</v>
      </c>
      <c r="C2021" s="1" t="s">
        <v>209</v>
      </c>
      <c r="D2021" s="2">
        <f t="shared" si="118"/>
        <v>2014</v>
      </c>
      <c r="E2021" s="2">
        <f t="shared" si="119"/>
        <v>5</v>
      </c>
      <c r="F2021" s="3" t="s">
        <v>178</v>
      </c>
      <c r="G2021" s="4">
        <v>41772</v>
      </c>
      <c r="H2021" s="1">
        <v>6600935</v>
      </c>
      <c r="I2021" s="1">
        <v>1626764</v>
      </c>
      <c r="J2021" s="1" t="s">
        <v>191</v>
      </c>
      <c r="K2021" s="1" t="s">
        <v>210</v>
      </c>
      <c r="L2021" s="1" t="str">
        <f t="shared" si="120"/>
        <v>Vallentunasjön Va2</v>
      </c>
      <c r="M2021" s="1" t="s">
        <v>211</v>
      </c>
      <c r="N2021" s="1">
        <v>1</v>
      </c>
      <c r="O2021" s="1">
        <v>1</v>
      </c>
      <c r="Q2021" s="1">
        <v>10.3</v>
      </c>
      <c r="R2021" s="1">
        <v>10.1</v>
      </c>
      <c r="S2021" s="1">
        <v>93</v>
      </c>
    </row>
    <row r="2022" spans="1:51" x14ac:dyDescent="0.3">
      <c r="A2022" s="1">
        <v>29673</v>
      </c>
      <c r="B2022" s="1" t="s">
        <v>232</v>
      </c>
      <c r="C2022" s="1" t="s">
        <v>209</v>
      </c>
      <c r="D2022" s="2">
        <f t="shared" si="118"/>
        <v>2014</v>
      </c>
      <c r="E2022" s="2">
        <f t="shared" si="119"/>
        <v>5</v>
      </c>
      <c r="F2022" s="3" t="s">
        <v>178</v>
      </c>
      <c r="G2022" s="4">
        <v>41772</v>
      </c>
      <c r="H2022" s="1">
        <v>6600935</v>
      </c>
      <c r="I2022" s="1">
        <v>1626764</v>
      </c>
      <c r="J2022" s="1" t="s">
        <v>191</v>
      </c>
      <c r="K2022" s="1" t="s">
        <v>210</v>
      </c>
      <c r="L2022" s="1" t="str">
        <f t="shared" si="120"/>
        <v>Vallentunasjön Va2</v>
      </c>
      <c r="M2022" s="1" t="s">
        <v>212</v>
      </c>
      <c r="N2022" s="1">
        <v>2</v>
      </c>
      <c r="O2022" s="1">
        <v>2</v>
      </c>
      <c r="Q2022" s="1">
        <v>10.3</v>
      </c>
      <c r="R2022" s="1">
        <v>10.3</v>
      </c>
      <c r="S2022" s="1">
        <v>94</v>
      </c>
    </row>
    <row r="2023" spans="1:51" x14ac:dyDescent="0.3">
      <c r="A2023" s="1">
        <v>29674</v>
      </c>
      <c r="B2023" s="1" t="s">
        <v>232</v>
      </c>
      <c r="C2023" s="1" t="s">
        <v>209</v>
      </c>
      <c r="D2023" s="2">
        <f t="shared" si="118"/>
        <v>2014</v>
      </c>
      <c r="E2023" s="2">
        <f t="shared" si="119"/>
        <v>5</v>
      </c>
      <c r="F2023" s="3" t="s">
        <v>178</v>
      </c>
      <c r="G2023" s="4">
        <v>41772</v>
      </c>
      <c r="H2023" s="1">
        <v>6600935</v>
      </c>
      <c r="I2023" s="1">
        <v>1626764</v>
      </c>
      <c r="J2023" s="1" t="s">
        <v>191</v>
      </c>
      <c r="K2023" s="1" t="s">
        <v>210</v>
      </c>
      <c r="L2023" s="1" t="str">
        <f t="shared" si="120"/>
        <v>Vallentunasjön Va2</v>
      </c>
      <c r="M2023" s="1" t="s">
        <v>213</v>
      </c>
      <c r="N2023" s="1">
        <v>3</v>
      </c>
      <c r="O2023" s="1">
        <v>3</v>
      </c>
      <c r="Q2023" s="1">
        <v>10.3</v>
      </c>
      <c r="R2023" s="1">
        <v>10.4</v>
      </c>
      <c r="S2023" s="1">
        <v>95</v>
      </c>
    </row>
    <row r="2024" spans="1:51" x14ac:dyDescent="0.3">
      <c r="A2024" s="1">
        <v>29675</v>
      </c>
      <c r="B2024" s="1" t="s">
        <v>232</v>
      </c>
      <c r="C2024" s="1" t="s">
        <v>209</v>
      </c>
      <c r="D2024" s="2">
        <f t="shared" si="118"/>
        <v>2014</v>
      </c>
      <c r="E2024" s="2">
        <f t="shared" si="119"/>
        <v>5</v>
      </c>
      <c r="F2024" s="3" t="s">
        <v>178</v>
      </c>
      <c r="G2024" s="4">
        <v>41772</v>
      </c>
      <c r="H2024" s="1">
        <v>6600935</v>
      </c>
      <c r="I2024" s="1">
        <v>1626764</v>
      </c>
      <c r="J2024" s="1" t="s">
        <v>191</v>
      </c>
      <c r="K2024" s="1" t="s">
        <v>210</v>
      </c>
      <c r="L2024" s="1" t="str">
        <f t="shared" si="120"/>
        <v>Vallentunasjön Va2</v>
      </c>
      <c r="M2024" s="1" t="s">
        <v>214</v>
      </c>
      <c r="N2024" s="1">
        <v>4</v>
      </c>
      <c r="O2024" s="1">
        <v>4</v>
      </c>
      <c r="Q2024" s="1">
        <v>10.3</v>
      </c>
      <c r="R2024" s="1">
        <v>10.4</v>
      </c>
      <c r="S2024" s="1">
        <v>95</v>
      </c>
    </row>
    <row r="2025" spans="1:51" x14ac:dyDescent="0.3">
      <c r="A2025" s="1">
        <v>29676</v>
      </c>
      <c r="B2025" s="1" t="s">
        <v>232</v>
      </c>
      <c r="C2025" s="1" t="s">
        <v>209</v>
      </c>
      <c r="D2025" s="2">
        <f t="shared" si="118"/>
        <v>2014</v>
      </c>
      <c r="E2025" s="2">
        <f t="shared" si="119"/>
        <v>5</v>
      </c>
      <c r="F2025" s="3" t="s">
        <v>178</v>
      </c>
      <c r="G2025" s="4">
        <v>41772</v>
      </c>
      <c r="H2025" s="1">
        <v>6600935</v>
      </c>
      <c r="I2025" s="1">
        <v>1626764</v>
      </c>
      <c r="J2025" s="1" t="s">
        <v>191</v>
      </c>
      <c r="K2025" s="1" t="s">
        <v>210</v>
      </c>
      <c r="L2025" s="1" t="str">
        <f t="shared" si="120"/>
        <v>Vallentunasjön Va2</v>
      </c>
      <c r="M2025" s="1" t="s">
        <v>184</v>
      </c>
      <c r="N2025" s="1">
        <v>4.5</v>
      </c>
      <c r="O2025" s="1">
        <v>4.5</v>
      </c>
      <c r="Q2025" s="1">
        <v>10.199999999999999</v>
      </c>
      <c r="R2025" s="1">
        <v>10.4</v>
      </c>
      <c r="S2025" s="1">
        <v>95</v>
      </c>
    </row>
    <row r="2026" spans="1:51" x14ac:dyDescent="0.3">
      <c r="A2026" s="1">
        <v>29677</v>
      </c>
      <c r="B2026" s="1" t="s">
        <v>232</v>
      </c>
      <c r="C2026" s="1" t="s">
        <v>209</v>
      </c>
      <c r="D2026" s="2">
        <f t="shared" si="118"/>
        <v>2014</v>
      </c>
      <c r="E2026" s="2">
        <f t="shared" si="119"/>
        <v>5</v>
      </c>
      <c r="F2026" s="3" t="s">
        <v>178</v>
      </c>
      <c r="G2026" s="4">
        <v>41772</v>
      </c>
      <c r="J2026" s="1" t="s">
        <v>191</v>
      </c>
      <c r="K2026" s="1" t="s">
        <v>206</v>
      </c>
      <c r="L2026" s="1" t="str">
        <f t="shared" si="120"/>
        <v>Vallentunasjön Blandprov</v>
      </c>
      <c r="M2026" s="1" t="s">
        <v>177</v>
      </c>
      <c r="N2026" s="1">
        <v>4.5</v>
      </c>
      <c r="O2026" s="1">
        <v>0</v>
      </c>
      <c r="W2026" s="1">
        <v>9.1668000000000003</v>
      </c>
      <c r="Z2026" s="1">
        <v>8.11</v>
      </c>
      <c r="AB2026" s="1">
        <v>23.001899999999999</v>
      </c>
      <c r="AD2026" s="1">
        <v>4.3499999999999996</v>
      </c>
      <c r="AG2026" s="1">
        <v>14.5</v>
      </c>
      <c r="AK2026" s="1">
        <v>52.23</v>
      </c>
      <c r="AL2026" s="1">
        <v>1172.96</v>
      </c>
    </row>
    <row r="2027" spans="1:51" x14ac:dyDescent="0.3">
      <c r="D2027" s="2">
        <f t="shared" si="118"/>
        <v>2014</v>
      </c>
      <c r="E2027" s="2">
        <f t="shared" si="119"/>
        <v>5</v>
      </c>
      <c r="F2027" s="3" t="s">
        <v>178</v>
      </c>
      <c r="G2027" s="4">
        <v>41778</v>
      </c>
      <c r="H2027" s="1">
        <v>6606238</v>
      </c>
      <c r="I2027" s="1">
        <v>661152</v>
      </c>
      <c r="J2027" s="5" t="s">
        <v>176</v>
      </c>
      <c r="K2027" s="1"/>
      <c r="L2027" s="1" t="str">
        <f t="shared" si="120"/>
        <v xml:space="preserve">Oxundaån </v>
      </c>
      <c r="M2027" s="1" t="s">
        <v>177</v>
      </c>
      <c r="N2027" s="1">
        <v>0.5</v>
      </c>
      <c r="O2027" s="1">
        <v>0.5</v>
      </c>
      <c r="Q2027" s="1">
        <v>14.9</v>
      </c>
      <c r="T2027" s="1">
        <v>46.5</v>
      </c>
      <c r="V2027" s="1">
        <v>2.4390000000000001</v>
      </c>
      <c r="W2027" s="1">
        <v>44</v>
      </c>
      <c r="X2027" s="1">
        <f>W2027 * (1/((10^((0.0901821 + (2729.92 /(273.15 + Q2027)))-AE2027)+1)))</f>
        <v>1.8104209160254319</v>
      </c>
      <c r="Y2027" s="1">
        <v>4.5999999999999999E-2</v>
      </c>
      <c r="Z2027" s="1">
        <v>5</v>
      </c>
      <c r="AA2027" s="1">
        <v>5.5</v>
      </c>
      <c r="AD2027" s="1">
        <v>81</v>
      </c>
      <c r="AE2027" s="1">
        <v>8.1999999999999993</v>
      </c>
      <c r="AI2027" s="1">
        <v>11.4</v>
      </c>
      <c r="AK2027" s="1">
        <v>34.9</v>
      </c>
      <c r="AL2027" s="1">
        <v>840</v>
      </c>
      <c r="AR2027" s="1">
        <v>53.6</v>
      </c>
      <c r="AT2027" s="1">
        <v>5.2003000000000004</v>
      </c>
      <c r="AU2027" s="1">
        <v>8.8692999999999991</v>
      </c>
      <c r="AV2027" s="1">
        <v>38.569600000000008</v>
      </c>
      <c r="AW2027" s="1">
        <v>27.069199999999999</v>
      </c>
      <c r="AX2027" s="1">
        <v>51.701799999999999</v>
      </c>
      <c r="AY2027" s="1">
        <v>0.56000000000000005</v>
      </c>
    </row>
    <row r="2028" spans="1:51" x14ac:dyDescent="0.3">
      <c r="A2028" s="1">
        <v>29953</v>
      </c>
      <c r="B2028" s="1" t="s">
        <v>232</v>
      </c>
      <c r="C2028" s="1" t="s">
        <v>209</v>
      </c>
      <c r="D2028" s="2">
        <f t="shared" si="118"/>
        <v>2014</v>
      </c>
      <c r="E2028" s="2">
        <f t="shared" si="119"/>
        <v>5</v>
      </c>
      <c r="F2028" s="3" t="s">
        <v>178</v>
      </c>
      <c r="G2028" s="4">
        <v>41785</v>
      </c>
      <c r="H2028" s="1">
        <v>6600935</v>
      </c>
      <c r="I2028" s="1">
        <v>1626764</v>
      </c>
      <c r="J2028" s="1" t="s">
        <v>191</v>
      </c>
      <c r="K2028" s="1" t="s">
        <v>210</v>
      </c>
      <c r="L2028" s="1" t="str">
        <f t="shared" si="120"/>
        <v>Vallentunasjön Va2</v>
      </c>
      <c r="M2028" s="1" t="s">
        <v>177</v>
      </c>
      <c r="N2028" s="1">
        <v>0.5</v>
      </c>
      <c r="O2028" s="1">
        <v>0.5</v>
      </c>
      <c r="P2028" s="1">
        <v>0.6</v>
      </c>
      <c r="Q2028" s="1">
        <v>20.9</v>
      </c>
      <c r="R2028" s="1">
        <v>8.1999999999999993</v>
      </c>
      <c r="S2028" s="1">
        <v>91</v>
      </c>
    </row>
    <row r="2029" spans="1:51" x14ac:dyDescent="0.3">
      <c r="A2029" s="1">
        <v>29954</v>
      </c>
      <c r="B2029" s="1" t="s">
        <v>232</v>
      </c>
      <c r="C2029" s="1" t="s">
        <v>209</v>
      </c>
      <c r="D2029" s="2">
        <f t="shared" si="118"/>
        <v>2014</v>
      </c>
      <c r="E2029" s="2">
        <f t="shared" si="119"/>
        <v>5</v>
      </c>
      <c r="F2029" s="3" t="s">
        <v>178</v>
      </c>
      <c r="G2029" s="4">
        <v>41785</v>
      </c>
      <c r="H2029" s="1">
        <v>6600935</v>
      </c>
      <c r="I2029" s="1">
        <v>1626764</v>
      </c>
      <c r="J2029" s="1" t="s">
        <v>191</v>
      </c>
      <c r="K2029" s="1" t="s">
        <v>210</v>
      </c>
      <c r="L2029" s="1" t="str">
        <f t="shared" si="120"/>
        <v>Vallentunasjön Va2</v>
      </c>
      <c r="M2029" s="1" t="s">
        <v>211</v>
      </c>
      <c r="N2029" s="1">
        <v>1</v>
      </c>
      <c r="O2029" s="1">
        <v>1</v>
      </c>
      <c r="Q2029" s="1">
        <v>20.5</v>
      </c>
      <c r="R2029" s="1">
        <v>8.1</v>
      </c>
      <c r="S2029" s="1">
        <v>89</v>
      </c>
    </row>
    <row r="2030" spans="1:51" x14ac:dyDescent="0.3">
      <c r="A2030" s="1">
        <v>29955</v>
      </c>
      <c r="B2030" s="1" t="s">
        <v>232</v>
      </c>
      <c r="C2030" s="1" t="s">
        <v>209</v>
      </c>
      <c r="D2030" s="2">
        <f t="shared" si="118"/>
        <v>2014</v>
      </c>
      <c r="E2030" s="2">
        <f t="shared" si="119"/>
        <v>5</v>
      </c>
      <c r="F2030" s="3" t="s">
        <v>178</v>
      </c>
      <c r="G2030" s="4">
        <v>41785</v>
      </c>
      <c r="H2030" s="1">
        <v>6600935</v>
      </c>
      <c r="I2030" s="1">
        <v>1626764</v>
      </c>
      <c r="J2030" s="1" t="s">
        <v>191</v>
      </c>
      <c r="K2030" s="1" t="s">
        <v>210</v>
      </c>
      <c r="L2030" s="1" t="str">
        <f t="shared" si="120"/>
        <v>Vallentunasjön Va2</v>
      </c>
      <c r="M2030" s="1" t="s">
        <v>212</v>
      </c>
      <c r="N2030" s="1">
        <v>2</v>
      </c>
      <c r="O2030" s="1">
        <v>2</v>
      </c>
      <c r="Q2030" s="1">
        <v>20.2</v>
      </c>
      <c r="R2030" s="1">
        <v>7.9</v>
      </c>
      <c r="S2030" s="1">
        <v>87</v>
      </c>
    </row>
    <row r="2031" spans="1:51" x14ac:dyDescent="0.3">
      <c r="A2031" s="1">
        <v>29956</v>
      </c>
      <c r="B2031" s="1" t="s">
        <v>232</v>
      </c>
      <c r="C2031" s="1" t="s">
        <v>209</v>
      </c>
      <c r="D2031" s="2">
        <f t="shared" si="118"/>
        <v>2014</v>
      </c>
      <c r="E2031" s="2">
        <f t="shared" si="119"/>
        <v>5</v>
      </c>
      <c r="F2031" s="3" t="s">
        <v>178</v>
      </c>
      <c r="G2031" s="4">
        <v>41785</v>
      </c>
      <c r="H2031" s="1">
        <v>6600935</v>
      </c>
      <c r="I2031" s="1">
        <v>1626764</v>
      </c>
      <c r="J2031" s="1" t="s">
        <v>191</v>
      </c>
      <c r="K2031" s="1" t="s">
        <v>210</v>
      </c>
      <c r="L2031" s="1" t="str">
        <f t="shared" si="120"/>
        <v>Vallentunasjön Va2</v>
      </c>
      <c r="M2031" s="1" t="s">
        <v>213</v>
      </c>
      <c r="N2031" s="1">
        <v>3</v>
      </c>
      <c r="O2031" s="1">
        <v>3</v>
      </c>
      <c r="Q2031" s="1">
        <v>20.2</v>
      </c>
      <c r="R2031" s="1">
        <v>7.8</v>
      </c>
      <c r="S2031" s="1">
        <v>85</v>
      </c>
    </row>
    <row r="2032" spans="1:51" x14ac:dyDescent="0.3">
      <c r="A2032" s="1">
        <v>29957</v>
      </c>
      <c r="B2032" s="1" t="s">
        <v>232</v>
      </c>
      <c r="C2032" s="1" t="s">
        <v>209</v>
      </c>
      <c r="D2032" s="2">
        <f t="shared" si="118"/>
        <v>2014</v>
      </c>
      <c r="E2032" s="2">
        <f t="shared" si="119"/>
        <v>5</v>
      </c>
      <c r="F2032" s="3" t="s">
        <v>178</v>
      </c>
      <c r="G2032" s="4">
        <v>41785</v>
      </c>
      <c r="H2032" s="1">
        <v>6600935</v>
      </c>
      <c r="I2032" s="1">
        <v>1626764</v>
      </c>
      <c r="J2032" s="1" t="s">
        <v>191</v>
      </c>
      <c r="K2032" s="1" t="s">
        <v>210</v>
      </c>
      <c r="L2032" s="1" t="str">
        <f t="shared" si="120"/>
        <v>Vallentunasjön Va2</v>
      </c>
      <c r="M2032" s="1" t="s">
        <v>214</v>
      </c>
      <c r="N2032" s="1">
        <v>4</v>
      </c>
      <c r="O2032" s="1">
        <v>4</v>
      </c>
      <c r="Q2032" s="1">
        <v>19.899999999999999</v>
      </c>
      <c r="R2032" s="1">
        <v>7</v>
      </c>
      <c r="S2032" s="1">
        <v>76</v>
      </c>
    </row>
    <row r="2033" spans="1:38" x14ac:dyDescent="0.3">
      <c r="A2033" s="1">
        <v>29958</v>
      </c>
      <c r="B2033" s="1" t="s">
        <v>232</v>
      </c>
      <c r="C2033" s="1" t="s">
        <v>209</v>
      </c>
      <c r="D2033" s="2">
        <f t="shared" si="118"/>
        <v>2014</v>
      </c>
      <c r="E2033" s="2">
        <f t="shared" si="119"/>
        <v>5</v>
      </c>
      <c r="F2033" s="3" t="s">
        <v>178</v>
      </c>
      <c r="G2033" s="4">
        <v>41785</v>
      </c>
      <c r="H2033" s="1">
        <v>6600935</v>
      </c>
      <c r="I2033" s="1">
        <v>1626764</v>
      </c>
      <c r="J2033" s="1" t="s">
        <v>191</v>
      </c>
      <c r="K2033" s="1" t="s">
        <v>210</v>
      </c>
      <c r="L2033" s="1" t="str">
        <f t="shared" si="120"/>
        <v>Vallentunasjön Va2</v>
      </c>
      <c r="M2033" s="1" t="s">
        <v>184</v>
      </c>
      <c r="N2033" s="1">
        <v>4.5</v>
      </c>
      <c r="O2033" s="1">
        <v>4.5</v>
      </c>
      <c r="Q2033" s="1">
        <v>19.899999999999999</v>
      </c>
      <c r="R2033" s="1">
        <v>7.2</v>
      </c>
      <c r="S2033" s="1">
        <v>78</v>
      </c>
    </row>
    <row r="2034" spans="1:38" x14ac:dyDescent="0.3">
      <c r="A2034" s="1">
        <v>29959</v>
      </c>
      <c r="B2034" s="1" t="s">
        <v>232</v>
      </c>
      <c r="C2034" s="1" t="s">
        <v>209</v>
      </c>
      <c r="D2034" s="2">
        <f t="shared" si="118"/>
        <v>2014</v>
      </c>
      <c r="E2034" s="2">
        <f t="shared" si="119"/>
        <v>5</v>
      </c>
      <c r="F2034" s="3" t="s">
        <v>178</v>
      </c>
      <c r="G2034" s="4">
        <v>41785</v>
      </c>
      <c r="J2034" s="1" t="s">
        <v>191</v>
      </c>
      <c r="K2034" s="1" t="s">
        <v>206</v>
      </c>
      <c r="L2034" s="1" t="str">
        <f t="shared" si="120"/>
        <v>Vallentunasjön Blandprov</v>
      </c>
      <c r="M2034" s="1" t="s">
        <v>177</v>
      </c>
      <c r="N2034" s="1">
        <v>4</v>
      </c>
      <c r="O2034" s="1">
        <v>0</v>
      </c>
      <c r="W2034" s="1">
        <v>74.067099999999996</v>
      </c>
      <c r="Z2034" s="1">
        <v>0.33</v>
      </c>
      <c r="AB2034" s="1">
        <v>18.904679999999999</v>
      </c>
      <c r="AD2034" s="1">
        <v>1.03</v>
      </c>
      <c r="AG2034" s="1">
        <v>15.6</v>
      </c>
      <c r="AK2034" s="1">
        <v>69.260000000000005</v>
      </c>
      <c r="AL2034" s="1">
        <v>1226.69</v>
      </c>
    </row>
    <row r="2035" spans="1:38" x14ac:dyDescent="0.3">
      <c r="A2035" s="1">
        <v>30089</v>
      </c>
      <c r="B2035" s="1" t="s">
        <v>232</v>
      </c>
      <c r="C2035" s="1" t="s">
        <v>209</v>
      </c>
      <c r="D2035" s="2">
        <f t="shared" si="118"/>
        <v>2014</v>
      </c>
      <c r="E2035" s="2">
        <f t="shared" si="119"/>
        <v>6</v>
      </c>
      <c r="F2035" s="2"/>
      <c r="G2035" s="4">
        <v>41793</v>
      </c>
      <c r="H2035" s="1">
        <v>6600935</v>
      </c>
      <c r="I2035" s="1">
        <v>1626764</v>
      </c>
      <c r="J2035" s="1" t="s">
        <v>191</v>
      </c>
      <c r="K2035" s="1" t="s">
        <v>210</v>
      </c>
      <c r="L2035" s="1" t="str">
        <f t="shared" si="120"/>
        <v>Vallentunasjön Va2</v>
      </c>
      <c r="M2035" s="1" t="s">
        <v>177</v>
      </c>
      <c r="N2035" s="1">
        <v>0.5</v>
      </c>
      <c r="O2035" s="1">
        <v>0.5</v>
      </c>
      <c r="P2035" s="1">
        <v>0.8</v>
      </c>
      <c r="Q2035" s="1">
        <v>15.2</v>
      </c>
      <c r="R2035" s="1">
        <v>9.4</v>
      </c>
      <c r="S2035" s="1">
        <v>93</v>
      </c>
    </row>
    <row r="2036" spans="1:38" x14ac:dyDescent="0.3">
      <c r="A2036" s="1">
        <v>30090</v>
      </c>
      <c r="B2036" s="1" t="s">
        <v>232</v>
      </c>
      <c r="C2036" s="1" t="s">
        <v>209</v>
      </c>
      <c r="D2036" s="2">
        <f t="shared" si="118"/>
        <v>2014</v>
      </c>
      <c r="E2036" s="2">
        <f t="shared" si="119"/>
        <v>6</v>
      </c>
      <c r="F2036" s="2"/>
      <c r="G2036" s="4">
        <v>41793</v>
      </c>
      <c r="H2036" s="1">
        <v>6600935</v>
      </c>
      <c r="I2036" s="1">
        <v>1626764</v>
      </c>
      <c r="J2036" s="1" t="s">
        <v>191</v>
      </c>
      <c r="K2036" s="1" t="s">
        <v>210</v>
      </c>
      <c r="L2036" s="1" t="str">
        <f t="shared" si="120"/>
        <v>Vallentunasjön Va2</v>
      </c>
      <c r="M2036" s="1" t="s">
        <v>211</v>
      </c>
      <c r="N2036" s="1">
        <v>1</v>
      </c>
      <c r="O2036" s="1">
        <v>1</v>
      </c>
      <c r="Q2036" s="1">
        <v>15.2</v>
      </c>
      <c r="R2036" s="1">
        <v>9.4</v>
      </c>
      <c r="S2036" s="1">
        <v>93</v>
      </c>
    </row>
    <row r="2037" spans="1:38" x14ac:dyDescent="0.3">
      <c r="A2037" s="1">
        <v>30091</v>
      </c>
      <c r="B2037" s="1" t="s">
        <v>232</v>
      </c>
      <c r="C2037" s="1" t="s">
        <v>209</v>
      </c>
      <c r="D2037" s="2">
        <f t="shared" si="118"/>
        <v>2014</v>
      </c>
      <c r="E2037" s="2">
        <f t="shared" si="119"/>
        <v>6</v>
      </c>
      <c r="F2037" s="2"/>
      <c r="G2037" s="4">
        <v>41793</v>
      </c>
      <c r="H2037" s="1">
        <v>6600935</v>
      </c>
      <c r="I2037" s="1">
        <v>1626764</v>
      </c>
      <c r="J2037" s="1" t="s">
        <v>191</v>
      </c>
      <c r="K2037" s="1" t="s">
        <v>210</v>
      </c>
      <c r="L2037" s="1" t="str">
        <f t="shared" si="120"/>
        <v>Vallentunasjön Va2</v>
      </c>
      <c r="M2037" s="1" t="s">
        <v>212</v>
      </c>
      <c r="N2037" s="1">
        <v>2</v>
      </c>
      <c r="O2037" s="1">
        <v>2</v>
      </c>
      <c r="Q2037" s="1">
        <v>15.2</v>
      </c>
      <c r="R2037" s="1">
        <v>9.3000000000000007</v>
      </c>
      <c r="S2037" s="1">
        <v>92</v>
      </c>
    </row>
    <row r="2038" spans="1:38" x14ac:dyDescent="0.3">
      <c r="A2038" s="1">
        <v>30092</v>
      </c>
      <c r="B2038" s="1" t="s">
        <v>232</v>
      </c>
      <c r="C2038" s="1" t="s">
        <v>209</v>
      </c>
      <c r="D2038" s="2">
        <f t="shared" si="118"/>
        <v>2014</v>
      </c>
      <c r="E2038" s="2">
        <f t="shared" si="119"/>
        <v>6</v>
      </c>
      <c r="F2038" s="2"/>
      <c r="G2038" s="4">
        <v>41793</v>
      </c>
      <c r="H2038" s="1">
        <v>6600935</v>
      </c>
      <c r="I2038" s="1">
        <v>1626764</v>
      </c>
      <c r="J2038" s="1" t="s">
        <v>191</v>
      </c>
      <c r="K2038" s="1" t="s">
        <v>210</v>
      </c>
      <c r="L2038" s="1" t="str">
        <f t="shared" si="120"/>
        <v>Vallentunasjön Va2</v>
      </c>
      <c r="M2038" s="1" t="s">
        <v>213</v>
      </c>
      <c r="N2038" s="1">
        <v>3</v>
      </c>
      <c r="O2038" s="1">
        <v>3</v>
      </c>
      <c r="Q2038" s="1">
        <v>15.2</v>
      </c>
      <c r="R2038" s="1">
        <v>9.3000000000000007</v>
      </c>
      <c r="S2038" s="1">
        <v>92</v>
      </c>
    </row>
    <row r="2039" spans="1:38" x14ac:dyDescent="0.3">
      <c r="A2039" s="1">
        <v>30093</v>
      </c>
      <c r="B2039" s="1" t="s">
        <v>232</v>
      </c>
      <c r="C2039" s="1" t="s">
        <v>209</v>
      </c>
      <c r="D2039" s="2">
        <f t="shared" si="118"/>
        <v>2014</v>
      </c>
      <c r="E2039" s="2">
        <f t="shared" si="119"/>
        <v>6</v>
      </c>
      <c r="F2039" s="2"/>
      <c r="G2039" s="4">
        <v>41793</v>
      </c>
      <c r="H2039" s="1">
        <v>6600935</v>
      </c>
      <c r="I2039" s="1">
        <v>1626764</v>
      </c>
      <c r="J2039" s="1" t="s">
        <v>191</v>
      </c>
      <c r="K2039" s="1" t="s">
        <v>210</v>
      </c>
      <c r="L2039" s="1" t="str">
        <f t="shared" si="120"/>
        <v>Vallentunasjön Va2</v>
      </c>
      <c r="M2039" s="1" t="s">
        <v>214</v>
      </c>
      <c r="N2039" s="1">
        <v>4</v>
      </c>
      <c r="O2039" s="1">
        <v>4</v>
      </c>
      <c r="Q2039" s="1">
        <v>15.2</v>
      </c>
      <c r="R2039" s="1">
        <v>9.3000000000000007</v>
      </c>
      <c r="S2039" s="1">
        <v>92</v>
      </c>
    </row>
    <row r="2040" spans="1:38" x14ac:dyDescent="0.3">
      <c r="A2040" s="1">
        <v>30094</v>
      </c>
      <c r="B2040" s="1" t="s">
        <v>232</v>
      </c>
      <c r="C2040" s="1" t="s">
        <v>209</v>
      </c>
      <c r="D2040" s="2">
        <f t="shared" si="118"/>
        <v>2014</v>
      </c>
      <c r="E2040" s="2">
        <f t="shared" si="119"/>
        <v>6</v>
      </c>
      <c r="F2040" s="2"/>
      <c r="G2040" s="4">
        <v>41793</v>
      </c>
      <c r="H2040" s="1">
        <v>6600935</v>
      </c>
      <c r="I2040" s="1">
        <v>1626764</v>
      </c>
      <c r="J2040" s="1" t="s">
        <v>191</v>
      </c>
      <c r="K2040" s="1" t="s">
        <v>210</v>
      </c>
      <c r="L2040" s="1" t="str">
        <f t="shared" si="120"/>
        <v>Vallentunasjön Va2</v>
      </c>
      <c r="M2040" s="1" t="s">
        <v>184</v>
      </c>
      <c r="N2040" s="1">
        <v>4.5</v>
      </c>
      <c r="O2040" s="1">
        <v>4.5</v>
      </c>
      <c r="Q2040" s="1">
        <v>15.1</v>
      </c>
      <c r="R2040" s="1">
        <v>9.3000000000000007</v>
      </c>
      <c r="S2040" s="1">
        <v>92</v>
      </c>
    </row>
    <row r="2041" spans="1:38" x14ac:dyDescent="0.3">
      <c r="A2041" s="1">
        <v>30095</v>
      </c>
      <c r="B2041" s="1" t="s">
        <v>232</v>
      </c>
      <c r="C2041" s="1" t="s">
        <v>209</v>
      </c>
      <c r="D2041" s="2">
        <f t="shared" si="118"/>
        <v>2014</v>
      </c>
      <c r="E2041" s="2">
        <f t="shared" si="119"/>
        <v>6</v>
      </c>
      <c r="F2041" s="2"/>
      <c r="G2041" s="4">
        <v>41793</v>
      </c>
      <c r="J2041" s="1" t="s">
        <v>191</v>
      </c>
      <c r="K2041" s="1" t="s">
        <v>206</v>
      </c>
      <c r="L2041" s="1" t="str">
        <f t="shared" si="120"/>
        <v>Vallentunasjön Blandprov</v>
      </c>
      <c r="M2041" s="1" t="s">
        <v>177</v>
      </c>
      <c r="N2041" s="1">
        <v>4</v>
      </c>
      <c r="O2041" s="1">
        <v>0</v>
      </c>
      <c r="W2041" s="1">
        <v>35.693600000000004</v>
      </c>
      <c r="Z2041" s="1">
        <v>3.48</v>
      </c>
      <c r="AB2041" s="1">
        <v>23.795850000000002</v>
      </c>
      <c r="AD2041" s="1">
        <v>0.57999999999999996</v>
      </c>
      <c r="AG2041" s="1">
        <v>17.600000000000001</v>
      </c>
      <c r="AK2041" s="1">
        <v>73.38</v>
      </c>
      <c r="AL2041" s="1">
        <v>1359.15</v>
      </c>
    </row>
    <row r="2042" spans="1:38" x14ac:dyDescent="0.3">
      <c r="A2042" s="1">
        <v>30171</v>
      </c>
      <c r="B2042" s="1" t="s">
        <v>232</v>
      </c>
      <c r="C2042" s="1" t="s">
        <v>209</v>
      </c>
      <c r="D2042" s="2">
        <f t="shared" si="118"/>
        <v>2014</v>
      </c>
      <c r="E2042" s="2">
        <f t="shared" si="119"/>
        <v>6</v>
      </c>
      <c r="F2042" s="2"/>
      <c r="G2042" s="4">
        <v>41799</v>
      </c>
      <c r="H2042" s="1">
        <v>6600935</v>
      </c>
      <c r="I2042" s="1">
        <v>1626764</v>
      </c>
      <c r="J2042" s="1" t="s">
        <v>191</v>
      </c>
      <c r="K2042" s="1" t="s">
        <v>210</v>
      </c>
      <c r="L2042" s="1" t="str">
        <f t="shared" si="120"/>
        <v>Vallentunasjön Va2</v>
      </c>
      <c r="M2042" s="1" t="s">
        <v>177</v>
      </c>
      <c r="N2042" s="1">
        <v>0.5</v>
      </c>
      <c r="O2042" s="1">
        <v>0.5</v>
      </c>
      <c r="P2042" s="1">
        <v>0.8</v>
      </c>
      <c r="Q2042" s="1">
        <v>18.899999999999999</v>
      </c>
      <c r="R2042" s="1">
        <v>11.9</v>
      </c>
      <c r="S2042" s="1">
        <v>127</v>
      </c>
    </row>
    <row r="2043" spans="1:38" x14ac:dyDescent="0.3">
      <c r="A2043" s="1">
        <v>30172</v>
      </c>
      <c r="B2043" s="1" t="s">
        <v>232</v>
      </c>
      <c r="C2043" s="1" t="s">
        <v>209</v>
      </c>
      <c r="D2043" s="2">
        <f t="shared" si="118"/>
        <v>2014</v>
      </c>
      <c r="E2043" s="2">
        <f t="shared" si="119"/>
        <v>6</v>
      </c>
      <c r="F2043" s="2"/>
      <c r="G2043" s="4">
        <v>41799</v>
      </c>
      <c r="H2043" s="1">
        <v>6600935</v>
      </c>
      <c r="I2043" s="1">
        <v>1626764</v>
      </c>
      <c r="J2043" s="1" t="s">
        <v>191</v>
      </c>
      <c r="K2043" s="1" t="s">
        <v>210</v>
      </c>
      <c r="L2043" s="1" t="str">
        <f t="shared" si="120"/>
        <v>Vallentunasjön Va2</v>
      </c>
      <c r="M2043" s="1" t="s">
        <v>211</v>
      </c>
      <c r="N2043" s="1">
        <v>1</v>
      </c>
      <c r="O2043" s="1">
        <v>1</v>
      </c>
      <c r="Q2043" s="1">
        <v>18.8</v>
      </c>
      <c r="R2043" s="1">
        <v>11.8</v>
      </c>
      <c r="S2043" s="1">
        <v>126</v>
      </c>
    </row>
    <row r="2044" spans="1:38" x14ac:dyDescent="0.3">
      <c r="A2044" s="1">
        <v>30173</v>
      </c>
      <c r="B2044" s="1" t="s">
        <v>232</v>
      </c>
      <c r="C2044" s="1" t="s">
        <v>209</v>
      </c>
      <c r="D2044" s="2">
        <f t="shared" si="118"/>
        <v>2014</v>
      </c>
      <c r="E2044" s="2">
        <f t="shared" si="119"/>
        <v>6</v>
      </c>
      <c r="F2044" s="2"/>
      <c r="G2044" s="4">
        <v>41799</v>
      </c>
      <c r="H2044" s="1">
        <v>6600935</v>
      </c>
      <c r="I2044" s="1">
        <v>1626764</v>
      </c>
      <c r="J2044" s="1" t="s">
        <v>191</v>
      </c>
      <c r="K2044" s="1" t="s">
        <v>210</v>
      </c>
      <c r="L2044" s="1" t="str">
        <f t="shared" si="120"/>
        <v>Vallentunasjön Va2</v>
      </c>
      <c r="M2044" s="1" t="s">
        <v>212</v>
      </c>
      <c r="N2044" s="1">
        <v>2</v>
      </c>
      <c r="O2044" s="1">
        <v>2</v>
      </c>
      <c r="Q2044" s="1">
        <v>18.7</v>
      </c>
      <c r="R2044" s="1">
        <v>11.8</v>
      </c>
      <c r="S2044" s="1">
        <v>125</v>
      </c>
    </row>
    <row r="2045" spans="1:38" x14ac:dyDescent="0.3">
      <c r="A2045" s="1">
        <v>30174</v>
      </c>
      <c r="B2045" s="1" t="s">
        <v>232</v>
      </c>
      <c r="C2045" s="1" t="s">
        <v>209</v>
      </c>
      <c r="D2045" s="2">
        <f t="shared" si="118"/>
        <v>2014</v>
      </c>
      <c r="E2045" s="2">
        <f t="shared" si="119"/>
        <v>6</v>
      </c>
      <c r="F2045" s="2"/>
      <c r="G2045" s="4">
        <v>41799</v>
      </c>
      <c r="H2045" s="1">
        <v>6600935</v>
      </c>
      <c r="I2045" s="1">
        <v>1626764</v>
      </c>
      <c r="J2045" s="1" t="s">
        <v>191</v>
      </c>
      <c r="K2045" s="1" t="s">
        <v>210</v>
      </c>
      <c r="L2045" s="1" t="str">
        <f t="shared" si="120"/>
        <v>Vallentunasjön Va2</v>
      </c>
      <c r="M2045" s="1" t="s">
        <v>213</v>
      </c>
      <c r="N2045" s="1">
        <v>3</v>
      </c>
      <c r="O2045" s="1">
        <v>3</v>
      </c>
      <c r="Q2045" s="1">
        <v>18.5</v>
      </c>
      <c r="R2045" s="1">
        <v>10.7</v>
      </c>
      <c r="S2045" s="1">
        <v>114</v>
      </c>
    </row>
    <row r="2046" spans="1:38" x14ac:dyDescent="0.3">
      <c r="A2046" s="1">
        <v>30175</v>
      </c>
      <c r="B2046" s="1" t="s">
        <v>232</v>
      </c>
      <c r="C2046" s="1" t="s">
        <v>209</v>
      </c>
      <c r="D2046" s="2">
        <f t="shared" si="118"/>
        <v>2014</v>
      </c>
      <c r="E2046" s="2">
        <f t="shared" si="119"/>
        <v>6</v>
      </c>
      <c r="F2046" s="2"/>
      <c r="G2046" s="4">
        <v>41799</v>
      </c>
      <c r="H2046" s="1">
        <v>6600935</v>
      </c>
      <c r="I2046" s="1">
        <v>1626764</v>
      </c>
      <c r="J2046" s="1" t="s">
        <v>191</v>
      </c>
      <c r="K2046" s="1" t="s">
        <v>210</v>
      </c>
      <c r="L2046" s="1" t="str">
        <f t="shared" si="120"/>
        <v>Vallentunasjön Va2</v>
      </c>
      <c r="M2046" s="1" t="s">
        <v>214</v>
      </c>
      <c r="N2046" s="1">
        <v>4</v>
      </c>
      <c r="O2046" s="1">
        <v>4</v>
      </c>
      <c r="Q2046" s="1">
        <v>16.7</v>
      </c>
      <c r="R2046" s="1">
        <v>3.3</v>
      </c>
      <c r="S2046" s="1">
        <v>34</v>
      </c>
    </row>
    <row r="2047" spans="1:38" x14ac:dyDescent="0.3">
      <c r="A2047" s="1">
        <v>30176</v>
      </c>
      <c r="B2047" s="1" t="s">
        <v>232</v>
      </c>
      <c r="C2047" s="1" t="s">
        <v>209</v>
      </c>
      <c r="D2047" s="2">
        <f t="shared" si="118"/>
        <v>2014</v>
      </c>
      <c r="E2047" s="2">
        <f t="shared" si="119"/>
        <v>6</v>
      </c>
      <c r="F2047" s="2"/>
      <c r="G2047" s="4">
        <v>41799</v>
      </c>
      <c r="H2047" s="1">
        <v>6600935</v>
      </c>
      <c r="I2047" s="1">
        <v>1626764</v>
      </c>
      <c r="J2047" s="1" t="s">
        <v>191</v>
      </c>
      <c r="K2047" s="1" t="s">
        <v>210</v>
      </c>
      <c r="L2047" s="1" t="str">
        <f t="shared" si="120"/>
        <v>Vallentunasjön Va2</v>
      </c>
      <c r="M2047" s="1" t="s">
        <v>184</v>
      </c>
      <c r="N2047" s="1">
        <v>4.5</v>
      </c>
      <c r="O2047" s="1">
        <v>4.5</v>
      </c>
      <c r="Q2047" s="1">
        <v>16.3</v>
      </c>
      <c r="R2047" s="1">
        <v>2.8</v>
      </c>
      <c r="S2047" s="1">
        <v>28</v>
      </c>
    </row>
    <row r="2048" spans="1:38" x14ac:dyDescent="0.3">
      <c r="A2048" s="1">
        <v>30177</v>
      </c>
      <c r="B2048" s="1" t="s">
        <v>232</v>
      </c>
      <c r="C2048" s="1" t="s">
        <v>209</v>
      </c>
      <c r="D2048" s="2">
        <f t="shared" si="118"/>
        <v>2014</v>
      </c>
      <c r="E2048" s="2">
        <f t="shared" si="119"/>
        <v>6</v>
      </c>
      <c r="F2048" s="2"/>
      <c r="G2048" s="4">
        <v>41799</v>
      </c>
      <c r="J2048" s="1" t="s">
        <v>191</v>
      </c>
      <c r="K2048" s="1" t="s">
        <v>206</v>
      </c>
      <c r="L2048" s="1" t="str">
        <f t="shared" si="120"/>
        <v>Vallentunasjön Blandprov</v>
      </c>
      <c r="M2048" s="1" t="s">
        <v>177</v>
      </c>
      <c r="N2048" s="1">
        <v>4</v>
      </c>
      <c r="O2048" s="1">
        <v>0</v>
      </c>
      <c r="W2048" s="1">
        <v>6.3285999999999998</v>
      </c>
      <c r="Z2048" s="1">
        <v>7.45</v>
      </c>
      <c r="AB2048" s="1">
        <v>23.397480000000002</v>
      </c>
      <c r="AD2048" s="1">
        <v>0.83</v>
      </c>
      <c r="AG2048" s="1">
        <v>17</v>
      </c>
      <c r="AK2048" s="1">
        <v>72</v>
      </c>
      <c r="AL2048" s="1">
        <v>1296.1099999999999</v>
      </c>
    </row>
    <row r="2049" spans="1:51" x14ac:dyDescent="0.3">
      <c r="D2049" s="2">
        <f t="shared" si="118"/>
        <v>2014</v>
      </c>
      <c r="E2049" s="2">
        <f t="shared" si="119"/>
        <v>6</v>
      </c>
      <c r="F2049" s="3"/>
      <c r="G2049" s="4">
        <v>41806</v>
      </c>
      <c r="H2049" s="1">
        <v>6606238</v>
      </c>
      <c r="I2049" s="1">
        <v>661152</v>
      </c>
      <c r="J2049" s="5" t="s">
        <v>176</v>
      </c>
      <c r="K2049" s="1"/>
      <c r="L2049" s="1" t="str">
        <f t="shared" si="120"/>
        <v xml:space="preserve">Oxundaån </v>
      </c>
      <c r="M2049" s="1" t="s">
        <v>177</v>
      </c>
      <c r="N2049" s="1">
        <v>0.5</v>
      </c>
      <c r="O2049" s="1">
        <v>0.5</v>
      </c>
      <c r="Q2049" s="1">
        <v>17.600000000000001</v>
      </c>
      <c r="T2049" s="1">
        <v>47.7</v>
      </c>
      <c r="V2049" s="1">
        <v>2.5099999999999998</v>
      </c>
      <c r="W2049" s="1">
        <v>66</v>
      </c>
      <c r="X2049" s="1">
        <f>W2049 * (1/((10^((0.0901821 + (2729.92 /(273.15 + Q2049)))-AE2049)+1)))</f>
        <v>1.5137368160102451</v>
      </c>
      <c r="Y2049" s="1">
        <v>4.4999999999999998E-2</v>
      </c>
      <c r="Z2049" s="1">
        <v>2</v>
      </c>
      <c r="AA2049" s="1">
        <v>2</v>
      </c>
      <c r="AD2049" s="1">
        <v>7</v>
      </c>
      <c r="AE2049" s="1">
        <v>7.85</v>
      </c>
      <c r="AI2049" s="1">
        <v>11.7</v>
      </c>
      <c r="AK2049" s="1">
        <v>33.1</v>
      </c>
      <c r="AL2049" s="1">
        <v>817</v>
      </c>
      <c r="AR2049" s="1">
        <v>54.800000000000004</v>
      </c>
      <c r="AT2049" s="1">
        <v>5.3176000000000005</v>
      </c>
      <c r="AU2049" s="1">
        <v>9.1838999999999995</v>
      </c>
      <c r="AV2049" s="1">
        <v>39.314050000000002</v>
      </c>
      <c r="AW2049" s="1">
        <v>27.757400000000001</v>
      </c>
      <c r="AX2049" s="1">
        <v>52.614749999999994</v>
      </c>
      <c r="AY2049" s="1">
        <v>0.93</v>
      </c>
    </row>
    <row r="2050" spans="1:51" x14ac:dyDescent="0.3">
      <c r="A2050" s="1">
        <v>30814</v>
      </c>
      <c r="B2050" s="1" t="s">
        <v>232</v>
      </c>
      <c r="C2050" s="1" t="s">
        <v>209</v>
      </c>
      <c r="D2050" s="2">
        <f t="shared" ref="D2050:D2113" si="121">YEAR(G2050)</f>
        <v>2014</v>
      </c>
      <c r="E2050" s="2">
        <f t="shared" ref="E2050:E2113" si="122">MONTH(G2050)</f>
        <v>6</v>
      </c>
      <c r="F2050" s="2"/>
      <c r="G2050" s="4">
        <v>41813</v>
      </c>
      <c r="H2050" s="1">
        <v>6600935</v>
      </c>
      <c r="I2050" s="1">
        <v>1626764</v>
      </c>
      <c r="J2050" s="1" t="s">
        <v>191</v>
      </c>
      <c r="K2050" s="1" t="s">
        <v>210</v>
      </c>
      <c r="L2050" s="1" t="str">
        <f t="shared" ref="L2050:L2113" si="123">CONCATENATE(J2050," ",K2050)</f>
        <v>Vallentunasjön Va2</v>
      </c>
      <c r="M2050" s="1" t="s">
        <v>177</v>
      </c>
      <c r="N2050" s="1">
        <v>0.5</v>
      </c>
      <c r="O2050" s="1">
        <v>0.5</v>
      </c>
      <c r="P2050" s="1">
        <v>0.6</v>
      </c>
      <c r="Q2050" s="1">
        <v>15.4</v>
      </c>
      <c r="R2050" s="1">
        <v>10.4</v>
      </c>
      <c r="S2050" s="1">
        <v>105</v>
      </c>
    </row>
    <row r="2051" spans="1:51" x14ac:dyDescent="0.3">
      <c r="A2051" s="1">
        <v>30815</v>
      </c>
      <c r="B2051" s="1" t="s">
        <v>232</v>
      </c>
      <c r="C2051" s="1" t="s">
        <v>209</v>
      </c>
      <c r="D2051" s="2">
        <f t="shared" si="121"/>
        <v>2014</v>
      </c>
      <c r="E2051" s="2">
        <f t="shared" si="122"/>
        <v>6</v>
      </c>
      <c r="F2051" s="2"/>
      <c r="G2051" s="4">
        <v>41813</v>
      </c>
      <c r="H2051" s="1">
        <v>6600935</v>
      </c>
      <c r="I2051" s="1">
        <v>1626764</v>
      </c>
      <c r="J2051" s="1" t="s">
        <v>191</v>
      </c>
      <c r="K2051" s="1" t="s">
        <v>210</v>
      </c>
      <c r="L2051" s="1" t="str">
        <f t="shared" si="123"/>
        <v>Vallentunasjön Va2</v>
      </c>
      <c r="M2051" s="1" t="s">
        <v>211</v>
      </c>
      <c r="N2051" s="1">
        <v>1</v>
      </c>
      <c r="O2051" s="1">
        <v>1</v>
      </c>
      <c r="Q2051" s="1">
        <v>15.5</v>
      </c>
      <c r="R2051" s="1">
        <v>10.4</v>
      </c>
      <c r="S2051" s="1">
        <v>105</v>
      </c>
    </row>
    <row r="2052" spans="1:51" x14ac:dyDescent="0.3">
      <c r="A2052" s="1">
        <v>30816</v>
      </c>
      <c r="B2052" s="1" t="s">
        <v>232</v>
      </c>
      <c r="C2052" s="1" t="s">
        <v>209</v>
      </c>
      <c r="D2052" s="2">
        <f t="shared" si="121"/>
        <v>2014</v>
      </c>
      <c r="E2052" s="2">
        <f t="shared" si="122"/>
        <v>6</v>
      </c>
      <c r="F2052" s="2"/>
      <c r="G2052" s="4">
        <v>41813</v>
      </c>
      <c r="H2052" s="1">
        <v>6600935</v>
      </c>
      <c r="I2052" s="1">
        <v>1626764</v>
      </c>
      <c r="J2052" s="1" t="s">
        <v>191</v>
      </c>
      <c r="K2052" s="1" t="s">
        <v>210</v>
      </c>
      <c r="L2052" s="1" t="str">
        <f t="shared" si="123"/>
        <v>Vallentunasjön Va2</v>
      </c>
      <c r="M2052" s="1" t="s">
        <v>212</v>
      </c>
      <c r="N2052" s="1">
        <v>2</v>
      </c>
      <c r="O2052" s="1">
        <v>2</v>
      </c>
      <c r="Q2052" s="1">
        <v>15.5</v>
      </c>
      <c r="R2052" s="1">
        <v>10.4</v>
      </c>
      <c r="S2052" s="1">
        <v>105</v>
      </c>
    </row>
    <row r="2053" spans="1:51" x14ac:dyDescent="0.3">
      <c r="A2053" s="1">
        <v>30817</v>
      </c>
      <c r="B2053" s="1" t="s">
        <v>232</v>
      </c>
      <c r="C2053" s="1" t="s">
        <v>209</v>
      </c>
      <c r="D2053" s="2">
        <f t="shared" si="121"/>
        <v>2014</v>
      </c>
      <c r="E2053" s="2">
        <f t="shared" si="122"/>
        <v>6</v>
      </c>
      <c r="F2053" s="2"/>
      <c r="G2053" s="4">
        <v>41813</v>
      </c>
      <c r="H2053" s="1">
        <v>6600935</v>
      </c>
      <c r="I2053" s="1">
        <v>1626764</v>
      </c>
      <c r="J2053" s="1" t="s">
        <v>191</v>
      </c>
      <c r="K2053" s="1" t="s">
        <v>210</v>
      </c>
      <c r="L2053" s="1" t="str">
        <f t="shared" si="123"/>
        <v>Vallentunasjön Va2</v>
      </c>
      <c r="M2053" s="1" t="s">
        <v>213</v>
      </c>
      <c r="N2053" s="1">
        <v>3</v>
      </c>
      <c r="O2053" s="1">
        <v>3</v>
      </c>
      <c r="Q2053" s="1">
        <v>15.4</v>
      </c>
      <c r="R2053" s="1">
        <v>10.4</v>
      </c>
      <c r="S2053" s="1">
        <v>104</v>
      </c>
    </row>
    <row r="2054" spans="1:51" x14ac:dyDescent="0.3">
      <c r="A2054" s="1">
        <v>30818</v>
      </c>
      <c r="B2054" s="1" t="s">
        <v>232</v>
      </c>
      <c r="C2054" s="1" t="s">
        <v>209</v>
      </c>
      <c r="D2054" s="2">
        <f t="shared" si="121"/>
        <v>2014</v>
      </c>
      <c r="E2054" s="2">
        <f t="shared" si="122"/>
        <v>6</v>
      </c>
      <c r="F2054" s="2"/>
      <c r="G2054" s="4">
        <v>41813</v>
      </c>
      <c r="H2054" s="1">
        <v>6600935</v>
      </c>
      <c r="I2054" s="1">
        <v>1626764</v>
      </c>
      <c r="J2054" s="1" t="s">
        <v>191</v>
      </c>
      <c r="K2054" s="1" t="s">
        <v>210</v>
      </c>
      <c r="L2054" s="1" t="str">
        <f t="shared" si="123"/>
        <v>Vallentunasjön Va2</v>
      </c>
      <c r="M2054" s="1" t="s">
        <v>214</v>
      </c>
      <c r="N2054" s="1">
        <v>4</v>
      </c>
      <c r="O2054" s="1">
        <v>4</v>
      </c>
      <c r="Q2054" s="1">
        <v>15.4</v>
      </c>
      <c r="R2054" s="1">
        <v>10.4</v>
      </c>
      <c r="S2054" s="1">
        <v>104</v>
      </c>
    </row>
    <row r="2055" spans="1:51" x14ac:dyDescent="0.3">
      <c r="A2055" s="1">
        <v>30819</v>
      </c>
      <c r="B2055" s="1" t="s">
        <v>232</v>
      </c>
      <c r="C2055" s="1" t="s">
        <v>209</v>
      </c>
      <c r="D2055" s="2">
        <f t="shared" si="121"/>
        <v>2014</v>
      </c>
      <c r="E2055" s="2">
        <f t="shared" si="122"/>
        <v>6</v>
      </c>
      <c r="F2055" s="2"/>
      <c r="G2055" s="4">
        <v>41813</v>
      </c>
      <c r="H2055" s="1">
        <v>6600935</v>
      </c>
      <c r="I2055" s="1">
        <v>1626764</v>
      </c>
      <c r="J2055" s="1" t="s">
        <v>191</v>
      </c>
      <c r="K2055" s="1" t="s">
        <v>210</v>
      </c>
      <c r="L2055" s="1" t="str">
        <f t="shared" si="123"/>
        <v>Vallentunasjön Va2</v>
      </c>
      <c r="M2055" s="1" t="s">
        <v>184</v>
      </c>
      <c r="N2055" s="1">
        <v>4.5</v>
      </c>
      <c r="O2055" s="1">
        <v>4.5</v>
      </c>
      <c r="Q2055" s="1">
        <v>15.4</v>
      </c>
      <c r="R2055" s="1">
        <v>9.6999999999999993</v>
      </c>
      <c r="S2055" s="1">
        <v>98</v>
      </c>
    </row>
    <row r="2056" spans="1:51" x14ac:dyDescent="0.3">
      <c r="A2056" s="1">
        <v>30820</v>
      </c>
      <c r="B2056" s="1" t="s">
        <v>232</v>
      </c>
      <c r="C2056" s="1" t="s">
        <v>209</v>
      </c>
      <c r="D2056" s="2">
        <f t="shared" si="121"/>
        <v>2014</v>
      </c>
      <c r="E2056" s="2">
        <f t="shared" si="122"/>
        <v>6</v>
      </c>
      <c r="F2056" s="2"/>
      <c r="G2056" s="4">
        <v>41813</v>
      </c>
      <c r="J2056" s="1" t="s">
        <v>191</v>
      </c>
      <c r="K2056" s="1" t="s">
        <v>206</v>
      </c>
      <c r="L2056" s="1" t="str">
        <f t="shared" si="123"/>
        <v>Vallentunasjön Blandprov</v>
      </c>
      <c r="M2056" s="1" t="s">
        <v>177</v>
      </c>
      <c r="N2056" s="1">
        <v>4</v>
      </c>
      <c r="O2056" s="1">
        <v>0</v>
      </c>
      <c r="W2056" s="1">
        <v>3.2734999999999999</v>
      </c>
      <c r="Z2056" s="1">
        <v>17.329999999999998</v>
      </c>
      <c r="AB2056" s="1">
        <v>37.490850000000002</v>
      </c>
      <c r="AD2056" s="6">
        <v>0</v>
      </c>
      <c r="AG2056" s="1">
        <v>26.666666667000001</v>
      </c>
      <c r="AK2056" s="1">
        <v>92.27</v>
      </c>
      <c r="AL2056" s="1">
        <v>1530.2</v>
      </c>
    </row>
    <row r="2057" spans="1:51" x14ac:dyDescent="0.3">
      <c r="D2057" s="2">
        <f t="shared" si="121"/>
        <v>2014</v>
      </c>
      <c r="E2057" s="2">
        <f t="shared" si="122"/>
        <v>7</v>
      </c>
      <c r="F2057" s="3" t="s">
        <v>179</v>
      </c>
      <c r="G2057" s="4">
        <v>41835</v>
      </c>
      <c r="H2057" s="1">
        <v>6606238</v>
      </c>
      <c r="I2057" s="1">
        <v>661152</v>
      </c>
      <c r="J2057" s="5" t="s">
        <v>176</v>
      </c>
      <c r="K2057" s="1"/>
      <c r="L2057" s="1" t="str">
        <f t="shared" si="123"/>
        <v xml:space="preserve">Oxundaån </v>
      </c>
      <c r="M2057" s="1" t="s">
        <v>177</v>
      </c>
      <c r="Q2057" s="1">
        <v>21.3</v>
      </c>
      <c r="T2057" s="1">
        <v>48.4</v>
      </c>
      <c r="V2057" s="1">
        <v>2.548</v>
      </c>
      <c r="W2057" s="1">
        <v>61</v>
      </c>
      <c r="X2057" s="1">
        <f>W2057 * (1/((10^((0.0901821 + (2729.92 /(273.15 + Q2057)))-AE2057)+1)))</f>
        <v>0.948613827563621</v>
      </c>
      <c r="Y2057" s="1">
        <v>0.04</v>
      </c>
      <c r="Z2057" s="1">
        <v>21</v>
      </c>
      <c r="AA2057" s="1">
        <v>2.6</v>
      </c>
      <c r="AB2057" s="1">
        <v>3.7</v>
      </c>
      <c r="AD2057" s="1">
        <v>11</v>
      </c>
      <c r="AE2057" s="1">
        <v>7.56</v>
      </c>
      <c r="AI2057" s="1">
        <v>12.2</v>
      </c>
      <c r="AK2057" s="1">
        <v>65.400000000000006</v>
      </c>
      <c r="AL2057" s="1">
        <v>758</v>
      </c>
      <c r="AR2057" s="1">
        <v>56.2</v>
      </c>
      <c r="AT2057" s="1">
        <v>5.3958000000000004</v>
      </c>
      <c r="AU2057" s="1">
        <v>9.4621999999999993</v>
      </c>
      <c r="AV2057" s="1">
        <v>39.845800000000004</v>
      </c>
      <c r="AW2057" s="1">
        <v>27.986800000000002</v>
      </c>
      <c r="AX2057" s="1">
        <v>52.326449999999994</v>
      </c>
      <c r="AY2057" s="1">
        <v>0.82</v>
      </c>
    </row>
    <row r="2058" spans="1:51" x14ac:dyDescent="0.3">
      <c r="A2058" s="1">
        <v>31975</v>
      </c>
      <c r="B2058" s="1" t="s">
        <v>232</v>
      </c>
      <c r="C2058" s="1" t="s">
        <v>209</v>
      </c>
      <c r="D2058" s="2">
        <f t="shared" si="121"/>
        <v>2014</v>
      </c>
      <c r="E2058" s="2">
        <f t="shared" si="122"/>
        <v>7</v>
      </c>
      <c r="F2058" s="3" t="s">
        <v>179</v>
      </c>
      <c r="G2058" s="4">
        <v>41837</v>
      </c>
      <c r="H2058" s="1">
        <v>6600935</v>
      </c>
      <c r="I2058" s="1">
        <v>1626764</v>
      </c>
      <c r="J2058" s="1" t="s">
        <v>191</v>
      </c>
      <c r="K2058" s="1" t="s">
        <v>210</v>
      </c>
      <c r="L2058" s="1" t="str">
        <f t="shared" si="123"/>
        <v>Vallentunasjön Va2</v>
      </c>
      <c r="M2058" s="1" t="s">
        <v>177</v>
      </c>
      <c r="N2058" s="1">
        <v>0.5</v>
      </c>
      <c r="O2058" s="1">
        <v>0.5</v>
      </c>
      <c r="P2058" s="1">
        <v>0.7</v>
      </c>
      <c r="Q2058" s="1">
        <v>23.3</v>
      </c>
      <c r="R2058" s="1">
        <v>11.4</v>
      </c>
      <c r="S2058" s="1">
        <v>132</v>
      </c>
    </row>
    <row r="2059" spans="1:51" x14ac:dyDescent="0.3">
      <c r="A2059" s="1">
        <v>31976</v>
      </c>
      <c r="B2059" s="1" t="s">
        <v>232</v>
      </c>
      <c r="C2059" s="1" t="s">
        <v>209</v>
      </c>
      <c r="D2059" s="2">
        <f t="shared" si="121"/>
        <v>2014</v>
      </c>
      <c r="E2059" s="2">
        <f t="shared" si="122"/>
        <v>7</v>
      </c>
      <c r="F2059" s="3" t="s">
        <v>179</v>
      </c>
      <c r="G2059" s="4">
        <v>41837</v>
      </c>
      <c r="H2059" s="1">
        <v>6600935</v>
      </c>
      <c r="I2059" s="1">
        <v>1626764</v>
      </c>
      <c r="J2059" s="1" t="s">
        <v>191</v>
      </c>
      <c r="K2059" s="1" t="s">
        <v>210</v>
      </c>
      <c r="L2059" s="1" t="str">
        <f t="shared" si="123"/>
        <v>Vallentunasjön Va2</v>
      </c>
      <c r="M2059" s="1" t="s">
        <v>211</v>
      </c>
      <c r="N2059" s="1">
        <v>1</v>
      </c>
      <c r="O2059" s="1">
        <v>1</v>
      </c>
      <c r="Q2059" s="1">
        <v>23</v>
      </c>
      <c r="R2059" s="1">
        <v>11.3</v>
      </c>
      <c r="S2059" s="1">
        <v>131</v>
      </c>
    </row>
    <row r="2060" spans="1:51" x14ac:dyDescent="0.3">
      <c r="A2060" s="1">
        <v>31977</v>
      </c>
      <c r="B2060" s="1" t="s">
        <v>232</v>
      </c>
      <c r="C2060" s="1" t="s">
        <v>209</v>
      </c>
      <c r="D2060" s="2">
        <f t="shared" si="121"/>
        <v>2014</v>
      </c>
      <c r="E2060" s="2">
        <f t="shared" si="122"/>
        <v>7</v>
      </c>
      <c r="F2060" s="3" t="s">
        <v>179</v>
      </c>
      <c r="G2060" s="4">
        <v>41837</v>
      </c>
      <c r="H2060" s="1">
        <v>6600935</v>
      </c>
      <c r="I2060" s="1">
        <v>1626764</v>
      </c>
      <c r="J2060" s="1" t="s">
        <v>191</v>
      </c>
      <c r="K2060" s="1" t="s">
        <v>210</v>
      </c>
      <c r="L2060" s="1" t="str">
        <f t="shared" si="123"/>
        <v>Vallentunasjön Va2</v>
      </c>
      <c r="M2060" s="1" t="s">
        <v>212</v>
      </c>
      <c r="N2060" s="1">
        <v>2</v>
      </c>
      <c r="O2060" s="1">
        <v>2</v>
      </c>
      <c r="Q2060" s="1">
        <v>22.6</v>
      </c>
      <c r="R2060" s="1">
        <v>11</v>
      </c>
      <c r="S2060" s="1">
        <v>126</v>
      </c>
    </row>
    <row r="2061" spans="1:51" x14ac:dyDescent="0.3">
      <c r="A2061" s="1">
        <v>31978</v>
      </c>
      <c r="B2061" s="1" t="s">
        <v>232</v>
      </c>
      <c r="C2061" s="1" t="s">
        <v>209</v>
      </c>
      <c r="D2061" s="2">
        <f t="shared" si="121"/>
        <v>2014</v>
      </c>
      <c r="E2061" s="2">
        <f t="shared" si="122"/>
        <v>7</v>
      </c>
      <c r="F2061" s="3" t="s">
        <v>179</v>
      </c>
      <c r="G2061" s="4">
        <v>41837</v>
      </c>
      <c r="H2061" s="1">
        <v>6600935</v>
      </c>
      <c r="I2061" s="1">
        <v>1626764</v>
      </c>
      <c r="J2061" s="1" t="s">
        <v>191</v>
      </c>
      <c r="K2061" s="1" t="s">
        <v>210</v>
      </c>
      <c r="L2061" s="1" t="str">
        <f t="shared" si="123"/>
        <v>Vallentunasjön Va2</v>
      </c>
      <c r="M2061" s="1" t="s">
        <v>213</v>
      </c>
      <c r="N2061" s="1">
        <v>3</v>
      </c>
      <c r="O2061" s="1">
        <v>3</v>
      </c>
      <c r="Q2061" s="1">
        <v>21.8</v>
      </c>
      <c r="R2061" s="1">
        <v>9.3000000000000007</v>
      </c>
      <c r="S2061" s="1">
        <v>104</v>
      </c>
    </row>
    <row r="2062" spans="1:51" x14ac:dyDescent="0.3">
      <c r="A2062" s="1">
        <v>31979</v>
      </c>
      <c r="B2062" s="1" t="s">
        <v>232</v>
      </c>
      <c r="C2062" s="1" t="s">
        <v>209</v>
      </c>
      <c r="D2062" s="2">
        <f t="shared" si="121"/>
        <v>2014</v>
      </c>
      <c r="E2062" s="2">
        <f t="shared" si="122"/>
        <v>7</v>
      </c>
      <c r="F2062" s="3" t="s">
        <v>179</v>
      </c>
      <c r="G2062" s="4">
        <v>41837</v>
      </c>
      <c r="H2062" s="1">
        <v>6600935</v>
      </c>
      <c r="I2062" s="1">
        <v>1626764</v>
      </c>
      <c r="J2062" s="1" t="s">
        <v>191</v>
      </c>
      <c r="K2062" s="1" t="s">
        <v>210</v>
      </c>
      <c r="L2062" s="1" t="str">
        <f t="shared" si="123"/>
        <v>Vallentunasjön Va2</v>
      </c>
      <c r="M2062" s="1" t="s">
        <v>214</v>
      </c>
      <c r="N2062" s="1">
        <v>4</v>
      </c>
      <c r="O2062" s="1">
        <v>4</v>
      </c>
      <c r="Q2062" s="1">
        <v>21.6</v>
      </c>
      <c r="R2062" s="1">
        <v>8.3000000000000007</v>
      </c>
      <c r="S2062" s="1">
        <v>94</v>
      </c>
    </row>
    <row r="2063" spans="1:51" x14ac:dyDescent="0.3">
      <c r="A2063" s="1">
        <v>31980</v>
      </c>
      <c r="B2063" s="1" t="s">
        <v>232</v>
      </c>
      <c r="C2063" s="1" t="s">
        <v>209</v>
      </c>
      <c r="D2063" s="2">
        <f t="shared" si="121"/>
        <v>2014</v>
      </c>
      <c r="E2063" s="2">
        <f t="shared" si="122"/>
        <v>7</v>
      </c>
      <c r="F2063" s="3" t="s">
        <v>179</v>
      </c>
      <c r="G2063" s="4">
        <v>41837</v>
      </c>
      <c r="H2063" s="1">
        <v>6600935</v>
      </c>
      <c r="I2063" s="1">
        <v>1626764</v>
      </c>
      <c r="J2063" s="1" t="s">
        <v>191</v>
      </c>
      <c r="K2063" s="1" t="s">
        <v>210</v>
      </c>
      <c r="L2063" s="1" t="str">
        <f t="shared" si="123"/>
        <v>Vallentunasjön Va2</v>
      </c>
      <c r="M2063" s="1" t="s">
        <v>184</v>
      </c>
      <c r="N2063" s="1">
        <v>4.5</v>
      </c>
      <c r="O2063" s="1">
        <v>4.5</v>
      </c>
      <c r="Q2063" s="1">
        <v>21.4</v>
      </c>
      <c r="R2063" s="1">
        <v>7.5</v>
      </c>
      <c r="S2063" s="1">
        <v>85</v>
      </c>
    </row>
    <row r="2064" spans="1:51" x14ac:dyDescent="0.3">
      <c r="A2064" s="1">
        <v>31981</v>
      </c>
      <c r="B2064" s="1" t="s">
        <v>232</v>
      </c>
      <c r="C2064" s="1" t="s">
        <v>209</v>
      </c>
      <c r="D2064" s="2">
        <f t="shared" si="121"/>
        <v>2014</v>
      </c>
      <c r="E2064" s="2">
        <f t="shared" si="122"/>
        <v>7</v>
      </c>
      <c r="F2064" s="3" t="s">
        <v>179</v>
      </c>
      <c r="G2064" s="4">
        <v>41837</v>
      </c>
      <c r="J2064" s="1" t="s">
        <v>191</v>
      </c>
      <c r="K2064" s="1" t="s">
        <v>206</v>
      </c>
      <c r="L2064" s="1" t="str">
        <f t="shared" si="123"/>
        <v>Vallentunasjön Blandprov</v>
      </c>
      <c r="M2064" s="1" t="s">
        <v>177</v>
      </c>
      <c r="N2064" s="1">
        <v>4</v>
      </c>
      <c r="O2064" s="1">
        <v>0</v>
      </c>
      <c r="W2064" s="1">
        <v>6.3733000000000004</v>
      </c>
      <c r="Z2064" s="6">
        <v>0</v>
      </c>
      <c r="AB2064" s="1">
        <v>43.004387755000003</v>
      </c>
      <c r="AD2064" s="6">
        <v>0</v>
      </c>
      <c r="AG2064" s="1">
        <v>57.647058823999998</v>
      </c>
      <c r="AK2064" s="1">
        <v>86.3</v>
      </c>
      <c r="AL2064" s="1">
        <v>1527.44</v>
      </c>
    </row>
    <row r="2065" spans="1:52" x14ac:dyDescent="0.3">
      <c r="A2065" s="1">
        <v>32426</v>
      </c>
      <c r="B2065" s="1" t="s">
        <v>232</v>
      </c>
      <c r="C2065" s="1" t="s">
        <v>209</v>
      </c>
      <c r="D2065" s="2">
        <f t="shared" si="121"/>
        <v>2014</v>
      </c>
      <c r="E2065" s="2">
        <f t="shared" si="122"/>
        <v>7</v>
      </c>
      <c r="F2065" s="3" t="s">
        <v>179</v>
      </c>
      <c r="G2065" s="4">
        <v>41849</v>
      </c>
      <c r="H2065" s="1">
        <v>6600935</v>
      </c>
      <c r="I2065" s="1">
        <v>1626764</v>
      </c>
      <c r="J2065" s="1" t="s">
        <v>191</v>
      </c>
      <c r="K2065" s="1" t="s">
        <v>210</v>
      </c>
      <c r="L2065" s="1" t="str">
        <f t="shared" si="123"/>
        <v>Vallentunasjön Va2</v>
      </c>
      <c r="M2065" s="1" t="s">
        <v>177</v>
      </c>
      <c r="N2065" s="1">
        <v>0.5</v>
      </c>
      <c r="O2065" s="1">
        <v>0.5</v>
      </c>
      <c r="P2065" s="1">
        <v>0.6</v>
      </c>
      <c r="Q2065" s="1">
        <v>26.7</v>
      </c>
      <c r="R2065" s="1">
        <v>10.8</v>
      </c>
      <c r="S2065" s="1">
        <v>137</v>
      </c>
    </row>
    <row r="2066" spans="1:52" x14ac:dyDescent="0.3">
      <c r="A2066" s="1">
        <v>32427</v>
      </c>
      <c r="B2066" s="1" t="s">
        <v>232</v>
      </c>
      <c r="C2066" s="1" t="s">
        <v>209</v>
      </c>
      <c r="D2066" s="2">
        <f t="shared" si="121"/>
        <v>2014</v>
      </c>
      <c r="E2066" s="2">
        <f t="shared" si="122"/>
        <v>7</v>
      </c>
      <c r="F2066" s="3" t="s">
        <v>179</v>
      </c>
      <c r="G2066" s="4">
        <v>41849</v>
      </c>
      <c r="H2066" s="1">
        <v>6600935</v>
      </c>
      <c r="I2066" s="1">
        <v>1626764</v>
      </c>
      <c r="J2066" s="1" t="s">
        <v>191</v>
      </c>
      <c r="K2066" s="1" t="s">
        <v>210</v>
      </c>
      <c r="L2066" s="1" t="str">
        <f t="shared" si="123"/>
        <v>Vallentunasjön Va2</v>
      </c>
      <c r="M2066" s="1" t="s">
        <v>211</v>
      </c>
      <c r="N2066" s="1">
        <v>1</v>
      </c>
      <c r="O2066" s="1">
        <v>1</v>
      </c>
      <c r="Q2066" s="1">
        <v>26.5</v>
      </c>
      <c r="R2066" s="1">
        <v>10.9</v>
      </c>
      <c r="S2066" s="1">
        <v>138</v>
      </c>
    </row>
    <row r="2067" spans="1:52" x14ac:dyDescent="0.3">
      <c r="A2067" s="1">
        <v>32428</v>
      </c>
      <c r="B2067" s="1" t="s">
        <v>232</v>
      </c>
      <c r="C2067" s="1" t="s">
        <v>209</v>
      </c>
      <c r="D2067" s="2">
        <f t="shared" si="121"/>
        <v>2014</v>
      </c>
      <c r="E2067" s="2">
        <f t="shared" si="122"/>
        <v>7</v>
      </c>
      <c r="F2067" s="3" t="s">
        <v>179</v>
      </c>
      <c r="G2067" s="4">
        <v>41849</v>
      </c>
      <c r="H2067" s="1">
        <v>6600935</v>
      </c>
      <c r="I2067" s="1">
        <v>1626764</v>
      </c>
      <c r="J2067" s="1" t="s">
        <v>191</v>
      </c>
      <c r="K2067" s="1" t="s">
        <v>210</v>
      </c>
      <c r="L2067" s="1" t="str">
        <f t="shared" si="123"/>
        <v>Vallentunasjön Va2</v>
      </c>
      <c r="M2067" s="1" t="s">
        <v>212</v>
      </c>
      <c r="N2067" s="1">
        <v>2</v>
      </c>
      <c r="O2067" s="1">
        <v>2</v>
      </c>
      <c r="Q2067" s="1">
        <v>26.4</v>
      </c>
      <c r="R2067" s="1">
        <v>11.1</v>
      </c>
      <c r="S2067" s="1">
        <v>138</v>
      </c>
    </row>
    <row r="2068" spans="1:52" x14ac:dyDescent="0.3">
      <c r="A2068" s="1">
        <v>32429</v>
      </c>
      <c r="B2068" s="1" t="s">
        <v>232</v>
      </c>
      <c r="C2068" s="1" t="s">
        <v>209</v>
      </c>
      <c r="D2068" s="2">
        <f t="shared" si="121"/>
        <v>2014</v>
      </c>
      <c r="E2068" s="2">
        <f t="shared" si="122"/>
        <v>7</v>
      </c>
      <c r="F2068" s="3" t="s">
        <v>179</v>
      </c>
      <c r="G2068" s="4">
        <v>41849</v>
      </c>
      <c r="H2068" s="1">
        <v>6600935</v>
      </c>
      <c r="I2068" s="1">
        <v>1626764</v>
      </c>
      <c r="J2068" s="1" t="s">
        <v>191</v>
      </c>
      <c r="K2068" s="1" t="s">
        <v>210</v>
      </c>
      <c r="L2068" s="1" t="str">
        <f t="shared" si="123"/>
        <v>Vallentunasjön Va2</v>
      </c>
      <c r="M2068" s="1" t="s">
        <v>213</v>
      </c>
      <c r="N2068" s="1">
        <v>3</v>
      </c>
      <c r="O2068" s="1">
        <v>3</v>
      </c>
      <c r="Q2068" s="1">
        <v>22.6</v>
      </c>
      <c r="R2068" s="1">
        <v>0.2</v>
      </c>
      <c r="S2068" s="1">
        <v>2</v>
      </c>
    </row>
    <row r="2069" spans="1:52" x14ac:dyDescent="0.3">
      <c r="A2069" s="1">
        <v>32430</v>
      </c>
      <c r="B2069" s="1" t="s">
        <v>232</v>
      </c>
      <c r="C2069" s="1" t="s">
        <v>209</v>
      </c>
      <c r="D2069" s="2">
        <f t="shared" si="121"/>
        <v>2014</v>
      </c>
      <c r="E2069" s="2">
        <f t="shared" si="122"/>
        <v>7</v>
      </c>
      <c r="F2069" s="3" t="s">
        <v>179</v>
      </c>
      <c r="G2069" s="4">
        <v>41849</v>
      </c>
      <c r="H2069" s="1">
        <v>6600935</v>
      </c>
      <c r="I2069" s="1">
        <v>1626764</v>
      </c>
      <c r="J2069" s="1" t="s">
        <v>191</v>
      </c>
      <c r="K2069" s="1" t="s">
        <v>210</v>
      </c>
      <c r="L2069" s="1" t="str">
        <f t="shared" si="123"/>
        <v>Vallentunasjön Va2</v>
      </c>
      <c r="M2069" s="1" t="s">
        <v>214</v>
      </c>
      <c r="N2069" s="1">
        <v>4</v>
      </c>
      <c r="O2069" s="1">
        <v>4</v>
      </c>
      <c r="Q2069" s="1">
        <v>20.9</v>
      </c>
      <c r="R2069" s="1">
        <v>0.1</v>
      </c>
      <c r="S2069" s="1">
        <v>1</v>
      </c>
    </row>
    <row r="2070" spans="1:52" x14ac:dyDescent="0.3">
      <c r="A2070" s="1">
        <v>32431</v>
      </c>
      <c r="B2070" s="1" t="s">
        <v>232</v>
      </c>
      <c r="C2070" s="1" t="s">
        <v>209</v>
      </c>
      <c r="D2070" s="2">
        <f t="shared" si="121"/>
        <v>2014</v>
      </c>
      <c r="E2070" s="2">
        <f t="shared" si="122"/>
        <v>7</v>
      </c>
      <c r="F2070" s="3" t="s">
        <v>179</v>
      </c>
      <c r="G2070" s="4">
        <v>41849</v>
      </c>
      <c r="H2070" s="1">
        <v>6600935</v>
      </c>
      <c r="I2070" s="1">
        <v>1626764</v>
      </c>
      <c r="J2070" s="1" t="s">
        <v>191</v>
      </c>
      <c r="K2070" s="1" t="s">
        <v>210</v>
      </c>
      <c r="L2070" s="1" t="str">
        <f t="shared" si="123"/>
        <v>Vallentunasjön Va2</v>
      </c>
      <c r="M2070" s="1" t="s">
        <v>229</v>
      </c>
      <c r="N2070" s="1">
        <v>4.5</v>
      </c>
      <c r="O2070" s="1">
        <v>4.5</v>
      </c>
      <c r="Q2070" s="1">
        <v>19.8</v>
      </c>
      <c r="R2070" s="1">
        <v>0.1</v>
      </c>
      <c r="S2070" s="1">
        <v>1</v>
      </c>
    </row>
    <row r="2071" spans="1:52" x14ac:dyDescent="0.3">
      <c r="A2071" s="1">
        <v>32432</v>
      </c>
      <c r="B2071" s="1" t="s">
        <v>232</v>
      </c>
      <c r="C2071" s="1" t="s">
        <v>209</v>
      </c>
      <c r="D2071" s="2">
        <f t="shared" si="121"/>
        <v>2014</v>
      </c>
      <c r="E2071" s="2">
        <f t="shared" si="122"/>
        <v>7</v>
      </c>
      <c r="F2071" s="3" t="s">
        <v>179</v>
      </c>
      <c r="G2071" s="4">
        <v>41849</v>
      </c>
      <c r="J2071" s="1" t="s">
        <v>191</v>
      </c>
      <c r="K2071" s="1" t="s">
        <v>206</v>
      </c>
      <c r="L2071" s="1" t="str">
        <f t="shared" si="123"/>
        <v>Vallentunasjön Blandprov</v>
      </c>
      <c r="M2071" s="1" t="s">
        <v>177</v>
      </c>
      <c r="N2071" s="1">
        <v>4</v>
      </c>
      <c r="O2071" s="1">
        <v>0</v>
      </c>
      <c r="W2071" s="1">
        <v>9.4863</v>
      </c>
      <c r="Z2071" s="1">
        <v>0.31</v>
      </c>
      <c r="AB2071" s="1">
        <v>38.703150000000001</v>
      </c>
      <c r="AD2071" s="1">
        <v>2.9699999999999998</v>
      </c>
      <c r="AG2071" s="1">
        <v>24.666666667000001</v>
      </c>
      <c r="AK2071" s="1">
        <v>106.58</v>
      </c>
      <c r="AL2071" s="1">
        <v>1524.51</v>
      </c>
    </row>
    <row r="2072" spans="1:52" x14ac:dyDescent="0.3">
      <c r="A2072" s="1">
        <v>32715</v>
      </c>
      <c r="B2072" s="1" t="s">
        <v>232</v>
      </c>
      <c r="C2072" s="1" t="s">
        <v>209</v>
      </c>
      <c r="D2072" s="2">
        <f t="shared" si="121"/>
        <v>2014</v>
      </c>
      <c r="E2072" s="2">
        <f t="shared" si="122"/>
        <v>8</v>
      </c>
      <c r="F2072" s="3" t="s">
        <v>179</v>
      </c>
      <c r="G2072" s="4">
        <v>41856</v>
      </c>
      <c r="H2072" s="1">
        <v>6600935</v>
      </c>
      <c r="I2072" s="1">
        <v>1626764</v>
      </c>
      <c r="J2072" s="1" t="s">
        <v>191</v>
      </c>
      <c r="K2072" s="1" t="s">
        <v>210</v>
      </c>
      <c r="L2072" s="1" t="str">
        <f t="shared" si="123"/>
        <v>Vallentunasjön Va2</v>
      </c>
      <c r="M2072" s="1" t="s">
        <v>177</v>
      </c>
      <c r="N2072" s="1">
        <v>0.5</v>
      </c>
      <c r="O2072" s="1">
        <v>0.5</v>
      </c>
      <c r="P2072" s="1">
        <v>0.6</v>
      </c>
      <c r="Q2072" s="1">
        <v>24.3</v>
      </c>
      <c r="R2072" s="1">
        <v>8.9</v>
      </c>
      <c r="S2072" s="1">
        <v>105</v>
      </c>
    </row>
    <row r="2073" spans="1:52" x14ac:dyDescent="0.3">
      <c r="A2073" s="1">
        <v>32716</v>
      </c>
      <c r="B2073" s="1" t="s">
        <v>232</v>
      </c>
      <c r="C2073" s="1" t="s">
        <v>209</v>
      </c>
      <c r="D2073" s="2">
        <f t="shared" si="121"/>
        <v>2014</v>
      </c>
      <c r="E2073" s="2">
        <f t="shared" si="122"/>
        <v>8</v>
      </c>
      <c r="F2073" s="3" t="s">
        <v>179</v>
      </c>
      <c r="G2073" s="4">
        <v>41856</v>
      </c>
      <c r="H2073" s="1">
        <v>6600935</v>
      </c>
      <c r="I2073" s="1">
        <v>1626764</v>
      </c>
      <c r="J2073" s="1" t="s">
        <v>191</v>
      </c>
      <c r="K2073" s="1" t="s">
        <v>210</v>
      </c>
      <c r="L2073" s="1" t="str">
        <f t="shared" si="123"/>
        <v>Vallentunasjön Va2</v>
      </c>
      <c r="M2073" s="1" t="s">
        <v>211</v>
      </c>
      <c r="N2073" s="1">
        <v>1</v>
      </c>
      <c r="O2073" s="1">
        <v>1</v>
      </c>
      <c r="Q2073" s="1">
        <v>24.4</v>
      </c>
      <c r="R2073" s="1">
        <v>9</v>
      </c>
      <c r="S2073" s="1">
        <v>107</v>
      </c>
    </row>
    <row r="2074" spans="1:52" x14ac:dyDescent="0.3">
      <c r="A2074" s="1">
        <v>32717</v>
      </c>
      <c r="B2074" s="1" t="s">
        <v>232</v>
      </c>
      <c r="C2074" s="1" t="s">
        <v>209</v>
      </c>
      <c r="D2074" s="2">
        <f t="shared" si="121"/>
        <v>2014</v>
      </c>
      <c r="E2074" s="2">
        <f t="shared" si="122"/>
        <v>8</v>
      </c>
      <c r="F2074" s="3" t="s">
        <v>179</v>
      </c>
      <c r="G2074" s="4">
        <v>41856</v>
      </c>
      <c r="H2074" s="1">
        <v>6600935</v>
      </c>
      <c r="I2074" s="1">
        <v>1626764</v>
      </c>
      <c r="J2074" s="1" t="s">
        <v>191</v>
      </c>
      <c r="K2074" s="1" t="s">
        <v>210</v>
      </c>
      <c r="L2074" s="1" t="str">
        <f t="shared" si="123"/>
        <v>Vallentunasjön Va2</v>
      </c>
      <c r="M2074" s="1" t="s">
        <v>212</v>
      </c>
      <c r="N2074" s="1">
        <v>2</v>
      </c>
      <c r="O2074" s="1">
        <v>2</v>
      </c>
      <c r="Q2074" s="1">
        <v>24.4</v>
      </c>
      <c r="R2074" s="1">
        <v>9</v>
      </c>
      <c r="S2074" s="1">
        <v>107</v>
      </c>
    </row>
    <row r="2075" spans="1:52" x14ac:dyDescent="0.3">
      <c r="A2075" s="1">
        <v>32718</v>
      </c>
      <c r="B2075" s="1" t="s">
        <v>232</v>
      </c>
      <c r="C2075" s="1" t="s">
        <v>209</v>
      </c>
      <c r="D2075" s="2">
        <f t="shared" si="121"/>
        <v>2014</v>
      </c>
      <c r="E2075" s="2">
        <f t="shared" si="122"/>
        <v>8</v>
      </c>
      <c r="F2075" s="3" t="s">
        <v>179</v>
      </c>
      <c r="G2075" s="4">
        <v>41856</v>
      </c>
      <c r="H2075" s="1">
        <v>6600935</v>
      </c>
      <c r="I2075" s="1">
        <v>1626764</v>
      </c>
      <c r="J2075" s="1" t="s">
        <v>191</v>
      </c>
      <c r="K2075" s="1" t="s">
        <v>210</v>
      </c>
      <c r="L2075" s="1" t="str">
        <f t="shared" si="123"/>
        <v>Vallentunasjön Va2</v>
      </c>
      <c r="M2075" s="1" t="s">
        <v>213</v>
      </c>
      <c r="N2075" s="1">
        <v>3</v>
      </c>
      <c r="O2075" s="1">
        <v>3</v>
      </c>
      <c r="Q2075" s="1">
        <v>24.1</v>
      </c>
      <c r="R2075" s="1">
        <v>7.4</v>
      </c>
      <c r="S2075" s="1">
        <v>88</v>
      </c>
    </row>
    <row r="2076" spans="1:52" x14ac:dyDescent="0.3">
      <c r="A2076" s="1">
        <v>32719</v>
      </c>
      <c r="B2076" s="1" t="s">
        <v>232</v>
      </c>
      <c r="C2076" s="1" t="s">
        <v>209</v>
      </c>
      <c r="D2076" s="2">
        <f t="shared" si="121"/>
        <v>2014</v>
      </c>
      <c r="E2076" s="2">
        <f t="shared" si="122"/>
        <v>8</v>
      </c>
      <c r="F2076" s="3" t="s">
        <v>179</v>
      </c>
      <c r="G2076" s="4">
        <v>41856</v>
      </c>
      <c r="H2076" s="1">
        <v>6600935</v>
      </c>
      <c r="I2076" s="1">
        <v>1626764</v>
      </c>
      <c r="J2076" s="1" t="s">
        <v>191</v>
      </c>
      <c r="K2076" s="1" t="s">
        <v>210</v>
      </c>
      <c r="L2076" s="1" t="str">
        <f t="shared" si="123"/>
        <v>Vallentunasjön Va2</v>
      </c>
      <c r="M2076" s="1" t="s">
        <v>214</v>
      </c>
      <c r="N2076" s="1">
        <v>4</v>
      </c>
      <c r="O2076" s="1">
        <v>4</v>
      </c>
      <c r="Q2076" s="1">
        <v>23.2</v>
      </c>
      <c r="R2076" s="1">
        <v>5.4</v>
      </c>
      <c r="S2076" s="1">
        <v>43</v>
      </c>
    </row>
    <row r="2077" spans="1:52" x14ac:dyDescent="0.3">
      <c r="A2077" s="1">
        <v>32720</v>
      </c>
      <c r="B2077" s="1" t="s">
        <v>232</v>
      </c>
      <c r="C2077" s="1" t="s">
        <v>209</v>
      </c>
      <c r="D2077" s="2">
        <f t="shared" si="121"/>
        <v>2014</v>
      </c>
      <c r="E2077" s="2">
        <f t="shared" si="122"/>
        <v>8</v>
      </c>
      <c r="F2077" s="3" t="s">
        <v>179</v>
      </c>
      <c r="G2077" s="4">
        <v>41856</v>
      </c>
      <c r="H2077" s="1">
        <v>6600935</v>
      </c>
      <c r="I2077" s="1">
        <v>1626764</v>
      </c>
      <c r="J2077" s="1" t="s">
        <v>191</v>
      </c>
      <c r="K2077" s="1" t="s">
        <v>210</v>
      </c>
      <c r="L2077" s="1" t="str">
        <f t="shared" si="123"/>
        <v>Vallentunasjön Va2</v>
      </c>
      <c r="M2077" s="1" t="s">
        <v>184</v>
      </c>
      <c r="N2077" s="1">
        <v>4.5</v>
      </c>
      <c r="O2077" s="1">
        <v>4.5</v>
      </c>
      <c r="Q2077" s="1">
        <v>22.8</v>
      </c>
      <c r="R2077" s="1">
        <v>0.7</v>
      </c>
      <c r="S2077" s="1">
        <v>8</v>
      </c>
    </row>
    <row r="2078" spans="1:52" x14ac:dyDescent="0.3">
      <c r="A2078" s="1">
        <v>32721</v>
      </c>
      <c r="B2078" s="1" t="s">
        <v>232</v>
      </c>
      <c r="C2078" s="1" t="s">
        <v>209</v>
      </c>
      <c r="D2078" s="2">
        <f t="shared" si="121"/>
        <v>2014</v>
      </c>
      <c r="E2078" s="2">
        <f t="shared" si="122"/>
        <v>8</v>
      </c>
      <c r="F2078" s="3" t="s">
        <v>179</v>
      </c>
      <c r="G2078" s="4">
        <v>41856</v>
      </c>
      <c r="J2078" s="1" t="s">
        <v>191</v>
      </c>
      <c r="K2078" s="1" t="s">
        <v>206</v>
      </c>
      <c r="L2078" s="1" t="str">
        <f t="shared" si="123"/>
        <v>Vallentunasjön Blandprov</v>
      </c>
      <c r="M2078" s="1" t="s">
        <v>177</v>
      </c>
      <c r="N2078" s="1">
        <v>4</v>
      </c>
      <c r="O2078" s="1">
        <v>0</v>
      </c>
      <c r="W2078" s="1">
        <v>1.7482</v>
      </c>
      <c r="Z2078" s="1">
        <v>5.75</v>
      </c>
      <c r="AB2078" s="1">
        <v>59.830312499999998</v>
      </c>
      <c r="AD2078" s="1">
        <v>1.33</v>
      </c>
      <c r="AG2078" s="1">
        <v>26.363636364000001</v>
      </c>
      <c r="AK2078" s="1">
        <v>66</v>
      </c>
      <c r="AL2078" s="1">
        <v>1808.4</v>
      </c>
    </row>
    <row r="2079" spans="1:52" x14ac:dyDescent="0.3">
      <c r="D2079" s="2">
        <f t="shared" si="121"/>
        <v>2014</v>
      </c>
      <c r="E2079" s="2">
        <f t="shared" si="122"/>
        <v>8</v>
      </c>
      <c r="F2079" s="3" t="s">
        <v>179</v>
      </c>
      <c r="G2079" s="4">
        <v>41862</v>
      </c>
      <c r="H2079" s="1">
        <v>6606238</v>
      </c>
      <c r="I2079" s="1">
        <v>661152</v>
      </c>
      <c r="J2079" s="5" t="s">
        <v>176</v>
      </c>
      <c r="K2079" s="1"/>
      <c r="L2079" s="1" t="str">
        <f t="shared" si="123"/>
        <v xml:space="preserve">Oxundaån </v>
      </c>
      <c r="M2079" s="1" t="s">
        <v>177</v>
      </c>
      <c r="N2079" s="1">
        <v>0.5</v>
      </c>
      <c r="O2079" s="1">
        <v>0.5</v>
      </c>
      <c r="Q2079" s="1">
        <v>22.9</v>
      </c>
      <c r="T2079" s="1">
        <v>47.7</v>
      </c>
      <c r="V2079" s="1">
        <v>2.5489999999999999</v>
      </c>
      <c r="W2079" s="1">
        <v>22</v>
      </c>
      <c r="X2079" s="1">
        <f>W2079 * (1/((10^((0.0901821 + (2729.92 /(273.15 + Q2079)))-AE2079)+1)))</f>
        <v>0.65753283525186623</v>
      </c>
      <c r="Y2079" s="1">
        <v>3.9E-2</v>
      </c>
      <c r="Z2079" s="1">
        <v>49</v>
      </c>
      <c r="AA2079" s="1">
        <v>3.5</v>
      </c>
      <c r="AB2079" s="1">
        <v>11</v>
      </c>
      <c r="AD2079" s="1">
        <v>3</v>
      </c>
      <c r="AE2079" s="1">
        <v>7.8</v>
      </c>
      <c r="AI2079" s="1">
        <v>11.4</v>
      </c>
      <c r="AK2079" s="1">
        <v>91.4</v>
      </c>
      <c r="AL2079" s="1">
        <v>719</v>
      </c>
      <c r="AR2079" s="1">
        <v>54.6</v>
      </c>
      <c r="AT2079" s="1">
        <v>5.5130999999999997</v>
      </c>
      <c r="AU2079" s="1">
        <v>9.5106000000000002</v>
      </c>
      <c r="AV2079" s="1">
        <v>39.101350000000004</v>
      </c>
      <c r="AW2079" s="1">
        <v>27.986800000000002</v>
      </c>
      <c r="AX2079" s="1">
        <v>50.452500000000001</v>
      </c>
      <c r="AY2079" s="1">
        <v>1.8</v>
      </c>
    </row>
    <row r="2080" spans="1:52" x14ac:dyDescent="0.3">
      <c r="D2080" s="2">
        <f t="shared" si="121"/>
        <v>2014</v>
      </c>
      <c r="E2080" s="2">
        <f t="shared" si="122"/>
        <v>8</v>
      </c>
      <c r="F2080" s="3" t="s">
        <v>179</v>
      </c>
      <c r="G2080" s="4">
        <v>41864</v>
      </c>
      <c r="J2080" s="1" t="s">
        <v>181</v>
      </c>
      <c r="K2080" s="1"/>
      <c r="L2080" s="1" t="str">
        <f t="shared" si="123"/>
        <v xml:space="preserve">Fysingen </v>
      </c>
      <c r="M2080" s="1" t="s">
        <v>177</v>
      </c>
      <c r="N2080" s="1">
        <v>0.5</v>
      </c>
      <c r="O2080" s="1">
        <v>0.5</v>
      </c>
      <c r="P2080" s="1">
        <v>1.1000000000000001</v>
      </c>
      <c r="Q2080" s="1">
        <v>21.6</v>
      </c>
      <c r="V2080" s="1">
        <v>2.37</v>
      </c>
      <c r="W2080" s="1">
        <v>32</v>
      </c>
      <c r="X2080" s="1">
        <f>W2080 * (1/((10^((0.0901821 + (2729.92 /(273.15 + Q2080)))-AE2080)+1)))</f>
        <v>1.4552556593836847</v>
      </c>
      <c r="Y2080" s="1">
        <v>3.4000000000000002E-2</v>
      </c>
      <c r="Z2080" s="1">
        <v>1.5</v>
      </c>
      <c r="AA2080" s="1">
        <v>7.3</v>
      </c>
      <c r="AB2080" s="1">
        <v>16</v>
      </c>
      <c r="AC2080" s="1">
        <v>51.3</v>
      </c>
      <c r="AD2080" s="1">
        <v>20</v>
      </c>
      <c r="AE2080" s="1">
        <v>8.0299999999999994</v>
      </c>
      <c r="AI2080" s="1">
        <v>12.2</v>
      </c>
      <c r="AK2080" s="1">
        <v>31.6</v>
      </c>
      <c r="AL2080" s="1">
        <v>712</v>
      </c>
      <c r="AR2080" s="1">
        <v>58.6</v>
      </c>
      <c r="AS2080" s="1">
        <v>0.19</v>
      </c>
      <c r="AT2080" s="1">
        <v>5.8650000000000002</v>
      </c>
      <c r="AU2080" s="1">
        <v>11.507099999999999</v>
      </c>
      <c r="AV2080" s="1">
        <v>37.966950000000004</v>
      </c>
      <c r="AW2080" s="1">
        <v>26.8398</v>
      </c>
      <c r="AX2080" s="1">
        <v>80.14739999999999</v>
      </c>
      <c r="AY2080" s="1">
        <v>1.2</v>
      </c>
      <c r="AZ2080" s="1">
        <v>190</v>
      </c>
    </row>
    <row r="2081" spans="1:43" x14ac:dyDescent="0.3">
      <c r="A2081" s="1">
        <v>33365</v>
      </c>
      <c r="B2081" s="1" t="s">
        <v>232</v>
      </c>
      <c r="C2081" s="1" t="s">
        <v>209</v>
      </c>
      <c r="D2081" s="2">
        <f t="shared" si="121"/>
        <v>2014</v>
      </c>
      <c r="E2081" s="2">
        <f t="shared" si="122"/>
        <v>8</v>
      </c>
      <c r="F2081" s="3" t="s">
        <v>179</v>
      </c>
      <c r="G2081" s="4">
        <v>41865</v>
      </c>
      <c r="H2081" s="1">
        <v>6600935</v>
      </c>
      <c r="I2081" s="1">
        <v>1626764</v>
      </c>
      <c r="J2081" s="1" t="s">
        <v>191</v>
      </c>
      <c r="K2081" s="1" t="s">
        <v>210</v>
      </c>
      <c r="L2081" s="1" t="str">
        <f t="shared" si="123"/>
        <v>Vallentunasjön Va2</v>
      </c>
      <c r="M2081" s="1" t="s">
        <v>177</v>
      </c>
      <c r="N2081" s="1">
        <v>0.5</v>
      </c>
      <c r="O2081" s="1">
        <v>0.5</v>
      </c>
      <c r="P2081" s="1">
        <v>0.6</v>
      </c>
      <c r="Q2081" s="1">
        <v>21.6</v>
      </c>
      <c r="R2081" s="1">
        <v>8.9</v>
      </c>
      <c r="S2081" s="1">
        <v>102</v>
      </c>
    </row>
    <row r="2082" spans="1:43" x14ac:dyDescent="0.3">
      <c r="A2082" s="1">
        <v>33366</v>
      </c>
      <c r="B2082" s="1" t="s">
        <v>232</v>
      </c>
      <c r="C2082" s="1" t="s">
        <v>209</v>
      </c>
      <c r="D2082" s="2">
        <f t="shared" si="121"/>
        <v>2014</v>
      </c>
      <c r="E2082" s="2">
        <f t="shared" si="122"/>
        <v>8</v>
      </c>
      <c r="F2082" s="3" t="s">
        <v>179</v>
      </c>
      <c r="G2082" s="4">
        <v>41865</v>
      </c>
      <c r="H2082" s="1">
        <v>6600935</v>
      </c>
      <c r="I2082" s="1">
        <v>1626764</v>
      </c>
      <c r="J2082" s="1" t="s">
        <v>191</v>
      </c>
      <c r="K2082" s="1" t="s">
        <v>210</v>
      </c>
      <c r="L2082" s="1" t="str">
        <f t="shared" si="123"/>
        <v>Vallentunasjön Va2</v>
      </c>
      <c r="M2082" s="1" t="s">
        <v>211</v>
      </c>
      <c r="N2082" s="1">
        <v>1</v>
      </c>
      <c r="O2082" s="1">
        <v>1</v>
      </c>
      <c r="Q2082" s="1">
        <v>21.5</v>
      </c>
      <c r="R2082" s="1">
        <v>9</v>
      </c>
      <c r="S2082" s="1">
        <v>103</v>
      </c>
    </row>
    <row r="2083" spans="1:43" x14ac:dyDescent="0.3">
      <c r="A2083" s="1">
        <v>33367</v>
      </c>
      <c r="B2083" s="1" t="s">
        <v>232</v>
      </c>
      <c r="C2083" s="1" t="s">
        <v>209</v>
      </c>
      <c r="D2083" s="2">
        <f t="shared" si="121"/>
        <v>2014</v>
      </c>
      <c r="E2083" s="2">
        <f t="shared" si="122"/>
        <v>8</v>
      </c>
      <c r="F2083" s="3" t="s">
        <v>179</v>
      </c>
      <c r="G2083" s="4">
        <v>41865</v>
      </c>
      <c r="H2083" s="1">
        <v>6600935</v>
      </c>
      <c r="I2083" s="1">
        <v>1626764</v>
      </c>
      <c r="J2083" s="1" t="s">
        <v>191</v>
      </c>
      <c r="K2083" s="1" t="s">
        <v>210</v>
      </c>
      <c r="L2083" s="1" t="str">
        <f t="shared" si="123"/>
        <v>Vallentunasjön Va2</v>
      </c>
      <c r="M2083" s="1" t="s">
        <v>212</v>
      </c>
      <c r="N2083" s="1">
        <v>2</v>
      </c>
      <c r="O2083" s="1">
        <v>2</v>
      </c>
      <c r="Q2083" s="1">
        <v>21.2</v>
      </c>
      <c r="R2083" s="1">
        <v>8.4</v>
      </c>
      <c r="S2083" s="1">
        <v>95</v>
      </c>
    </row>
    <row r="2084" spans="1:43" x14ac:dyDescent="0.3">
      <c r="A2084" s="1">
        <v>33368</v>
      </c>
      <c r="B2084" s="1" t="s">
        <v>232</v>
      </c>
      <c r="C2084" s="1" t="s">
        <v>209</v>
      </c>
      <c r="D2084" s="2">
        <f t="shared" si="121"/>
        <v>2014</v>
      </c>
      <c r="E2084" s="2">
        <f t="shared" si="122"/>
        <v>8</v>
      </c>
      <c r="F2084" s="3" t="s">
        <v>179</v>
      </c>
      <c r="G2084" s="4">
        <v>41865</v>
      </c>
      <c r="H2084" s="1">
        <v>6600935</v>
      </c>
      <c r="I2084" s="1">
        <v>1626764</v>
      </c>
      <c r="J2084" s="1" t="s">
        <v>191</v>
      </c>
      <c r="K2084" s="1" t="s">
        <v>210</v>
      </c>
      <c r="L2084" s="1" t="str">
        <f t="shared" si="123"/>
        <v>Vallentunasjön Va2</v>
      </c>
      <c r="M2084" s="1" t="s">
        <v>213</v>
      </c>
      <c r="N2084" s="1">
        <v>3</v>
      </c>
      <c r="O2084" s="1">
        <v>3</v>
      </c>
      <c r="Q2084" s="1">
        <v>21.1</v>
      </c>
      <c r="R2084" s="1">
        <v>8</v>
      </c>
      <c r="S2084" s="1">
        <v>91</v>
      </c>
    </row>
    <row r="2085" spans="1:43" x14ac:dyDescent="0.3">
      <c r="A2085" s="1">
        <v>33369</v>
      </c>
      <c r="B2085" s="1" t="s">
        <v>232</v>
      </c>
      <c r="C2085" s="1" t="s">
        <v>209</v>
      </c>
      <c r="D2085" s="2">
        <f t="shared" si="121"/>
        <v>2014</v>
      </c>
      <c r="E2085" s="2">
        <f t="shared" si="122"/>
        <v>8</v>
      </c>
      <c r="F2085" s="3" t="s">
        <v>179</v>
      </c>
      <c r="G2085" s="4">
        <v>41865</v>
      </c>
      <c r="H2085" s="1">
        <v>6600935</v>
      </c>
      <c r="I2085" s="1">
        <v>1626764</v>
      </c>
      <c r="J2085" s="1" t="s">
        <v>191</v>
      </c>
      <c r="K2085" s="1" t="s">
        <v>210</v>
      </c>
      <c r="L2085" s="1" t="str">
        <f t="shared" si="123"/>
        <v>Vallentunasjön Va2</v>
      </c>
      <c r="M2085" s="1" t="s">
        <v>214</v>
      </c>
      <c r="N2085" s="1">
        <v>4</v>
      </c>
      <c r="O2085" s="1">
        <v>4</v>
      </c>
      <c r="Q2085" s="1">
        <v>21</v>
      </c>
      <c r="R2085" s="1">
        <v>8</v>
      </c>
      <c r="S2085" s="1">
        <v>91</v>
      </c>
    </row>
    <row r="2086" spans="1:43" x14ac:dyDescent="0.3">
      <c r="A2086" s="1">
        <v>33370</v>
      </c>
      <c r="B2086" s="1" t="s">
        <v>232</v>
      </c>
      <c r="C2086" s="1" t="s">
        <v>209</v>
      </c>
      <c r="D2086" s="2">
        <f t="shared" si="121"/>
        <v>2014</v>
      </c>
      <c r="E2086" s="2">
        <f t="shared" si="122"/>
        <v>8</v>
      </c>
      <c r="F2086" s="3" t="s">
        <v>179</v>
      </c>
      <c r="G2086" s="4">
        <v>41865</v>
      </c>
      <c r="H2086" s="1">
        <v>6600935</v>
      </c>
      <c r="I2086" s="1">
        <v>1626764</v>
      </c>
      <c r="J2086" s="1" t="s">
        <v>191</v>
      </c>
      <c r="K2086" s="1" t="s">
        <v>210</v>
      </c>
      <c r="L2086" s="1" t="str">
        <f t="shared" si="123"/>
        <v>Vallentunasjön Va2</v>
      </c>
      <c r="M2086" s="1" t="s">
        <v>184</v>
      </c>
      <c r="N2086" s="1">
        <v>4.5</v>
      </c>
      <c r="O2086" s="1">
        <v>4.5</v>
      </c>
      <c r="Q2086" s="1">
        <v>21</v>
      </c>
      <c r="R2086" s="1">
        <v>7.2</v>
      </c>
      <c r="S2086" s="1">
        <v>81</v>
      </c>
    </row>
    <row r="2087" spans="1:43" x14ac:dyDescent="0.3">
      <c r="A2087" s="1">
        <v>33371</v>
      </c>
      <c r="B2087" s="1" t="s">
        <v>232</v>
      </c>
      <c r="C2087" s="1" t="s">
        <v>209</v>
      </c>
      <c r="D2087" s="2">
        <f t="shared" si="121"/>
        <v>2014</v>
      </c>
      <c r="E2087" s="2">
        <f t="shared" si="122"/>
        <v>8</v>
      </c>
      <c r="F2087" s="3" t="s">
        <v>179</v>
      </c>
      <c r="G2087" s="4">
        <v>41865</v>
      </c>
      <c r="J2087" s="1" t="s">
        <v>191</v>
      </c>
      <c r="K2087" s="1" t="s">
        <v>206</v>
      </c>
      <c r="L2087" s="1" t="str">
        <f t="shared" si="123"/>
        <v>Vallentunasjön Blandprov</v>
      </c>
      <c r="M2087" s="1" t="s">
        <v>177</v>
      </c>
      <c r="N2087" s="1">
        <v>4</v>
      </c>
      <c r="O2087" s="1">
        <v>0</v>
      </c>
      <c r="W2087" s="1">
        <v>7.2697000000000003</v>
      </c>
      <c r="Z2087" s="1">
        <v>5.97</v>
      </c>
      <c r="AB2087" s="1">
        <v>48.044400000000003</v>
      </c>
      <c r="AD2087" s="1">
        <v>0</v>
      </c>
      <c r="AG2087" s="1">
        <v>28</v>
      </c>
      <c r="AK2087" s="1">
        <v>65.31</v>
      </c>
      <c r="AL2087" s="1">
        <v>1632.34</v>
      </c>
    </row>
    <row r="2088" spans="1:43" x14ac:dyDescent="0.3">
      <c r="A2088" s="6">
        <v>33686</v>
      </c>
      <c r="B2088" s="5" t="s">
        <v>230</v>
      </c>
      <c r="C2088" s="5" t="s">
        <v>231</v>
      </c>
      <c r="D2088" s="2">
        <f t="shared" si="121"/>
        <v>2014</v>
      </c>
      <c r="E2088" s="2">
        <f t="shared" si="122"/>
        <v>8</v>
      </c>
      <c r="F2088" s="3" t="s">
        <v>179</v>
      </c>
      <c r="G2088" s="7">
        <v>41872</v>
      </c>
      <c r="H2088" s="6">
        <v>6599245</v>
      </c>
      <c r="I2088" s="6">
        <v>1622345</v>
      </c>
      <c r="J2088" s="5" t="s">
        <v>186</v>
      </c>
      <c r="K2088" s="1">
        <v>1</v>
      </c>
      <c r="L2088" s="1" t="str">
        <f t="shared" si="123"/>
        <v>Norrviken 1</v>
      </c>
      <c r="M2088" s="1" t="s">
        <v>177</v>
      </c>
      <c r="N2088" s="6">
        <v>0.5</v>
      </c>
      <c r="O2088" s="6">
        <v>0.5</v>
      </c>
      <c r="P2088" s="6">
        <v>1</v>
      </c>
      <c r="Q2088" s="6">
        <v>18.5</v>
      </c>
      <c r="R2088" s="6">
        <v>9.6</v>
      </c>
      <c r="S2088" s="6">
        <v>103</v>
      </c>
      <c r="V2088" s="6">
        <v>2.2065349397</v>
      </c>
      <c r="W2088" s="6">
        <v>4.6845999999999997</v>
      </c>
      <c r="X2088" s="1">
        <f>W2088 * (1/((10^((0.0901821 + (2729.92 /(273.15 + Q2088)))-AE2088)+1)))</f>
        <v>0.19147235136514779</v>
      </c>
      <c r="Y2088" s="6">
        <v>4.7E-2</v>
      </c>
      <c r="Z2088" s="6">
        <v>21.56</v>
      </c>
      <c r="AA2088" s="6">
        <v>8.8000000000000007</v>
      </c>
      <c r="AB2088" s="6">
        <v>33.95646</v>
      </c>
      <c r="AD2088" s="6">
        <v>0.75</v>
      </c>
      <c r="AE2088" s="6">
        <v>8.08</v>
      </c>
      <c r="AK2088" s="6">
        <v>82.91</v>
      </c>
      <c r="AL2088" s="6">
        <v>960.18</v>
      </c>
      <c r="AM2088" s="6"/>
      <c r="AN2088" s="6"/>
      <c r="AO2088" s="6"/>
      <c r="AP2088" s="6"/>
      <c r="AQ2088" s="6"/>
    </row>
    <row r="2089" spans="1:43" x14ac:dyDescent="0.3">
      <c r="A2089" s="6">
        <v>33687</v>
      </c>
      <c r="B2089" s="5" t="s">
        <v>230</v>
      </c>
      <c r="C2089" s="5" t="s">
        <v>231</v>
      </c>
      <c r="D2089" s="2">
        <f t="shared" si="121"/>
        <v>2014</v>
      </c>
      <c r="E2089" s="2">
        <f t="shared" si="122"/>
        <v>8</v>
      </c>
      <c r="F2089" s="3" t="s">
        <v>179</v>
      </c>
      <c r="G2089" s="7">
        <v>41872</v>
      </c>
      <c r="H2089" s="6">
        <v>6599245</v>
      </c>
      <c r="I2089" s="6">
        <v>1622345</v>
      </c>
      <c r="J2089" s="5" t="s">
        <v>186</v>
      </c>
      <c r="K2089" s="1">
        <v>1</v>
      </c>
      <c r="L2089" s="1" t="str">
        <f t="shared" si="123"/>
        <v>Norrviken 1</v>
      </c>
      <c r="M2089" s="5" t="s">
        <v>211</v>
      </c>
      <c r="N2089" s="6">
        <v>1</v>
      </c>
      <c r="O2089" s="6">
        <v>1</v>
      </c>
      <c r="Q2089" s="6">
        <v>18.5</v>
      </c>
      <c r="R2089" s="6">
        <v>9.4</v>
      </c>
      <c r="S2089" s="6">
        <v>101</v>
      </c>
    </row>
    <row r="2090" spans="1:43" x14ac:dyDescent="0.3">
      <c r="A2090" s="6">
        <v>33688</v>
      </c>
      <c r="B2090" s="5" t="s">
        <v>230</v>
      </c>
      <c r="C2090" s="5" t="s">
        <v>231</v>
      </c>
      <c r="D2090" s="2">
        <f t="shared" si="121"/>
        <v>2014</v>
      </c>
      <c r="E2090" s="2">
        <f t="shared" si="122"/>
        <v>8</v>
      </c>
      <c r="F2090" s="3" t="s">
        <v>179</v>
      </c>
      <c r="G2090" s="7">
        <v>41872</v>
      </c>
      <c r="H2090" s="6">
        <v>6599245</v>
      </c>
      <c r="I2090" s="6">
        <v>1622345</v>
      </c>
      <c r="J2090" s="5" t="s">
        <v>186</v>
      </c>
      <c r="K2090" s="1">
        <v>1</v>
      </c>
      <c r="L2090" s="1" t="str">
        <f t="shared" si="123"/>
        <v>Norrviken 1</v>
      </c>
      <c r="M2090" s="5" t="s">
        <v>212</v>
      </c>
      <c r="N2090" s="6">
        <v>2</v>
      </c>
      <c r="O2090" s="6">
        <v>2</v>
      </c>
      <c r="Q2090" s="6">
        <v>18.399999999999999</v>
      </c>
      <c r="R2090" s="6">
        <v>8.8000000000000007</v>
      </c>
      <c r="S2090" s="6">
        <v>95</v>
      </c>
    </row>
    <row r="2091" spans="1:43" x14ac:dyDescent="0.3">
      <c r="A2091" s="6">
        <v>33689</v>
      </c>
      <c r="B2091" s="5" t="s">
        <v>230</v>
      </c>
      <c r="C2091" s="5" t="s">
        <v>231</v>
      </c>
      <c r="D2091" s="2">
        <f t="shared" si="121"/>
        <v>2014</v>
      </c>
      <c r="E2091" s="2">
        <f t="shared" si="122"/>
        <v>8</v>
      </c>
      <c r="F2091" s="3" t="s">
        <v>179</v>
      </c>
      <c r="G2091" s="7">
        <v>41872</v>
      </c>
      <c r="H2091" s="6">
        <v>6599245</v>
      </c>
      <c r="I2091" s="6">
        <v>1622345</v>
      </c>
      <c r="J2091" s="5" t="s">
        <v>186</v>
      </c>
      <c r="K2091" s="1">
        <v>1</v>
      </c>
      <c r="L2091" s="1" t="str">
        <f t="shared" si="123"/>
        <v>Norrviken 1</v>
      </c>
      <c r="M2091" s="1" t="s">
        <v>184</v>
      </c>
      <c r="N2091" s="6">
        <v>2.7</v>
      </c>
      <c r="O2091" s="6">
        <v>2.7</v>
      </c>
      <c r="Q2091" s="6">
        <v>18.399999999999999</v>
      </c>
      <c r="R2091" s="6">
        <v>8.5</v>
      </c>
      <c r="S2091" s="6">
        <v>92</v>
      </c>
      <c r="V2091" s="6">
        <v>2.2853397590000002</v>
      </c>
      <c r="W2091" s="6">
        <v>4.0507999999999997</v>
      </c>
      <c r="X2091" s="1">
        <f>W2091 * (1/((10^((0.0901821 + (2729.92 /(273.15 + Q2091)))-AE2091)+1)))</f>
        <v>0.16806769593752896</v>
      </c>
      <c r="Y2091" s="6">
        <v>4.7E-2</v>
      </c>
      <c r="Z2091" s="6">
        <v>21.95</v>
      </c>
      <c r="AA2091" s="6">
        <v>11.2</v>
      </c>
      <c r="AD2091" s="6">
        <v>1.22</v>
      </c>
      <c r="AE2091" s="6">
        <v>8.09</v>
      </c>
      <c r="AK2091" s="6">
        <v>94.23</v>
      </c>
      <c r="AL2091" s="6">
        <v>996.03</v>
      </c>
      <c r="AM2091" s="6"/>
      <c r="AN2091" s="6"/>
      <c r="AO2091" s="6"/>
      <c r="AP2091" s="6"/>
      <c r="AQ2091" s="6"/>
    </row>
    <row r="2092" spans="1:43" x14ac:dyDescent="0.3">
      <c r="A2092" s="6">
        <v>33690</v>
      </c>
      <c r="B2092" s="5" t="s">
        <v>230</v>
      </c>
      <c r="C2092" s="5" t="s">
        <v>231</v>
      </c>
      <c r="D2092" s="2">
        <f t="shared" si="121"/>
        <v>2014</v>
      </c>
      <c r="E2092" s="2">
        <f t="shared" si="122"/>
        <v>8</v>
      </c>
      <c r="F2092" s="3" t="s">
        <v>179</v>
      </c>
      <c r="G2092" s="7">
        <v>41872</v>
      </c>
      <c r="H2092" s="6">
        <v>6599245</v>
      </c>
      <c r="I2092" s="6">
        <v>1622345</v>
      </c>
      <c r="J2092" s="5" t="s">
        <v>186</v>
      </c>
      <c r="K2092" s="1">
        <v>1</v>
      </c>
      <c r="L2092" s="1" t="str">
        <f t="shared" si="123"/>
        <v>Norrviken 1</v>
      </c>
      <c r="M2092" s="5" t="s">
        <v>206</v>
      </c>
      <c r="N2092" s="6">
        <v>2</v>
      </c>
      <c r="O2092" s="6">
        <v>0</v>
      </c>
    </row>
    <row r="2093" spans="1:43" x14ac:dyDescent="0.3">
      <c r="A2093" s="6">
        <v>33691</v>
      </c>
      <c r="B2093" s="5" t="s">
        <v>230</v>
      </c>
      <c r="C2093" s="5" t="s">
        <v>231</v>
      </c>
      <c r="D2093" s="2">
        <f t="shared" si="121"/>
        <v>2014</v>
      </c>
      <c r="E2093" s="2">
        <f t="shared" si="122"/>
        <v>8</v>
      </c>
      <c r="F2093" s="3" t="s">
        <v>179</v>
      </c>
      <c r="G2093" s="7">
        <v>41872</v>
      </c>
      <c r="H2093" s="6">
        <v>6596620</v>
      </c>
      <c r="I2093" s="6">
        <v>1620350</v>
      </c>
      <c r="J2093" s="5" t="s">
        <v>186</v>
      </c>
      <c r="K2093" s="1">
        <v>2</v>
      </c>
      <c r="L2093" s="1" t="str">
        <f t="shared" si="123"/>
        <v>Norrviken 2</v>
      </c>
      <c r="M2093" s="1" t="s">
        <v>177</v>
      </c>
      <c r="N2093" s="6">
        <v>0.5</v>
      </c>
      <c r="O2093" s="6">
        <v>0.5</v>
      </c>
      <c r="P2093" s="6">
        <v>2</v>
      </c>
      <c r="Q2093" s="6">
        <v>19.5</v>
      </c>
      <c r="R2093" s="6">
        <v>8.3000000000000007</v>
      </c>
      <c r="S2093" s="6">
        <v>91</v>
      </c>
      <c r="V2093" s="6">
        <v>2.3641445782999999</v>
      </c>
      <c r="W2093" s="6">
        <v>20.925699999999999</v>
      </c>
      <c r="X2093" s="1">
        <f>W2093 * (1/((10^((0.0901821 + (2729.92 /(273.15 + Q2093)))-AE2093)+1)))</f>
        <v>0.8402775728651829</v>
      </c>
      <c r="Y2093" s="6">
        <v>3.5999999999999997E-2</v>
      </c>
      <c r="Z2093" s="6">
        <v>33.07</v>
      </c>
      <c r="AA2093" s="6">
        <v>4.5</v>
      </c>
      <c r="AB2093" s="6">
        <v>15.021179999999999</v>
      </c>
      <c r="AD2093" s="6">
        <v>3.95</v>
      </c>
      <c r="AE2093" s="6">
        <v>8.0399999999999991</v>
      </c>
      <c r="AK2093" s="6">
        <v>70.62</v>
      </c>
      <c r="AL2093" s="6">
        <v>817.22</v>
      </c>
      <c r="AM2093" s="6"/>
      <c r="AN2093" s="6"/>
      <c r="AO2093" s="6"/>
      <c r="AP2093" s="6"/>
      <c r="AQ2093" s="6"/>
    </row>
    <row r="2094" spans="1:43" x14ac:dyDescent="0.3">
      <c r="A2094" s="6">
        <v>33692</v>
      </c>
      <c r="B2094" s="5" t="s">
        <v>230</v>
      </c>
      <c r="C2094" s="5" t="s">
        <v>231</v>
      </c>
      <c r="D2094" s="2">
        <f t="shared" si="121"/>
        <v>2014</v>
      </c>
      <c r="E2094" s="2">
        <f t="shared" si="122"/>
        <v>8</v>
      </c>
      <c r="F2094" s="3" t="s">
        <v>179</v>
      </c>
      <c r="G2094" s="7">
        <v>41872</v>
      </c>
      <c r="H2094" s="6">
        <v>6596620</v>
      </c>
      <c r="I2094" s="6">
        <v>1620350</v>
      </c>
      <c r="J2094" s="5" t="s">
        <v>186</v>
      </c>
      <c r="K2094" s="1">
        <v>2</v>
      </c>
      <c r="L2094" s="1" t="str">
        <f t="shared" si="123"/>
        <v>Norrviken 2</v>
      </c>
      <c r="M2094" s="5" t="s">
        <v>211</v>
      </c>
      <c r="N2094" s="6">
        <v>1</v>
      </c>
      <c r="O2094" s="6">
        <v>1</v>
      </c>
      <c r="Q2094" s="6">
        <v>19.5</v>
      </c>
      <c r="R2094" s="6">
        <v>8.3000000000000007</v>
      </c>
      <c r="S2094" s="6">
        <v>91</v>
      </c>
    </row>
    <row r="2095" spans="1:43" x14ac:dyDescent="0.3">
      <c r="A2095" s="6">
        <v>33693</v>
      </c>
      <c r="B2095" s="5" t="s">
        <v>230</v>
      </c>
      <c r="C2095" s="5" t="s">
        <v>231</v>
      </c>
      <c r="D2095" s="2">
        <f t="shared" si="121"/>
        <v>2014</v>
      </c>
      <c r="E2095" s="2">
        <f t="shared" si="122"/>
        <v>8</v>
      </c>
      <c r="F2095" s="3" t="s">
        <v>179</v>
      </c>
      <c r="G2095" s="7">
        <v>41872</v>
      </c>
      <c r="H2095" s="6">
        <v>6596620</v>
      </c>
      <c r="I2095" s="6">
        <v>1620350</v>
      </c>
      <c r="J2095" s="5" t="s">
        <v>186</v>
      </c>
      <c r="K2095" s="1">
        <v>2</v>
      </c>
      <c r="L2095" s="1" t="str">
        <f t="shared" si="123"/>
        <v>Norrviken 2</v>
      </c>
      <c r="M2095" s="5" t="s">
        <v>212</v>
      </c>
      <c r="N2095" s="6">
        <v>2</v>
      </c>
      <c r="O2095" s="6">
        <v>2</v>
      </c>
      <c r="Q2095" s="6">
        <v>19.399999999999999</v>
      </c>
      <c r="R2095" s="6">
        <v>8.3000000000000007</v>
      </c>
      <c r="S2095" s="6">
        <v>91</v>
      </c>
    </row>
    <row r="2096" spans="1:43" x14ac:dyDescent="0.3">
      <c r="A2096" s="6">
        <v>33694</v>
      </c>
      <c r="B2096" s="5" t="s">
        <v>230</v>
      </c>
      <c r="C2096" s="5" t="s">
        <v>231</v>
      </c>
      <c r="D2096" s="2">
        <f t="shared" si="121"/>
        <v>2014</v>
      </c>
      <c r="E2096" s="2">
        <f t="shared" si="122"/>
        <v>8</v>
      </c>
      <c r="F2096" s="3" t="s">
        <v>179</v>
      </c>
      <c r="G2096" s="7">
        <v>41872</v>
      </c>
      <c r="H2096" s="6">
        <v>6596620</v>
      </c>
      <c r="I2096" s="6">
        <v>1620350</v>
      </c>
      <c r="J2096" s="5" t="s">
        <v>186</v>
      </c>
      <c r="K2096" s="1">
        <v>2</v>
      </c>
      <c r="L2096" s="1" t="str">
        <f t="shared" si="123"/>
        <v>Norrviken 2</v>
      </c>
      <c r="M2096" s="5" t="s">
        <v>213</v>
      </c>
      <c r="N2096" s="6">
        <v>3</v>
      </c>
      <c r="O2096" s="6">
        <v>3</v>
      </c>
      <c r="Q2096" s="6">
        <v>19.399999999999999</v>
      </c>
      <c r="R2096" s="6">
        <v>8.1999999999999993</v>
      </c>
      <c r="S2096" s="6">
        <v>90</v>
      </c>
    </row>
    <row r="2097" spans="1:43" x14ac:dyDescent="0.3">
      <c r="A2097" s="6">
        <v>33695</v>
      </c>
      <c r="B2097" s="5" t="s">
        <v>230</v>
      </c>
      <c r="C2097" s="5" t="s">
        <v>231</v>
      </c>
      <c r="D2097" s="2">
        <f t="shared" si="121"/>
        <v>2014</v>
      </c>
      <c r="E2097" s="2">
        <f t="shared" si="122"/>
        <v>8</v>
      </c>
      <c r="F2097" s="3" t="s">
        <v>179</v>
      </c>
      <c r="G2097" s="7">
        <v>41872</v>
      </c>
      <c r="H2097" s="6">
        <v>6596620</v>
      </c>
      <c r="I2097" s="6">
        <v>1620350</v>
      </c>
      <c r="J2097" s="5" t="s">
        <v>186</v>
      </c>
      <c r="K2097" s="1">
        <v>2</v>
      </c>
      <c r="L2097" s="1" t="str">
        <f t="shared" si="123"/>
        <v>Norrviken 2</v>
      </c>
      <c r="M2097" s="5" t="s">
        <v>214</v>
      </c>
      <c r="N2097" s="6">
        <v>4</v>
      </c>
      <c r="O2097" s="6">
        <v>4</v>
      </c>
      <c r="Q2097" s="6">
        <v>19.399999999999999</v>
      </c>
      <c r="R2097" s="6">
        <v>8.1</v>
      </c>
      <c r="S2097" s="6">
        <v>89</v>
      </c>
    </row>
    <row r="2098" spans="1:43" x14ac:dyDescent="0.3">
      <c r="A2098" s="6">
        <v>33696</v>
      </c>
      <c r="B2098" s="5" t="s">
        <v>230</v>
      </c>
      <c r="C2098" s="5" t="s">
        <v>231</v>
      </c>
      <c r="D2098" s="2">
        <f t="shared" si="121"/>
        <v>2014</v>
      </c>
      <c r="E2098" s="2">
        <f t="shared" si="122"/>
        <v>8</v>
      </c>
      <c r="F2098" s="3" t="s">
        <v>179</v>
      </c>
      <c r="G2098" s="7">
        <v>41872</v>
      </c>
      <c r="H2098" s="6">
        <v>6596620</v>
      </c>
      <c r="I2098" s="6">
        <v>1620350</v>
      </c>
      <c r="J2098" s="5" t="s">
        <v>186</v>
      </c>
      <c r="K2098" s="1">
        <v>2</v>
      </c>
      <c r="L2098" s="1" t="str">
        <f t="shared" si="123"/>
        <v>Norrviken 2</v>
      </c>
      <c r="M2098" s="5" t="s">
        <v>217</v>
      </c>
      <c r="N2098" s="6">
        <v>5</v>
      </c>
      <c r="O2098" s="6">
        <v>5</v>
      </c>
      <c r="Q2098" s="6">
        <v>19.399999999999999</v>
      </c>
      <c r="R2098" s="6">
        <v>8</v>
      </c>
      <c r="S2098" s="6">
        <v>88</v>
      </c>
    </row>
    <row r="2099" spans="1:43" x14ac:dyDescent="0.3">
      <c r="A2099" s="6">
        <v>33697</v>
      </c>
      <c r="B2099" s="5" t="s">
        <v>230</v>
      </c>
      <c r="C2099" s="5" t="s">
        <v>231</v>
      </c>
      <c r="D2099" s="2">
        <f t="shared" si="121"/>
        <v>2014</v>
      </c>
      <c r="E2099" s="2">
        <f t="shared" si="122"/>
        <v>8</v>
      </c>
      <c r="F2099" s="3" t="s">
        <v>179</v>
      </c>
      <c r="G2099" s="7">
        <v>41872</v>
      </c>
      <c r="H2099" s="6">
        <v>6596620</v>
      </c>
      <c r="I2099" s="6">
        <v>1620350</v>
      </c>
      <c r="J2099" s="5" t="s">
        <v>186</v>
      </c>
      <c r="K2099" s="1">
        <v>2</v>
      </c>
      <c r="L2099" s="1" t="str">
        <f t="shared" si="123"/>
        <v>Norrviken 2</v>
      </c>
      <c r="M2099" s="5" t="s">
        <v>218</v>
      </c>
      <c r="N2099" s="6">
        <v>6</v>
      </c>
      <c r="O2099" s="6">
        <v>6</v>
      </c>
      <c r="Q2099" s="6">
        <v>19.7</v>
      </c>
      <c r="R2099" s="6">
        <v>8</v>
      </c>
      <c r="S2099" s="6">
        <v>88</v>
      </c>
    </row>
    <row r="2100" spans="1:43" x14ac:dyDescent="0.3">
      <c r="A2100" s="6">
        <v>33698</v>
      </c>
      <c r="B2100" s="5" t="s">
        <v>230</v>
      </c>
      <c r="C2100" s="5" t="s">
        <v>231</v>
      </c>
      <c r="D2100" s="2">
        <f t="shared" si="121"/>
        <v>2014</v>
      </c>
      <c r="E2100" s="2">
        <f t="shared" si="122"/>
        <v>8</v>
      </c>
      <c r="F2100" s="3" t="s">
        <v>179</v>
      </c>
      <c r="G2100" s="7">
        <v>41872</v>
      </c>
      <c r="H2100" s="6">
        <v>6596620</v>
      </c>
      <c r="I2100" s="6">
        <v>1620350</v>
      </c>
      <c r="J2100" s="5" t="s">
        <v>186</v>
      </c>
      <c r="K2100" s="1">
        <v>2</v>
      </c>
      <c r="L2100" s="1" t="str">
        <f t="shared" si="123"/>
        <v>Norrviken 2</v>
      </c>
      <c r="M2100" s="5" t="s">
        <v>219</v>
      </c>
      <c r="N2100" s="6">
        <v>7</v>
      </c>
      <c r="O2100" s="6">
        <v>7</v>
      </c>
      <c r="Q2100" s="6">
        <v>19.7</v>
      </c>
      <c r="R2100" s="6">
        <v>8</v>
      </c>
      <c r="S2100" s="6">
        <v>87</v>
      </c>
    </row>
    <row r="2101" spans="1:43" x14ac:dyDescent="0.3">
      <c r="A2101" s="6">
        <v>33699</v>
      </c>
      <c r="B2101" s="5" t="s">
        <v>230</v>
      </c>
      <c r="C2101" s="5" t="s">
        <v>231</v>
      </c>
      <c r="D2101" s="2">
        <f t="shared" si="121"/>
        <v>2014</v>
      </c>
      <c r="E2101" s="2">
        <f t="shared" si="122"/>
        <v>8</v>
      </c>
      <c r="F2101" s="3" t="s">
        <v>179</v>
      </c>
      <c r="G2101" s="7">
        <v>41872</v>
      </c>
      <c r="H2101" s="6">
        <v>6596620</v>
      </c>
      <c r="I2101" s="6">
        <v>1620350</v>
      </c>
      <c r="J2101" s="5" t="s">
        <v>186</v>
      </c>
      <c r="K2101" s="1">
        <v>2</v>
      </c>
      <c r="L2101" s="1" t="str">
        <f t="shared" si="123"/>
        <v>Norrviken 2</v>
      </c>
      <c r="M2101" s="5" t="s">
        <v>220</v>
      </c>
      <c r="N2101" s="6">
        <v>8</v>
      </c>
      <c r="O2101" s="6">
        <v>8</v>
      </c>
      <c r="Q2101" s="6">
        <v>16.7</v>
      </c>
      <c r="R2101" s="6">
        <v>0.2</v>
      </c>
      <c r="S2101" s="6">
        <v>2</v>
      </c>
    </row>
    <row r="2102" spans="1:43" x14ac:dyDescent="0.3">
      <c r="A2102" s="6">
        <v>33700</v>
      </c>
      <c r="B2102" s="5" t="s">
        <v>230</v>
      </c>
      <c r="C2102" s="5" t="s">
        <v>231</v>
      </c>
      <c r="D2102" s="2">
        <f t="shared" si="121"/>
        <v>2014</v>
      </c>
      <c r="E2102" s="2">
        <f t="shared" si="122"/>
        <v>8</v>
      </c>
      <c r="F2102" s="3" t="s">
        <v>179</v>
      </c>
      <c r="G2102" s="7">
        <v>41872</v>
      </c>
      <c r="H2102" s="6">
        <v>6596620</v>
      </c>
      <c r="I2102" s="6">
        <v>1620350</v>
      </c>
      <c r="J2102" s="5" t="s">
        <v>186</v>
      </c>
      <c r="K2102" s="1">
        <v>2</v>
      </c>
      <c r="L2102" s="1" t="str">
        <f t="shared" si="123"/>
        <v>Norrviken 2</v>
      </c>
      <c r="M2102" s="1" t="s">
        <v>184</v>
      </c>
      <c r="N2102" s="6">
        <v>8.1999999999999993</v>
      </c>
      <c r="O2102" s="6">
        <v>8.1999999999999993</v>
      </c>
      <c r="Q2102" s="6">
        <v>16.100000000000001</v>
      </c>
      <c r="R2102" s="6">
        <v>0.1</v>
      </c>
      <c r="S2102" s="6">
        <v>1</v>
      </c>
      <c r="V2102" s="6">
        <v>2.6005590360999999</v>
      </c>
      <c r="W2102" s="6">
        <v>385.54809999999998</v>
      </c>
      <c r="X2102" s="1">
        <f>W2102 * (1/((10^((0.0901821 + (2729.92 /(273.15 + Q2102)))-AE2102)+1)))</f>
        <v>4.8140866933958</v>
      </c>
      <c r="Y2102" s="6">
        <v>4.2999999999999997E-2</v>
      </c>
      <c r="Z2102" s="6">
        <v>204.9</v>
      </c>
      <c r="AA2102" s="6">
        <v>9.4</v>
      </c>
      <c r="AD2102" s="6">
        <v>5.28</v>
      </c>
      <c r="AE2102" s="6">
        <v>7.63</v>
      </c>
      <c r="AK2102" s="6">
        <v>247.18</v>
      </c>
      <c r="AL2102" s="6">
        <v>1161.24</v>
      </c>
      <c r="AM2102" s="6"/>
      <c r="AN2102" s="6"/>
      <c r="AO2102" s="6"/>
      <c r="AP2102" s="6"/>
      <c r="AQ2102" s="6"/>
    </row>
    <row r="2103" spans="1:43" x14ac:dyDescent="0.3">
      <c r="A2103" s="6">
        <v>33701</v>
      </c>
      <c r="B2103" s="5" t="s">
        <v>230</v>
      </c>
      <c r="C2103" s="5" t="s">
        <v>231</v>
      </c>
      <c r="D2103" s="2">
        <f t="shared" si="121"/>
        <v>2014</v>
      </c>
      <c r="E2103" s="2">
        <f t="shared" si="122"/>
        <v>8</v>
      </c>
      <c r="F2103" s="3" t="s">
        <v>179</v>
      </c>
      <c r="G2103" s="7">
        <v>41872</v>
      </c>
      <c r="H2103" s="6">
        <v>6596620</v>
      </c>
      <c r="I2103" s="6">
        <v>1620350</v>
      </c>
      <c r="J2103" s="5" t="s">
        <v>186</v>
      </c>
      <c r="K2103" s="1">
        <v>2</v>
      </c>
      <c r="L2103" s="1" t="str">
        <f t="shared" si="123"/>
        <v>Norrviken 2</v>
      </c>
      <c r="M2103" s="5" t="s">
        <v>206</v>
      </c>
      <c r="N2103" s="6">
        <v>4</v>
      </c>
      <c r="O2103" s="6">
        <v>0</v>
      </c>
    </row>
    <row r="2104" spans="1:43" x14ac:dyDescent="0.3">
      <c r="A2104" s="6">
        <v>33702</v>
      </c>
      <c r="B2104" s="5" t="s">
        <v>230</v>
      </c>
      <c r="C2104" s="5" t="s">
        <v>231</v>
      </c>
      <c r="D2104" s="2">
        <f t="shared" si="121"/>
        <v>2014</v>
      </c>
      <c r="E2104" s="2">
        <f t="shared" si="122"/>
        <v>8</v>
      </c>
      <c r="F2104" s="3" t="s">
        <v>179</v>
      </c>
      <c r="G2104" s="7">
        <v>41872</v>
      </c>
      <c r="H2104" s="6">
        <v>6594885</v>
      </c>
      <c r="I2104" s="6">
        <v>1620750</v>
      </c>
      <c r="J2104" s="5" t="s">
        <v>186</v>
      </c>
      <c r="K2104" s="1">
        <v>3</v>
      </c>
      <c r="L2104" s="1" t="str">
        <f t="shared" si="123"/>
        <v>Norrviken 3</v>
      </c>
      <c r="M2104" s="1" t="s">
        <v>177</v>
      </c>
      <c r="N2104" s="6">
        <v>0.5</v>
      </c>
      <c r="O2104" s="6">
        <v>0.5</v>
      </c>
      <c r="P2104" s="6">
        <v>2.6</v>
      </c>
      <c r="Q2104" s="6">
        <v>19.399999999999999</v>
      </c>
      <c r="R2104" s="6">
        <v>7.3</v>
      </c>
      <c r="S2104" s="6">
        <v>80</v>
      </c>
      <c r="V2104" s="6">
        <v>2.4232481927</v>
      </c>
      <c r="W2104" s="6">
        <v>49.715400000000002</v>
      </c>
      <c r="X2104" s="1">
        <f>W2104 * (1/((10^((0.0901821 + (2729.92 /(273.15 + Q2104)))-AE2104)+1)))</f>
        <v>1.6972983149842475</v>
      </c>
      <c r="Y2104" s="6">
        <v>3.7999999999999999E-2</v>
      </c>
      <c r="Z2104" s="6">
        <v>44.49</v>
      </c>
      <c r="AA2104" s="6">
        <v>3.6</v>
      </c>
      <c r="AB2104" s="6">
        <v>6.3818999999999999</v>
      </c>
      <c r="AD2104" s="6">
        <v>1.1100000000000001</v>
      </c>
      <c r="AE2104" s="6">
        <v>7.97</v>
      </c>
      <c r="AK2104" s="6">
        <v>69.48</v>
      </c>
      <c r="AL2104" s="6">
        <v>765.38</v>
      </c>
      <c r="AM2104" s="6"/>
      <c r="AN2104" s="6"/>
      <c r="AO2104" s="6"/>
      <c r="AP2104" s="6"/>
      <c r="AQ2104" s="6"/>
    </row>
    <row r="2105" spans="1:43" x14ac:dyDescent="0.3">
      <c r="A2105" s="6">
        <v>33703</v>
      </c>
      <c r="B2105" s="5" t="s">
        <v>230</v>
      </c>
      <c r="C2105" s="5" t="s">
        <v>231</v>
      </c>
      <c r="D2105" s="2">
        <f t="shared" si="121"/>
        <v>2014</v>
      </c>
      <c r="E2105" s="2">
        <f t="shared" si="122"/>
        <v>8</v>
      </c>
      <c r="F2105" s="3" t="s">
        <v>179</v>
      </c>
      <c r="G2105" s="7">
        <v>41872</v>
      </c>
      <c r="H2105" s="6">
        <v>6594885</v>
      </c>
      <c r="I2105" s="6">
        <v>1620750</v>
      </c>
      <c r="J2105" s="5" t="s">
        <v>186</v>
      </c>
      <c r="K2105" s="1">
        <v>3</v>
      </c>
      <c r="L2105" s="1" t="str">
        <f t="shared" si="123"/>
        <v>Norrviken 3</v>
      </c>
      <c r="M2105" s="5" t="s">
        <v>211</v>
      </c>
      <c r="N2105" s="6">
        <v>1</v>
      </c>
      <c r="O2105" s="6">
        <v>1</v>
      </c>
      <c r="Q2105" s="6">
        <v>19.399999999999999</v>
      </c>
      <c r="R2105" s="6">
        <v>7.2</v>
      </c>
      <c r="S2105" s="6">
        <v>79</v>
      </c>
    </row>
    <row r="2106" spans="1:43" x14ac:dyDescent="0.3">
      <c r="A2106" s="6">
        <v>33704</v>
      </c>
      <c r="B2106" s="5" t="s">
        <v>230</v>
      </c>
      <c r="C2106" s="5" t="s">
        <v>231</v>
      </c>
      <c r="D2106" s="2">
        <f t="shared" si="121"/>
        <v>2014</v>
      </c>
      <c r="E2106" s="2">
        <f t="shared" si="122"/>
        <v>8</v>
      </c>
      <c r="F2106" s="3" t="s">
        <v>179</v>
      </c>
      <c r="G2106" s="7">
        <v>41872</v>
      </c>
      <c r="H2106" s="6">
        <v>6594885</v>
      </c>
      <c r="I2106" s="6">
        <v>1620750</v>
      </c>
      <c r="J2106" s="5" t="s">
        <v>186</v>
      </c>
      <c r="K2106" s="1">
        <v>3</v>
      </c>
      <c r="L2106" s="1" t="str">
        <f t="shared" si="123"/>
        <v>Norrviken 3</v>
      </c>
      <c r="M2106" s="5" t="s">
        <v>212</v>
      </c>
      <c r="N2106" s="6">
        <v>2</v>
      </c>
      <c r="O2106" s="6">
        <v>2</v>
      </c>
      <c r="Q2106" s="6">
        <v>19.399999999999999</v>
      </c>
      <c r="R2106" s="6">
        <v>6.8</v>
      </c>
      <c r="S2106" s="6">
        <v>75</v>
      </c>
    </row>
    <row r="2107" spans="1:43" x14ac:dyDescent="0.3">
      <c r="A2107" s="6">
        <v>33705</v>
      </c>
      <c r="B2107" s="5" t="s">
        <v>230</v>
      </c>
      <c r="C2107" s="5" t="s">
        <v>231</v>
      </c>
      <c r="D2107" s="2">
        <f t="shared" si="121"/>
        <v>2014</v>
      </c>
      <c r="E2107" s="2">
        <f t="shared" si="122"/>
        <v>8</v>
      </c>
      <c r="F2107" s="3" t="s">
        <v>179</v>
      </c>
      <c r="G2107" s="7">
        <v>41872</v>
      </c>
      <c r="H2107" s="6">
        <v>6594885</v>
      </c>
      <c r="I2107" s="6">
        <v>1620750</v>
      </c>
      <c r="J2107" s="5" t="s">
        <v>186</v>
      </c>
      <c r="K2107" s="1">
        <v>3</v>
      </c>
      <c r="L2107" s="1" t="str">
        <f t="shared" si="123"/>
        <v>Norrviken 3</v>
      </c>
      <c r="M2107" s="5" t="s">
        <v>213</v>
      </c>
      <c r="N2107" s="6">
        <v>3</v>
      </c>
      <c r="O2107" s="6">
        <v>3</v>
      </c>
      <c r="Q2107" s="6">
        <v>19.399999999999999</v>
      </c>
      <c r="R2107" s="6">
        <v>6.5</v>
      </c>
      <c r="S2107" s="6">
        <v>71</v>
      </c>
    </row>
    <row r="2108" spans="1:43" x14ac:dyDescent="0.3">
      <c r="A2108" s="6">
        <v>33706</v>
      </c>
      <c r="B2108" s="5" t="s">
        <v>230</v>
      </c>
      <c r="C2108" s="5" t="s">
        <v>231</v>
      </c>
      <c r="D2108" s="2">
        <f t="shared" si="121"/>
        <v>2014</v>
      </c>
      <c r="E2108" s="2">
        <f t="shared" si="122"/>
        <v>8</v>
      </c>
      <c r="F2108" s="3" t="s">
        <v>179</v>
      </c>
      <c r="G2108" s="7">
        <v>41872</v>
      </c>
      <c r="H2108" s="6">
        <v>6594885</v>
      </c>
      <c r="I2108" s="6">
        <v>1620750</v>
      </c>
      <c r="J2108" s="5" t="s">
        <v>186</v>
      </c>
      <c r="K2108" s="1">
        <v>3</v>
      </c>
      <c r="L2108" s="1" t="str">
        <f t="shared" si="123"/>
        <v>Norrviken 3</v>
      </c>
      <c r="M2108" s="5" t="s">
        <v>214</v>
      </c>
      <c r="N2108" s="6">
        <v>4</v>
      </c>
      <c r="O2108" s="6">
        <v>4</v>
      </c>
      <c r="Q2108" s="6">
        <v>19.399999999999999</v>
      </c>
      <c r="R2108" s="6">
        <v>6.6</v>
      </c>
      <c r="S2108" s="6">
        <v>72</v>
      </c>
    </row>
    <row r="2109" spans="1:43" x14ac:dyDescent="0.3">
      <c r="A2109" s="6">
        <v>33707</v>
      </c>
      <c r="B2109" s="5" t="s">
        <v>230</v>
      </c>
      <c r="C2109" s="5" t="s">
        <v>231</v>
      </c>
      <c r="D2109" s="2">
        <f t="shared" si="121"/>
        <v>2014</v>
      </c>
      <c r="E2109" s="2">
        <f t="shared" si="122"/>
        <v>8</v>
      </c>
      <c r="F2109" s="3" t="s">
        <v>179</v>
      </c>
      <c r="G2109" s="7">
        <v>41872</v>
      </c>
      <c r="H2109" s="6">
        <v>6594885</v>
      </c>
      <c r="I2109" s="6">
        <v>1620750</v>
      </c>
      <c r="J2109" s="5" t="s">
        <v>186</v>
      </c>
      <c r="K2109" s="1">
        <v>3</v>
      </c>
      <c r="L2109" s="1" t="str">
        <f t="shared" si="123"/>
        <v>Norrviken 3</v>
      </c>
      <c r="M2109" s="5" t="s">
        <v>217</v>
      </c>
      <c r="N2109" s="6">
        <v>5</v>
      </c>
      <c r="O2109" s="6">
        <v>5</v>
      </c>
      <c r="Q2109" s="6">
        <v>19.3</v>
      </c>
      <c r="R2109" s="6">
        <v>6.7</v>
      </c>
      <c r="S2109" s="6">
        <v>73</v>
      </c>
    </row>
    <row r="2110" spans="1:43" x14ac:dyDescent="0.3">
      <c r="A2110" s="6">
        <v>33708</v>
      </c>
      <c r="B2110" s="5" t="s">
        <v>230</v>
      </c>
      <c r="C2110" s="5" t="s">
        <v>231</v>
      </c>
      <c r="D2110" s="2">
        <f t="shared" si="121"/>
        <v>2014</v>
      </c>
      <c r="E2110" s="2">
        <f t="shared" si="122"/>
        <v>8</v>
      </c>
      <c r="F2110" s="3" t="s">
        <v>179</v>
      </c>
      <c r="G2110" s="7">
        <v>41872</v>
      </c>
      <c r="H2110" s="6">
        <v>6594885</v>
      </c>
      <c r="I2110" s="6">
        <v>1620750</v>
      </c>
      <c r="J2110" s="5" t="s">
        <v>186</v>
      </c>
      <c r="K2110" s="1">
        <v>3</v>
      </c>
      <c r="L2110" s="1" t="str">
        <f t="shared" si="123"/>
        <v>Norrviken 3</v>
      </c>
      <c r="M2110" s="5" t="s">
        <v>218</v>
      </c>
      <c r="N2110" s="6">
        <v>6</v>
      </c>
      <c r="O2110" s="6">
        <v>6</v>
      </c>
      <c r="Q2110" s="6">
        <v>19.100000000000001</v>
      </c>
      <c r="R2110" s="6">
        <v>4.9000000000000004</v>
      </c>
      <c r="S2110" s="6">
        <v>54</v>
      </c>
    </row>
    <row r="2111" spans="1:43" x14ac:dyDescent="0.3">
      <c r="A2111" s="6">
        <v>33709</v>
      </c>
      <c r="B2111" s="5" t="s">
        <v>230</v>
      </c>
      <c r="C2111" s="5" t="s">
        <v>231</v>
      </c>
      <c r="D2111" s="2">
        <f t="shared" si="121"/>
        <v>2014</v>
      </c>
      <c r="E2111" s="2">
        <f t="shared" si="122"/>
        <v>8</v>
      </c>
      <c r="F2111" s="3" t="s">
        <v>179</v>
      </c>
      <c r="G2111" s="7">
        <v>41872</v>
      </c>
      <c r="H2111" s="6">
        <v>6594885</v>
      </c>
      <c r="I2111" s="6">
        <v>1620750</v>
      </c>
      <c r="J2111" s="5" t="s">
        <v>186</v>
      </c>
      <c r="K2111" s="1">
        <v>3</v>
      </c>
      <c r="L2111" s="1" t="str">
        <f t="shared" si="123"/>
        <v>Norrviken 3</v>
      </c>
      <c r="M2111" s="5" t="s">
        <v>219</v>
      </c>
      <c r="N2111" s="6">
        <v>7</v>
      </c>
      <c r="O2111" s="6">
        <v>7</v>
      </c>
      <c r="Q2111" s="6">
        <v>17</v>
      </c>
      <c r="R2111" s="6">
        <v>0.2</v>
      </c>
      <c r="S2111" s="6">
        <v>2</v>
      </c>
    </row>
    <row r="2112" spans="1:43" x14ac:dyDescent="0.3">
      <c r="A2112" s="6">
        <v>33710</v>
      </c>
      <c r="B2112" s="5" t="s">
        <v>230</v>
      </c>
      <c r="C2112" s="5" t="s">
        <v>231</v>
      </c>
      <c r="D2112" s="2">
        <f t="shared" si="121"/>
        <v>2014</v>
      </c>
      <c r="E2112" s="2">
        <f t="shared" si="122"/>
        <v>8</v>
      </c>
      <c r="F2112" s="3" t="s">
        <v>179</v>
      </c>
      <c r="G2112" s="7">
        <v>41872</v>
      </c>
      <c r="H2112" s="6">
        <v>6594885</v>
      </c>
      <c r="I2112" s="6">
        <v>1620750</v>
      </c>
      <c r="J2112" s="5" t="s">
        <v>186</v>
      </c>
      <c r="K2112" s="1">
        <v>3</v>
      </c>
      <c r="L2112" s="1" t="str">
        <f t="shared" si="123"/>
        <v>Norrviken 3</v>
      </c>
      <c r="M2112" s="5" t="s">
        <v>220</v>
      </c>
      <c r="N2112" s="6">
        <v>8</v>
      </c>
      <c r="O2112" s="6">
        <v>8</v>
      </c>
      <c r="Q2112" s="6">
        <v>16.100000000000001</v>
      </c>
      <c r="R2112" s="6">
        <v>0.1</v>
      </c>
      <c r="S2112" s="6">
        <v>1</v>
      </c>
    </row>
    <row r="2113" spans="1:43" x14ac:dyDescent="0.3">
      <c r="A2113" s="6">
        <v>33711</v>
      </c>
      <c r="B2113" s="5" t="s">
        <v>230</v>
      </c>
      <c r="C2113" s="5" t="s">
        <v>231</v>
      </c>
      <c r="D2113" s="2">
        <f t="shared" si="121"/>
        <v>2014</v>
      </c>
      <c r="E2113" s="2">
        <f t="shared" si="122"/>
        <v>8</v>
      </c>
      <c r="F2113" s="3" t="s">
        <v>179</v>
      </c>
      <c r="G2113" s="7">
        <v>41872</v>
      </c>
      <c r="H2113" s="6">
        <v>6594885</v>
      </c>
      <c r="I2113" s="6">
        <v>1620750</v>
      </c>
      <c r="J2113" s="5" t="s">
        <v>186</v>
      </c>
      <c r="K2113" s="1">
        <v>3</v>
      </c>
      <c r="L2113" s="1" t="str">
        <f t="shared" si="123"/>
        <v>Norrviken 3</v>
      </c>
      <c r="M2113" s="5" t="s">
        <v>221</v>
      </c>
      <c r="N2113" s="6">
        <v>9</v>
      </c>
      <c r="O2113" s="6">
        <v>9</v>
      </c>
      <c r="Q2113" s="6">
        <v>15.7</v>
      </c>
      <c r="R2113" s="6">
        <v>0.1</v>
      </c>
      <c r="S2113" s="6">
        <v>1</v>
      </c>
    </row>
    <row r="2114" spans="1:43" x14ac:dyDescent="0.3">
      <c r="A2114" s="6">
        <v>33712</v>
      </c>
      <c r="B2114" s="5" t="s">
        <v>230</v>
      </c>
      <c r="C2114" s="5" t="s">
        <v>231</v>
      </c>
      <c r="D2114" s="2">
        <f t="shared" ref="D2114:D2177" si="124">YEAR(G2114)</f>
        <v>2014</v>
      </c>
      <c r="E2114" s="2">
        <f t="shared" ref="E2114:E2177" si="125">MONTH(G2114)</f>
        <v>8</v>
      </c>
      <c r="F2114" s="3" t="s">
        <v>179</v>
      </c>
      <c r="G2114" s="7">
        <v>41872</v>
      </c>
      <c r="H2114" s="6">
        <v>6594885</v>
      </c>
      <c r="I2114" s="6">
        <v>1620750</v>
      </c>
      <c r="J2114" s="5" t="s">
        <v>186</v>
      </c>
      <c r="K2114" s="1">
        <v>3</v>
      </c>
      <c r="L2114" s="1" t="str">
        <f t="shared" ref="L2114:L2177" si="126">CONCATENATE(J2114," ",K2114)</f>
        <v>Norrviken 3</v>
      </c>
      <c r="M2114" s="5" t="s">
        <v>222</v>
      </c>
      <c r="N2114" s="6">
        <v>10</v>
      </c>
      <c r="O2114" s="6">
        <v>10</v>
      </c>
      <c r="Q2114" s="6">
        <v>15</v>
      </c>
      <c r="R2114" s="6">
        <v>0.1</v>
      </c>
      <c r="S2114" s="6">
        <v>1</v>
      </c>
    </row>
    <row r="2115" spans="1:43" x14ac:dyDescent="0.3">
      <c r="A2115" s="6">
        <v>33713</v>
      </c>
      <c r="B2115" s="5" t="s">
        <v>230</v>
      </c>
      <c r="C2115" s="5" t="s">
        <v>231</v>
      </c>
      <c r="D2115" s="2">
        <f t="shared" si="124"/>
        <v>2014</v>
      </c>
      <c r="E2115" s="2">
        <f t="shared" si="125"/>
        <v>8</v>
      </c>
      <c r="F2115" s="3" t="s">
        <v>179</v>
      </c>
      <c r="G2115" s="7">
        <v>41872</v>
      </c>
      <c r="H2115" s="6">
        <v>6594885</v>
      </c>
      <c r="I2115" s="6">
        <v>1620750</v>
      </c>
      <c r="J2115" s="5" t="s">
        <v>186</v>
      </c>
      <c r="K2115" s="1">
        <v>3</v>
      </c>
      <c r="L2115" s="1" t="str">
        <f t="shared" si="126"/>
        <v>Norrviken 3</v>
      </c>
      <c r="M2115" s="5" t="s">
        <v>223</v>
      </c>
      <c r="N2115" s="6">
        <v>11</v>
      </c>
      <c r="O2115" s="6">
        <v>11</v>
      </c>
      <c r="Q2115" s="6">
        <v>14.5</v>
      </c>
      <c r="R2115" s="6">
        <v>0.1</v>
      </c>
      <c r="S2115" s="6">
        <v>1</v>
      </c>
    </row>
    <row r="2116" spans="1:43" x14ac:dyDescent="0.3">
      <c r="A2116" s="6">
        <v>33714</v>
      </c>
      <c r="B2116" s="5" t="s">
        <v>230</v>
      </c>
      <c r="C2116" s="5" t="s">
        <v>231</v>
      </c>
      <c r="D2116" s="2">
        <f t="shared" si="124"/>
        <v>2014</v>
      </c>
      <c r="E2116" s="2">
        <f t="shared" si="125"/>
        <v>8</v>
      </c>
      <c r="F2116" s="3" t="s">
        <v>179</v>
      </c>
      <c r="G2116" s="7">
        <v>41872</v>
      </c>
      <c r="H2116" s="6">
        <v>6594885</v>
      </c>
      <c r="I2116" s="6">
        <v>1620750</v>
      </c>
      <c r="J2116" s="5" t="s">
        <v>186</v>
      </c>
      <c r="K2116" s="1">
        <v>3</v>
      </c>
      <c r="L2116" s="1" t="str">
        <f t="shared" si="126"/>
        <v>Norrviken 3</v>
      </c>
      <c r="M2116" s="1" t="s">
        <v>184</v>
      </c>
      <c r="N2116" s="6">
        <v>11.4</v>
      </c>
      <c r="O2116" s="6">
        <v>11.4</v>
      </c>
      <c r="Q2116" s="6">
        <v>14.5</v>
      </c>
      <c r="R2116" s="6">
        <v>0.1</v>
      </c>
      <c r="S2116" s="6">
        <v>1</v>
      </c>
      <c r="V2116" s="6">
        <v>2.7975710842999999</v>
      </c>
      <c r="W2116" s="6">
        <v>980.26239999999996</v>
      </c>
      <c r="X2116" s="1">
        <f>W2116 * (1/((10^((0.0901821 + (2729.92 /(273.15 + Q2116)))-AE2116)+1)))</f>
        <v>9.915678895798278</v>
      </c>
      <c r="Y2116" s="6">
        <v>5.0999999999999997E-2</v>
      </c>
      <c r="Z2116" s="6">
        <v>457.12</v>
      </c>
      <c r="AA2116" s="6">
        <v>10.6</v>
      </c>
      <c r="AD2116" s="6">
        <v>5.23</v>
      </c>
      <c r="AE2116" s="6">
        <v>7.59</v>
      </c>
      <c r="AK2116" s="6">
        <v>486.18</v>
      </c>
      <c r="AL2116" s="6">
        <v>1724.82</v>
      </c>
      <c r="AM2116" s="6"/>
      <c r="AN2116" s="6"/>
      <c r="AO2116" s="6"/>
      <c r="AP2116" s="6"/>
      <c r="AQ2116" s="6"/>
    </row>
    <row r="2117" spans="1:43" x14ac:dyDescent="0.3">
      <c r="A2117" s="6">
        <v>33715</v>
      </c>
      <c r="B2117" s="5" t="s">
        <v>230</v>
      </c>
      <c r="C2117" s="5" t="s">
        <v>231</v>
      </c>
      <c r="D2117" s="2">
        <f t="shared" si="124"/>
        <v>2014</v>
      </c>
      <c r="E2117" s="2">
        <f t="shared" si="125"/>
        <v>8</v>
      </c>
      <c r="F2117" s="3" t="s">
        <v>179</v>
      </c>
      <c r="G2117" s="7">
        <v>41872</v>
      </c>
      <c r="H2117" s="6">
        <v>6594885</v>
      </c>
      <c r="I2117" s="6">
        <v>1620750</v>
      </c>
      <c r="J2117" s="5" t="s">
        <v>186</v>
      </c>
      <c r="K2117" s="1">
        <v>3</v>
      </c>
      <c r="L2117" s="1" t="str">
        <f t="shared" si="126"/>
        <v>Norrviken 3</v>
      </c>
      <c r="M2117" s="5" t="s">
        <v>206</v>
      </c>
      <c r="N2117" s="6">
        <v>6</v>
      </c>
      <c r="O2117" s="6">
        <v>0</v>
      </c>
    </row>
    <row r="2118" spans="1:43" x14ac:dyDescent="0.3">
      <c r="A2118" s="6">
        <v>33716</v>
      </c>
      <c r="B2118" s="5" t="s">
        <v>230</v>
      </c>
      <c r="C2118" s="5" t="s">
        <v>231</v>
      </c>
      <c r="D2118" s="2">
        <f t="shared" si="124"/>
        <v>2014</v>
      </c>
      <c r="E2118" s="2">
        <f t="shared" si="125"/>
        <v>8</v>
      </c>
      <c r="F2118" s="3" t="s">
        <v>179</v>
      </c>
      <c r="G2118" s="7">
        <v>41872</v>
      </c>
      <c r="H2118" s="6">
        <v>6597300</v>
      </c>
      <c r="I2118" s="6">
        <v>1619975</v>
      </c>
      <c r="J2118" s="5" t="s">
        <v>186</v>
      </c>
      <c r="K2118" s="1">
        <v>4</v>
      </c>
      <c r="L2118" s="1" t="str">
        <f t="shared" si="126"/>
        <v>Norrviken 4</v>
      </c>
      <c r="M2118" s="1" t="s">
        <v>177</v>
      </c>
      <c r="N2118" s="6">
        <v>0.5</v>
      </c>
      <c r="O2118" s="6">
        <v>0.5</v>
      </c>
      <c r="P2118" s="6">
        <v>2.1</v>
      </c>
      <c r="Q2118" s="6">
        <v>19</v>
      </c>
      <c r="R2118" s="6">
        <v>9.1</v>
      </c>
      <c r="S2118" s="6">
        <v>99</v>
      </c>
      <c r="V2118" s="6">
        <v>2.4429493976000001</v>
      </c>
      <c r="W2118" s="6">
        <v>2.3576000000000001</v>
      </c>
      <c r="X2118" s="1">
        <f>W2118 * (1/((10^((0.0901821 + (2729.92 /(273.15 + Q2118)))-AE2118)+1)))</f>
        <v>0.10664576014250565</v>
      </c>
      <c r="Y2118" s="6">
        <v>3.9E-2</v>
      </c>
      <c r="Z2118" s="6">
        <v>22.54</v>
      </c>
      <c r="AA2118" s="6">
        <v>2.8</v>
      </c>
      <c r="AB2118" s="6">
        <v>13.798259999999999</v>
      </c>
      <c r="AD2118" s="6">
        <v>2.0099999999999998</v>
      </c>
      <c r="AE2118" s="6">
        <v>8.11</v>
      </c>
      <c r="AK2118" s="6">
        <v>58.01</v>
      </c>
      <c r="AL2118" s="6">
        <v>754.85</v>
      </c>
      <c r="AM2118" s="6"/>
      <c r="AN2118" s="6"/>
      <c r="AO2118" s="6"/>
      <c r="AP2118" s="6"/>
      <c r="AQ2118" s="6"/>
    </row>
    <row r="2119" spans="1:43" x14ac:dyDescent="0.3">
      <c r="A2119" s="6">
        <v>33717</v>
      </c>
      <c r="B2119" s="5" t="s">
        <v>230</v>
      </c>
      <c r="C2119" s="5" t="s">
        <v>231</v>
      </c>
      <c r="D2119" s="2">
        <f t="shared" si="124"/>
        <v>2014</v>
      </c>
      <c r="E2119" s="2">
        <f t="shared" si="125"/>
        <v>8</v>
      </c>
      <c r="F2119" s="3" t="s">
        <v>179</v>
      </c>
      <c r="G2119" s="7">
        <v>41872</v>
      </c>
      <c r="H2119" s="6">
        <v>6597300</v>
      </c>
      <c r="I2119" s="6">
        <v>1619975</v>
      </c>
      <c r="J2119" s="5" t="s">
        <v>186</v>
      </c>
      <c r="K2119" s="1">
        <v>4</v>
      </c>
      <c r="L2119" s="1" t="str">
        <f t="shared" si="126"/>
        <v>Norrviken 4</v>
      </c>
      <c r="M2119" s="5" t="s">
        <v>211</v>
      </c>
      <c r="N2119" s="6">
        <v>1</v>
      </c>
      <c r="O2119" s="6">
        <v>1</v>
      </c>
      <c r="Q2119" s="6">
        <v>19</v>
      </c>
      <c r="R2119" s="6">
        <v>8.9</v>
      </c>
      <c r="S2119" s="6">
        <v>97</v>
      </c>
    </row>
    <row r="2120" spans="1:43" x14ac:dyDescent="0.3">
      <c r="A2120" s="6">
        <v>33718</v>
      </c>
      <c r="B2120" s="5" t="s">
        <v>230</v>
      </c>
      <c r="C2120" s="5" t="s">
        <v>231</v>
      </c>
      <c r="D2120" s="2">
        <f t="shared" si="124"/>
        <v>2014</v>
      </c>
      <c r="E2120" s="2">
        <f t="shared" si="125"/>
        <v>8</v>
      </c>
      <c r="F2120" s="3" t="s">
        <v>179</v>
      </c>
      <c r="G2120" s="7">
        <v>41872</v>
      </c>
      <c r="H2120" s="6">
        <v>6597300</v>
      </c>
      <c r="I2120" s="6">
        <v>1619975</v>
      </c>
      <c r="J2120" s="5" t="s">
        <v>186</v>
      </c>
      <c r="K2120" s="1">
        <v>4</v>
      </c>
      <c r="L2120" s="1" t="str">
        <f t="shared" si="126"/>
        <v>Norrviken 4</v>
      </c>
      <c r="M2120" s="1" t="s">
        <v>184</v>
      </c>
      <c r="N2120" s="6">
        <v>2.1</v>
      </c>
      <c r="O2120" s="6">
        <v>2.1</v>
      </c>
      <c r="Q2120" s="6">
        <v>19</v>
      </c>
      <c r="R2120" s="6">
        <v>8.5</v>
      </c>
      <c r="S2120" s="6">
        <v>92</v>
      </c>
      <c r="V2120" s="6">
        <v>2.2656385542000002</v>
      </c>
      <c r="W2120" s="6">
        <v>0</v>
      </c>
      <c r="X2120" s="1">
        <f>W2120 * (1/((10^((0.0901821 + (2729.92 /(273.15 + Q2120)))-AE2120)+1)))</f>
        <v>0</v>
      </c>
      <c r="Y2120" s="6">
        <v>3.9E-2</v>
      </c>
      <c r="Z2120" s="6">
        <v>22.79</v>
      </c>
      <c r="AA2120" s="6">
        <v>3</v>
      </c>
      <c r="AD2120" s="6">
        <v>2.69</v>
      </c>
      <c r="AE2120" s="6">
        <v>8.1300000000000008</v>
      </c>
      <c r="AK2120" s="6">
        <v>57.19</v>
      </c>
      <c r="AL2120" s="6">
        <v>774.36</v>
      </c>
      <c r="AM2120" s="6"/>
      <c r="AN2120" s="6"/>
      <c r="AO2120" s="6"/>
      <c r="AP2120" s="6"/>
      <c r="AQ2120" s="6"/>
    </row>
    <row r="2121" spans="1:43" x14ac:dyDescent="0.3">
      <c r="A2121" s="6">
        <v>33719</v>
      </c>
      <c r="B2121" s="5" t="s">
        <v>230</v>
      </c>
      <c r="C2121" s="5" t="s">
        <v>231</v>
      </c>
      <c r="D2121" s="2">
        <f t="shared" si="124"/>
        <v>2014</v>
      </c>
      <c r="E2121" s="2">
        <f t="shared" si="125"/>
        <v>8</v>
      </c>
      <c r="F2121" s="3" t="s">
        <v>179</v>
      </c>
      <c r="G2121" s="7">
        <v>41872</v>
      </c>
      <c r="H2121" s="6">
        <v>6597300</v>
      </c>
      <c r="I2121" s="6">
        <v>1619975</v>
      </c>
      <c r="J2121" s="5" t="s">
        <v>186</v>
      </c>
      <c r="K2121" s="1">
        <v>4</v>
      </c>
      <c r="L2121" s="1" t="str">
        <f t="shared" si="126"/>
        <v>Norrviken 4</v>
      </c>
      <c r="M2121" s="5" t="s">
        <v>206</v>
      </c>
      <c r="N2121" s="6">
        <v>2</v>
      </c>
      <c r="O2121" s="6">
        <v>0</v>
      </c>
    </row>
    <row r="2122" spans="1:43" x14ac:dyDescent="0.3">
      <c r="A2122" s="6">
        <v>34063</v>
      </c>
      <c r="B2122" s="5" t="s">
        <v>230</v>
      </c>
      <c r="C2122" s="5" t="s">
        <v>231</v>
      </c>
      <c r="D2122" s="2">
        <f t="shared" si="124"/>
        <v>2014</v>
      </c>
      <c r="E2122" s="2">
        <f t="shared" si="125"/>
        <v>8</v>
      </c>
      <c r="F2122" s="3" t="s">
        <v>179</v>
      </c>
      <c r="G2122" s="7">
        <v>41876</v>
      </c>
      <c r="H2122" s="6">
        <v>6599695</v>
      </c>
      <c r="I2122" s="6">
        <v>1617290</v>
      </c>
      <c r="J2122" s="5" t="s">
        <v>182</v>
      </c>
      <c r="K2122" s="1"/>
      <c r="L2122" s="1" t="str">
        <f t="shared" si="126"/>
        <v xml:space="preserve">Edssjön </v>
      </c>
      <c r="M2122" s="1" t="s">
        <v>177</v>
      </c>
      <c r="N2122" s="6">
        <v>0.5</v>
      </c>
      <c r="O2122" s="6">
        <v>0.5</v>
      </c>
      <c r="P2122" s="6">
        <v>1.9</v>
      </c>
      <c r="Q2122" s="6">
        <v>18.7</v>
      </c>
      <c r="R2122" s="6">
        <v>6.9</v>
      </c>
      <c r="S2122" s="6">
        <v>75</v>
      </c>
      <c r="V2122" s="6">
        <v>2.7495096773999999</v>
      </c>
      <c r="W2122" s="6">
        <v>173.86590000000001</v>
      </c>
      <c r="X2122" s="1">
        <f>W2122 * (1/((10^((0.0901821 + (2729.92 /(273.15 + Q2122)))-AE2122)+1)))</f>
        <v>6.7453069043761227</v>
      </c>
      <c r="Y2122" s="6">
        <v>5.6000000000000001E-2</v>
      </c>
      <c r="Z2122" s="6">
        <v>82.77</v>
      </c>
      <c r="AA2122" s="6">
        <v>4.5</v>
      </c>
      <c r="AB2122" s="6">
        <v>4.6442399999999999</v>
      </c>
      <c r="AD2122" s="6">
        <v>16.21</v>
      </c>
      <c r="AE2122" s="6">
        <v>8.0500000000000007</v>
      </c>
      <c r="AK2122" s="6">
        <v>108.44</v>
      </c>
      <c r="AL2122" s="6">
        <v>975.94</v>
      </c>
      <c r="AM2122" s="6"/>
      <c r="AN2122" s="6"/>
      <c r="AO2122" s="6"/>
      <c r="AP2122" s="6"/>
      <c r="AQ2122" s="6"/>
    </row>
    <row r="2123" spans="1:43" x14ac:dyDescent="0.3">
      <c r="A2123" s="6">
        <v>34064</v>
      </c>
      <c r="B2123" s="5" t="s">
        <v>230</v>
      </c>
      <c r="C2123" s="5" t="s">
        <v>231</v>
      </c>
      <c r="D2123" s="2">
        <f t="shared" si="124"/>
        <v>2014</v>
      </c>
      <c r="E2123" s="2">
        <f t="shared" si="125"/>
        <v>8</v>
      </c>
      <c r="F2123" s="3" t="s">
        <v>179</v>
      </c>
      <c r="G2123" s="7">
        <v>41876</v>
      </c>
      <c r="H2123" s="6">
        <v>6599695</v>
      </c>
      <c r="I2123" s="6">
        <v>1617290</v>
      </c>
      <c r="J2123" s="5" t="s">
        <v>182</v>
      </c>
      <c r="K2123" s="1"/>
      <c r="L2123" s="1" t="str">
        <f t="shared" si="126"/>
        <v xml:space="preserve">Edssjön </v>
      </c>
      <c r="M2123" s="5" t="s">
        <v>211</v>
      </c>
      <c r="N2123" s="6">
        <v>1</v>
      </c>
      <c r="O2123" s="6">
        <v>1</v>
      </c>
      <c r="Q2123" s="6">
        <v>18.399999999999999</v>
      </c>
      <c r="R2123" s="6">
        <v>6.7</v>
      </c>
      <c r="S2123" s="6">
        <v>72</v>
      </c>
    </row>
    <row r="2124" spans="1:43" x14ac:dyDescent="0.3">
      <c r="A2124" s="6">
        <v>34065</v>
      </c>
      <c r="B2124" s="5" t="s">
        <v>230</v>
      </c>
      <c r="C2124" s="5" t="s">
        <v>231</v>
      </c>
      <c r="D2124" s="2">
        <f t="shared" si="124"/>
        <v>2014</v>
      </c>
      <c r="E2124" s="2">
        <f t="shared" si="125"/>
        <v>8</v>
      </c>
      <c r="F2124" s="3" t="s">
        <v>179</v>
      </c>
      <c r="G2124" s="7">
        <v>41876</v>
      </c>
      <c r="H2124" s="6">
        <v>6599695</v>
      </c>
      <c r="I2124" s="6">
        <v>1617290</v>
      </c>
      <c r="J2124" s="5" t="s">
        <v>182</v>
      </c>
      <c r="K2124" s="1"/>
      <c r="L2124" s="1" t="str">
        <f t="shared" si="126"/>
        <v xml:space="preserve">Edssjön </v>
      </c>
      <c r="M2124" s="5" t="s">
        <v>212</v>
      </c>
      <c r="N2124" s="6">
        <v>2</v>
      </c>
      <c r="O2124" s="6">
        <v>2</v>
      </c>
      <c r="Q2124" s="6">
        <v>18.3</v>
      </c>
      <c r="R2124" s="6">
        <v>6.8</v>
      </c>
      <c r="S2124" s="6">
        <v>73</v>
      </c>
    </row>
    <row r="2125" spans="1:43" x14ac:dyDescent="0.3">
      <c r="A2125" s="6">
        <v>34066</v>
      </c>
      <c r="B2125" s="5" t="s">
        <v>230</v>
      </c>
      <c r="C2125" s="5" t="s">
        <v>231</v>
      </c>
      <c r="D2125" s="2">
        <f t="shared" si="124"/>
        <v>2014</v>
      </c>
      <c r="E2125" s="2">
        <f t="shared" si="125"/>
        <v>8</v>
      </c>
      <c r="F2125" s="3" t="s">
        <v>179</v>
      </c>
      <c r="G2125" s="7">
        <v>41876</v>
      </c>
      <c r="H2125" s="6">
        <v>6599695</v>
      </c>
      <c r="I2125" s="6">
        <v>1617290</v>
      </c>
      <c r="J2125" s="5" t="s">
        <v>182</v>
      </c>
      <c r="K2125" s="1"/>
      <c r="L2125" s="1" t="str">
        <f t="shared" si="126"/>
        <v xml:space="preserve">Edssjön </v>
      </c>
      <c r="M2125" s="5" t="s">
        <v>213</v>
      </c>
      <c r="N2125" s="6">
        <v>3</v>
      </c>
      <c r="O2125" s="6">
        <v>3</v>
      </c>
      <c r="Q2125" s="6">
        <v>18.2</v>
      </c>
      <c r="R2125" s="6">
        <v>6.4</v>
      </c>
      <c r="S2125" s="6">
        <v>68</v>
      </c>
    </row>
    <row r="2126" spans="1:43" x14ac:dyDescent="0.3">
      <c r="A2126" s="6">
        <v>34067</v>
      </c>
      <c r="B2126" s="5" t="s">
        <v>230</v>
      </c>
      <c r="C2126" s="5" t="s">
        <v>231</v>
      </c>
      <c r="D2126" s="2">
        <f t="shared" si="124"/>
        <v>2014</v>
      </c>
      <c r="E2126" s="2">
        <f t="shared" si="125"/>
        <v>8</v>
      </c>
      <c r="F2126" s="3" t="s">
        <v>179</v>
      </c>
      <c r="G2126" s="7">
        <v>41876</v>
      </c>
      <c r="H2126" s="6">
        <v>6599695</v>
      </c>
      <c r="I2126" s="6">
        <v>1617290</v>
      </c>
      <c r="J2126" s="5" t="s">
        <v>182</v>
      </c>
      <c r="K2126" s="1"/>
      <c r="L2126" s="1" t="str">
        <f t="shared" si="126"/>
        <v xml:space="preserve">Edssjön </v>
      </c>
      <c r="M2126" s="5" t="s">
        <v>214</v>
      </c>
      <c r="N2126" s="6">
        <v>4</v>
      </c>
      <c r="O2126" s="6">
        <v>4</v>
      </c>
      <c r="Q2126" s="6">
        <v>18.100000000000001</v>
      </c>
      <c r="R2126" s="6">
        <v>6.6</v>
      </c>
      <c r="S2126" s="6">
        <v>70</v>
      </c>
    </row>
    <row r="2127" spans="1:43" x14ac:dyDescent="0.3">
      <c r="A2127" s="6">
        <v>34068</v>
      </c>
      <c r="B2127" s="5" t="s">
        <v>230</v>
      </c>
      <c r="C2127" s="5" t="s">
        <v>231</v>
      </c>
      <c r="D2127" s="2">
        <f t="shared" si="124"/>
        <v>2014</v>
      </c>
      <c r="E2127" s="2">
        <f t="shared" si="125"/>
        <v>8</v>
      </c>
      <c r="F2127" s="3" t="s">
        <v>179</v>
      </c>
      <c r="G2127" s="7">
        <v>41876</v>
      </c>
      <c r="H2127" s="6">
        <v>6599695</v>
      </c>
      <c r="I2127" s="6">
        <v>1617290</v>
      </c>
      <c r="J2127" s="5" t="s">
        <v>182</v>
      </c>
      <c r="K2127" s="1"/>
      <c r="L2127" s="1" t="str">
        <f t="shared" si="126"/>
        <v xml:space="preserve">Edssjön </v>
      </c>
      <c r="M2127" s="1" t="s">
        <v>184</v>
      </c>
      <c r="N2127" s="6">
        <v>5.3</v>
      </c>
      <c r="O2127" s="6">
        <v>5.3</v>
      </c>
      <c r="Q2127" s="6">
        <v>18.100000000000001</v>
      </c>
      <c r="R2127" s="6">
        <v>5</v>
      </c>
      <c r="S2127" s="6">
        <v>53</v>
      </c>
      <c r="V2127" s="6">
        <v>2.7297290321999998</v>
      </c>
      <c r="W2127" s="6">
        <v>161.25280000000001</v>
      </c>
      <c r="X2127" s="1">
        <f>W2127 * (1/((10^((0.0901821 + (2729.92 /(273.15 + Q2127)))-AE2127)+1)))</f>
        <v>5.3643363056291049</v>
      </c>
      <c r="Y2127" s="6">
        <v>5.8999999999999997E-2</v>
      </c>
      <c r="Z2127" s="6">
        <v>78.209999999999994</v>
      </c>
      <c r="AA2127" s="6">
        <v>8.3000000000000007</v>
      </c>
      <c r="AD2127" s="6">
        <v>15.78</v>
      </c>
      <c r="AE2127" s="6">
        <v>8</v>
      </c>
      <c r="AK2127" s="6">
        <v>115.63</v>
      </c>
      <c r="AL2127" s="6">
        <v>1014.95</v>
      </c>
      <c r="AM2127" s="6"/>
      <c r="AN2127" s="6"/>
      <c r="AO2127" s="6"/>
      <c r="AP2127" s="6"/>
      <c r="AQ2127" s="6"/>
    </row>
    <row r="2128" spans="1:43" x14ac:dyDescent="0.3">
      <c r="A2128" s="6">
        <v>34069</v>
      </c>
      <c r="B2128" s="5" t="s">
        <v>230</v>
      </c>
      <c r="C2128" s="5" t="s">
        <v>231</v>
      </c>
      <c r="D2128" s="2">
        <f t="shared" si="124"/>
        <v>2014</v>
      </c>
      <c r="E2128" s="2">
        <f t="shared" si="125"/>
        <v>8</v>
      </c>
      <c r="F2128" s="3" t="s">
        <v>179</v>
      </c>
      <c r="G2128" s="7">
        <v>41876</v>
      </c>
      <c r="H2128" s="6">
        <v>6593820</v>
      </c>
      <c r="I2128" s="6">
        <v>1619360</v>
      </c>
      <c r="J2128" s="5" t="s">
        <v>188</v>
      </c>
      <c r="K2128" s="1"/>
      <c r="L2128" s="1" t="str">
        <f t="shared" si="126"/>
        <v xml:space="preserve">Ravalen </v>
      </c>
      <c r="M2128" s="1" t="s">
        <v>177</v>
      </c>
      <c r="N2128" s="6">
        <v>0.5</v>
      </c>
      <c r="O2128" s="6">
        <v>0.5</v>
      </c>
      <c r="P2128" s="6">
        <v>1.6</v>
      </c>
      <c r="Q2128" s="6">
        <v>17.600000000000001</v>
      </c>
      <c r="R2128" s="6">
        <v>11.6</v>
      </c>
      <c r="S2128" s="6">
        <v>123</v>
      </c>
      <c r="V2128" s="6">
        <v>1.9286129031999999</v>
      </c>
      <c r="W2128" s="6">
        <v>17.998699999999999</v>
      </c>
      <c r="X2128" s="1">
        <f>W2128 * (1/((10^((0.0901821 + (2729.92 /(273.15 + Q2128)))-AE2128)+1)))</f>
        <v>1.5382433349038283</v>
      </c>
      <c r="Y2128" s="6">
        <v>0.06</v>
      </c>
      <c r="Z2128" s="6">
        <v>0.22</v>
      </c>
      <c r="AA2128" s="6">
        <v>0.82</v>
      </c>
      <c r="AB2128" s="6">
        <v>1.22292</v>
      </c>
      <c r="AD2128" s="6">
        <v>1.87</v>
      </c>
      <c r="AE2128" s="6">
        <v>8.4499999999999993</v>
      </c>
      <c r="AK2128" s="6">
        <v>17.989999999999998</v>
      </c>
      <c r="AL2128" s="6">
        <v>781.88</v>
      </c>
      <c r="AM2128" s="6"/>
      <c r="AN2128" s="6"/>
      <c r="AO2128" s="6"/>
      <c r="AP2128" s="6"/>
      <c r="AQ2128" s="6"/>
    </row>
    <row r="2129" spans="1:48" x14ac:dyDescent="0.3">
      <c r="A2129" s="6">
        <v>34070</v>
      </c>
      <c r="B2129" s="5" t="s">
        <v>230</v>
      </c>
      <c r="C2129" s="5" t="s">
        <v>231</v>
      </c>
      <c r="D2129" s="2">
        <f t="shared" si="124"/>
        <v>2014</v>
      </c>
      <c r="E2129" s="2">
        <f t="shared" si="125"/>
        <v>8</v>
      </c>
      <c r="F2129" s="3" t="s">
        <v>179</v>
      </c>
      <c r="G2129" s="7">
        <v>41876</v>
      </c>
      <c r="H2129" s="6">
        <v>6593820</v>
      </c>
      <c r="I2129" s="6">
        <v>1619360</v>
      </c>
      <c r="J2129" s="5" t="s">
        <v>188</v>
      </c>
      <c r="K2129" s="1"/>
      <c r="L2129" s="1" t="str">
        <f t="shared" si="126"/>
        <v xml:space="preserve">Ravalen </v>
      </c>
      <c r="M2129" s="5" t="s">
        <v>211</v>
      </c>
      <c r="N2129" s="6">
        <v>1</v>
      </c>
      <c r="O2129" s="6">
        <v>1</v>
      </c>
      <c r="Q2129" s="6">
        <v>17.399999999999999</v>
      </c>
      <c r="R2129" s="6">
        <v>12</v>
      </c>
      <c r="S2129" s="6">
        <v>126</v>
      </c>
    </row>
    <row r="2130" spans="1:48" x14ac:dyDescent="0.3">
      <c r="A2130" s="6">
        <v>34071</v>
      </c>
      <c r="B2130" s="5" t="s">
        <v>230</v>
      </c>
      <c r="C2130" s="5" t="s">
        <v>231</v>
      </c>
      <c r="D2130" s="2">
        <f t="shared" si="124"/>
        <v>2014</v>
      </c>
      <c r="E2130" s="2">
        <f t="shared" si="125"/>
        <v>8</v>
      </c>
      <c r="F2130" s="3" t="s">
        <v>179</v>
      </c>
      <c r="G2130" s="7">
        <v>41876</v>
      </c>
      <c r="H2130" s="6">
        <v>6593820</v>
      </c>
      <c r="I2130" s="6">
        <v>1619360</v>
      </c>
      <c r="J2130" s="5" t="s">
        <v>188</v>
      </c>
      <c r="K2130" s="1"/>
      <c r="L2130" s="1" t="str">
        <f t="shared" si="126"/>
        <v xml:space="preserve">Ravalen </v>
      </c>
      <c r="M2130" s="1" t="s">
        <v>184</v>
      </c>
      <c r="N2130" s="6">
        <v>1.7</v>
      </c>
      <c r="O2130" s="6">
        <v>1.7</v>
      </c>
      <c r="Q2130" s="6">
        <v>16.899999999999999</v>
      </c>
      <c r="R2130" s="6">
        <v>9.6999999999999993</v>
      </c>
      <c r="S2130" s="6">
        <v>101</v>
      </c>
      <c r="V2130" s="6">
        <v>1.8544354838000001</v>
      </c>
      <c r="W2130" s="6">
        <v>21.453800000000001</v>
      </c>
      <c r="X2130" s="1">
        <f>W2130 * (1/((10^((0.0901821 + (2729.92 /(273.15 + Q2130)))-AE2130)+1)))</f>
        <v>1.7112978076146474</v>
      </c>
      <c r="Y2130" s="6">
        <v>6.0999999999999999E-2</v>
      </c>
      <c r="Z2130" s="6">
        <v>0.3</v>
      </c>
      <c r="AA2130" s="6">
        <v>0.76</v>
      </c>
      <c r="AD2130" s="6">
        <v>2.68</v>
      </c>
      <c r="AE2130" s="6">
        <v>8.44</v>
      </c>
      <c r="AK2130" s="6">
        <v>15.17</v>
      </c>
      <c r="AL2130" s="6">
        <v>799.36</v>
      </c>
      <c r="AM2130" s="6"/>
      <c r="AN2130" s="6"/>
      <c r="AO2130" s="6"/>
      <c r="AP2130" s="6"/>
      <c r="AQ2130" s="6"/>
    </row>
    <row r="2131" spans="1:48" x14ac:dyDescent="0.3">
      <c r="A2131" s="6">
        <v>34072</v>
      </c>
      <c r="B2131" s="5" t="s">
        <v>230</v>
      </c>
      <c r="C2131" s="5" t="s">
        <v>231</v>
      </c>
      <c r="D2131" s="2">
        <f t="shared" si="124"/>
        <v>2014</v>
      </c>
      <c r="E2131" s="2">
        <f t="shared" si="125"/>
        <v>8</v>
      </c>
      <c r="F2131" s="3" t="s">
        <v>179</v>
      </c>
      <c r="G2131" s="7">
        <v>41876</v>
      </c>
      <c r="H2131" s="6">
        <v>6594420</v>
      </c>
      <c r="I2131" s="6">
        <v>1615795</v>
      </c>
      <c r="J2131" s="5" t="s">
        <v>193</v>
      </c>
      <c r="K2131" s="1"/>
      <c r="L2131" s="1" t="str">
        <f t="shared" si="126"/>
        <v xml:space="preserve">Översjön </v>
      </c>
      <c r="M2131" s="1" t="s">
        <v>177</v>
      </c>
      <c r="N2131" s="6">
        <v>0.5</v>
      </c>
      <c r="O2131" s="6">
        <v>0.5</v>
      </c>
      <c r="P2131" s="6">
        <v>1.7</v>
      </c>
      <c r="Q2131" s="6">
        <v>19</v>
      </c>
      <c r="R2131" s="6">
        <v>9.6</v>
      </c>
      <c r="S2131" s="6">
        <v>105</v>
      </c>
      <c r="V2131" s="6">
        <v>1.8544354838000001</v>
      </c>
      <c r="W2131" s="6">
        <v>1.0024</v>
      </c>
      <c r="X2131" s="1">
        <f>W2131 * (1/((10^((0.0901821 + (2729.92 /(273.15 + Q2131)))-AE2131)+1)))</f>
        <v>4.1518967834489842E-2</v>
      </c>
      <c r="Y2131" s="6">
        <v>4.4999999999999998E-2</v>
      </c>
      <c r="Z2131" s="6">
        <v>0.76</v>
      </c>
      <c r="AA2131" s="6">
        <v>3.4</v>
      </c>
      <c r="AB2131" s="6">
        <v>11.485440000000001</v>
      </c>
      <c r="AD2131" s="6">
        <v>0.77</v>
      </c>
      <c r="AE2131" s="6">
        <v>8.07</v>
      </c>
      <c r="AK2131" s="6">
        <v>32.700000000000003</v>
      </c>
      <c r="AL2131" s="6">
        <v>909.65</v>
      </c>
      <c r="AM2131" s="6"/>
      <c r="AN2131" s="6"/>
      <c r="AO2131" s="6"/>
      <c r="AP2131" s="6"/>
      <c r="AQ2131" s="6"/>
    </row>
    <row r="2132" spans="1:48" x14ac:dyDescent="0.3">
      <c r="A2132" s="6">
        <v>34073</v>
      </c>
      <c r="B2132" s="5" t="s">
        <v>230</v>
      </c>
      <c r="C2132" s="5" t="s">
        <v>231</v>
      </c>
      <c r="D2132" s="2">
        <f t="shared" si="124"/>
        <v>2014</v>
      </c>
      <c r="E2132" s="2">
        <f t="shared" si="125"/>
        <v>8</v>
      </c>
      <c r="F2132" s="3" t="s">
        <v>179</v>
      </c>
      <c r="G2132" s="7">
        <v>41876</v>
      </c>
      <c r="H2132" s="6">
        <v>6594420</v>
      </c>
      <c r="I2132" s="6">
        <v>1615795</v>
      </c>
      <c r="J2132" s="5" t="s">
        <v>193</v>
      </c>
      <c r="K2132" s="1"/>
      <c r="L2132" s="1" t="str">
        <f t="shared" si="126"/>
        <v xml:space="preserve">Översjön </v>
      </c>
      <c r="M2132" s="5" t="s">
        <v>211</v>
      </c>
      <c r="N2132" s="6">
        <v>1</v>
      </c>
      <c r="O2132" s="6">
        <v>1</v>
      </c>
      <c r="Q2132" s="6">
        <v>18.7</v>
      </c>
      <c r="R2132" s="6">
        <v>9.5</v>
      </c>
      <c r="S2132" s="6">
        <v>103</v>
      </c>
    </row>
    <row r="2133" spans="1:48" x14ac:dyDescent="0.3">
      <c r="A2133" s="6">
        <v>34074</v>
      </c>
      <c r="B2133" s="5" t="s">
        <v>230</v>
      </c>
      <c r="C2133" s="5" t="s">
        <v>231</v>
      </c>
      <c r="D2133" s="2">
        <f t="shared" si="124"/>
        <v>2014</v>
      </c>
      <c r="E2133" s="2">
        <f t="shared" si="125"/>
        <v>8</v>
      </c>
      <c r="F2133" s="3" t="s">
        <v>179</v>
      </c>
      <c r="G2133" s="7">
        <v>41876</v>
      </c>
      <c r="H2133" s="6">
        <v>6594420</v>
      </c>
      <c r="I2133" s="6">
        <v>1615795</v>
      </c>
      <c r="J2133" s="5" t="s">
        <v>193</v>
      </c>
      <c r="K2133" s="1"/>
      <c r="L2133" s="1" t="str">
        <f t="shared" si="126"/>
        <v xml:space="preserve">Översjön </v>
      </c>
      <c r="M2133" s="5" t="s">
        <v>212</v>
      </c>
      <c r="N2133" s="6">
        <v>2</v>
      </c>
      <c r="O2133" s="6">
        <v>2</v>
      </c>
      <c r="Q2133" s="6">
        <v>18.3</v>
      </c>
      <c r="R2133" s="6">
        <v>9.3000000000000007</v>
      </c>
      <c r="S2133" s="6">
        <v>100</v>
      </c>
    </row>
    <row r="2134" spans="1:48" x14ac:dyDescent="0.3">
      <c r="A2134" s="6">
        <v>34075</v>
      </c>
      <c r="B2134" s="5" t="s">
        <v>230</v>
      </c>
      <c r="C2134" s="5" t="s">
        <v>231</v>
      </c>
      <c r="D2134" s="2">
        <f t="shared" si="124"/>
        <v>2014</v>
      </c>
      <c r="E2134" s="2">
        <f t="shared" si="125"/>
        <v>8</v>
      </c>
      <c r="F2134" s="3" t="s">
        <v>179</v>
      </c>
      <c r="G2134" s="7">
        <v>41876</v>
      </c>
      <c r="H2134" s="6">
        <v>6594420</v>
      </c>
      <c r="I2134" s="6">
        <v>1615795</v>
      </c>
      <c r="J2134" s="5" t="s">
        <v>193</v>
      </c>
      <c r="K2134" s="1"/>
      <c r="L2134" s="1" t="str">
        <f t="shared" si="126"/>
        <v xml:space="preserve">Översjön </v>
      </c>
      <c r="M2134" s="5" t="s">
        <v>213</v>
      </c>
      <c r="N2134" s="6">
        <v>3</v>
      </c>
      <c r="O2134" s="6">
        <v>3</v>
      </c>
      <c r="Q2134" s="6">
        <v>18</v>
      </c>
      <c r="R2134" s="6">
        <v>8</v>
      </c>
      <c r="S2134" s="6">
        <v>85</v>
      </c>
    </row>
    <row r="2135" spans="1:48" x14ac:dyDescent="0.3">
      <c r="A2135" s="6">
        <v>34076</v>
      </c>
      <c r="B2135" s="5" t="s">
        <v>230</v>
      </c>
      <c r="C2135" s="5" t="s">
        <v>231</v>
      </c>
      <c r="D2135" s="2">
        <f t="shared" si="124"/>
        <v>2014</v>
      </c>
      <c r="E2135" s="2">
        <f t="shared" si="125"/>
        <v>8</v>
      </c>
      <c r="F2135" s="3" t="s">
        <v>179</v>
      </c>
      <c r="G2135" s="7">
        <v>41876</v>
      </c>
      <c r="H2135" s="6">
        <v>6594420</v>
      </c>
      <c r="I2135" s="6">
        <v>1615795</v>
      </c>
      <c r="J2135" s="5" t="s">
        <v>193</v>
      </c>
      <c r="K2135" s="1"/>
      <c r="L2135" s="1" t="str">
        <f t="shared" si="126"/>
        <v xml:space="preserve">Översjön </v>
      </c>
      <c r="M2135" s="1" t="s">
        <v>184</v>
      </c>
      <c r="N2135" s="6">
        <v>3.7</v>
      </c>
      <c r="O2135" s="6">
        <v>3.7</v>
      </c>
      <c r="Q2135" s="6">
        <v>18</v>
      </c>
      <c r="R2135" s="6">
        <v>7.6</v>
      </c>
      <c r="S2135" s="6">
        <v>81</v>
      </c>
      <c r="V2135" s="6">
        <v>1.8049838709000001</v>
      </c>
      <c r="W2135" s="6">
        <v>4.0075000000000003</v>
      </c>
      <c r="X2135" s="1">
        <f>W2135 * (1/((10^((0.0901821 + (2729.92 /(273.15 + Q2135)))-AE2135)+1)))</f>
        <v>0.11071070122375198</v>
      </c>
      <c r="Y2135" s="6">
        <v>4.9000000000000002E-2</v>
      </c>
      <c r="Z2135" s="6">
        <v>1.56</v>
      </c>
      <c r="AA2135" s="6">
        <v>4.4000000000000004</v>
      </c>
      <c r="AD2135" s="6">
        <v>2.2599999999999998</v>
      </c>
      <c r="AE2135" s="6">
        <v>7.92</v>
      </c>
      <c r="AK2135" s="6">
        <v>36.090000000000003</v>
      </c>
      <c r="AL2135" s="6">
        <v>882.85</v>
      </c>
      <c r="AM2135" s="6"/>
      <c r="AN2135" s="6"/>
      <c r="AO2135" s="6"/>
      <c r="AP2135" s="6"/>
      <c r="AQ2135" s="6"/>
    </row>
    <row r="2136" spans="1:48" x14ac:dyDescent="0.3">
      <c r="A2136" s="6">
        <v>34077</v>
      </c>
      <c r="B2136" s="5" t="s">
        <v>230</v>
      </c>
      <c r="C2136" s="5" t="s">
        <v>231</v>
      </c>
      <c r="D2136" s="2">
        <f t="shared" si="124"/>
        <v>2014</v>
      </c>
      <c r="E2136" s="2">
        <f t="shared" si="125"/>
        <v>8</v>
      </c>
      <c r="F2136" s="3" t="s">
        <v>179</v>
      </c>
      <c r="G2136" s="7">
        <v>41876</v>
      </c>
      <c r="H2136" s="6">
        <v>6594430</v>
      </c>
      <c r="I2136" s="6">
        <v>1625370</v>
      </c>
      <c r="J2136" s="5" t="s">
        <v>201</v>
      </c>
      <c r="K2136" s="1"/>
      <c r="L2136" s="1" t="str">
        <f t="shared" si="126"/>
        <v xml:space="preserve">Mörtsjön </v>
      </c>
      <c r="M2136" s="1" t="s">
        <v>177</v>
      </c>
      <c r="N2136" s="6">
        <v>0.5</v>
      </c>
      <c r="O2136" s="6">
        <v>0.5</v>
      </c>
      <c r="P2136" s="6">
        <v>1.3</v>
      </c>
      <c r="Q2136" s="6">
        <v>19.3</v>
      </c>
      <c r="R2136" s="6">
        <v>8.1</v>
      </c>
      <c r="S2136" s="6">
        <v>89</v>
      </c>
      <c r="V2136" s="6">
        <v>1.8544354838000001</v>
      </c>
      <c r="W2136" s="6">
        <v>1.6093</v>
      </c>
      <c r="X2136" s="1">
        <f>W2136 * (1/((10^((0.0901821 + (2729.92 /(273.15 + Q2136)))-AE2136)+1)))</f>
        <v>3.1850616002139745E-2</v>
      </c>
      <c r="Y2136" s="6">
        <v>0.113</v>
      </c>
      <c r="Z2136" s="6">
        <v>0</v>
      </c>
      <c r="AA2136" s="6">
        <v>4.5999999999999996</v>
      </c>
      <c r="AB2136" s="6">
        <v>12.637079999999999</v>
      </c>
      <c r="AD2136" s="6">
        <v>1.26</v>
      </c>
      <c r="AE2136" s="6">
        <v>7.73</v>
      </c>
      <c r="AK2136" s="6">
        <v>45.17</v>
      </c>
      <c r="AL2136" s="6">
        <v>872.8</v>
      </c>
      <c r="AM2136" s="6"/>
      <c r="AN2136" s="6"/>
      <c r="AO2136" s="6"/>
      <c r="AP2136" s="6"/>
      <c r="AQ2136" s="6"/>
    </row>
    <row r="2137" spans="1:48" x14ac:dyDescent="0.3">
      <c r="A2137" s="6">
        <v>34078</v>
      </c>
      <c r="B2137" s="5" t="s">
        <v>230</v>
      </c>
      <c r="C2137" s="5" t="s">
        <v>231</v>
      </c>
      <c r="D2137" s="2">
        <f t="shared" si="124"/>
        <v>2014</v>
      </c>
      <c r="E2137" s="2">
        <f t="shared" si="125"/>
        <v>8</v>
      </c>
      <c r="F2137" s="3" t="s">
        <v>179</v>
      </c>
      <c r="G2137" s="7">
        <v>41876</v>
      </c>
      <c r="H2137" s="6">
        <v>6594430</v>
      </c>
      <c r="I2137" s="6">
        <v>1625370</v>
      </c>
      <c r="J2137" s="5" t="s">
        <v>201</v>
      </c>
      <c r="K2137" s="1"/>
      <c r="L2137" s="1" t="str">
        <f t="shared" si="126"/>
        <v xml:space="preserve">Mörtsjön </v>
      </c>
      <c r="M2137" s="5" t="s">
        <v>211</v>
      </c>
      <c r="N2137" s="6">
        <v>1</v>
      </c>
      <c r="O2137" s="6">
        <v>1</v>
      </c>
      <c r="Q2137" s="6">
        <v>18.899999999999999</v>
      </c>
      <c r="R2137" s="6">
        <v>7.5</v>
      </c>
      <c r="S2137" s="6">
        <v>82</v>
      </c>
    </row>
    <row r="2138" spans="1:48" x14ac:dyDescent="0.3">
      <c r="A2138" s="6">
        <v>34079</v>
      </c>
      <c r="B2138" s="5" t="s">
        <v>230</v>
      </c>
      <c r="C2138" s="5" t="s">
        <v>231</v>
      </c>
      <c r="D2138" s="2">
        <f t="shared" si="124"/>
        <v>2014</v>
      </c>
      <c r="E2138" s="2">
        <f t="shared" si="125"/>
        <v>8</v>
      </c>
      <c r="F2138" s="3" t="s">
        <v>179</v>
      </c>
      <c r="G2138" s="7">
        <v>41876</v>
      </c>
      <c r="H2138" s="6">
        <v>6594430</v>
      </c>
      <c r="I2138" s="6">
        <v>1625370</v>
      </c>
      <c r="J2138" s="5" t="s">
        <v>201</v>
      </c>
      <c r="K2138" s="1"/>
      <c r="L2138" s="1" t="str">
        <f t="shared" si="126"/>
        <v xml:space="preserve">Mörtsjön </v>
      </c>
      <c r="M2138" s="5" t="s">
        <v>212</v>
      </c>
      <c r="N2138" s="6">
        <v>2</v>
      </c>
      <c r="O2138" s="6">
        <v>2</v>
      </c>
      <c r="Q2138" s="6">
        <v>18.2</v>
      </c>
      <c r="R2138" s="6">
        <v>6.2</v>
      </c>
      <c r="S2138" s="6">
        <v>66</v>
      </c>
    </row>
    <row r="2139" spans="1:48" x14ac:dyDescent="0.3">
      <c r="A2139" s="6">
        <v>34080</v>
      </c>
      <c r="B2139" s="5" t="s">
        <v>230</v>
      </c>
      <c r="C2139" s="5" t="s">
        <v>231</v>
      </c>
      <c r="D2139" s="2">
        <f t="shared" si="124"/>
        <v>2014</v>
      </c>
      <c r="E2139" s="2">
        <f t="shared" si="125"/>
        <v>8</v>
      </c>
      <c r="F2139" s="3" t="s">
        <v>179</v>
      </c>
      <c r="G2139" s="7">
        <v>41876</v>
      </c>
      <c r="H2139" s="6">
        <v>6594430</v>
      </c>
      <c r="I2139" s="6">
        <v>1625370</v>
      </c>
      <c r="J2139" s="5" t="s">
        <v>201</v>
      </c>
      <c r="K2139" s="1"/>
      <c r="L2139" s="1" t="str">
        <f t="shared" si="126"/>
        <v xml:space="preserve">Mörtsjön </v>
      </c>
      <c r="M2139" s="5" t="s">
        <v>213</v>
      </c>
      <c r="N2139" s="6">
        <v>3</v>
      </c>
      <c r="O2139" s="6">
        <v>3</v>
      </c>
      <c r="Q2139" s="6">
        <v>18</v>
      </c>
      <c r="R2139" s="6">
        <v>6</v>
      </c>
      <c r="S2139" s="6">
        <v>64</v>
      </c>
    </row>
    <row r="2140" spans="1:48" x14ac:dyDescent="0.3">
      <c r="A2140" s="6">
        <v>34081</v>
      </c>
      <c r="B2140" s="5" t="s">
        <v>230</v>
      </c>
      <c r="C2140" s="5" t="s">
        <v>231</v>
      </c>
      <c r="D2140" s="2">
        <f t="shared" si="124"/>
        <v>2014</v>
      </c>
      <c r="E2140" s="2">
        <f t="shared" si="125"/>
        <v>8</v>
      </c>
      <c r="F2140" s="3" t="s">
        <v>179</v>
      </c>
      <c r="G2140" s="7">
        <v>41876</v>
      </c>
      <c r="H2140" s="6">
        <v>6594430</v>
      </c>
      <c r="I2140" s="6">
        <v>1625370</v>
      </c>
      <c r="J2140" s="5" t="s">
        <v>201</v>
      </c>
      <c r="K2140" s="1"/>
      <c r="L2140" s="1" t="str">
        <f t="shared" si="126"/>
        <v xml:space="preserve">Mörtsjön </v>
      </c>
      <c r="M2140" s="5" t="s">
        <v>214</v>
      </c>
      <c r="N2140" s="6">
        <v>4</v>
      </c>
      <c r="O2140" s="6">
        <v>4</v>
      </c>
      <c r="Q2140" s="6">
        <v>15.7</v>
      </c>
      <c r="R2140" s="6">
        <v>0.2</v>
      </c>
      <c r="S2140" s="6">
        <v>2</v>
      </c>
    </row>
    <row r="2141" spans="1:48" x14ac:dyDescent="0.3">
      <c r="A2141" s="6">
        <v>34082</v>
      </c>
      <c r="B2141" s="5" t="s">
        <v>230</v>
      </c>
      <c r="C2141" s="5" t="s">
        <v>231</v>
      </c>
      <c r="D2141" s="2">
        <f t="shared" si="124"/>
        <v>2014</v>
      </c>
      <c r="E2141" s="2">
        <f t="shared" si="125"/>
        <v>8</v>
      </c>
      <c r="F2141" s="3" t="s">
        <v>179</v>
      </c>
      <c r="G2141" s="7">
        <v>41876</v>
      </c>
      <c r="H2141" s="6">
        <v>6594430</v>
      </c>
      <c r="I2141" s="6">
        <v>1625370</v>
      </c>
      <c r="J2141" s="5" t="s">
        <v>201</v>
      </c>
      <c r="K2141" s="1"/>
      <c r="L2141" s="1" t="str">
        <f t="shared" si="126"/>
        <v xml:space="preserve">Mörtsjön </v>
      </c>
      <c r="M2141" s="1" t="s">
        <v>184</v>
      </c>
      <c r="N2141" s="6">
        <v>4.3</v>
      </c>
      <c r="O2141" s="6">
        <v>4.3</v>
      </c>
      <c r="Q2141" s="6">
        <v>14.2</v>
      </c>
      <c r="R2141" s="6">
        <v>0.1</v>
      </c>
      <c r="S2141" s="6">
        <v>1</v>
      </c>
      <c r="V2141" s="6">
        <v>2.1511451613000001</v>
      </c>
      <c r="W2141" s="6">
        <v>568.67489999999998</v>
      </c>
      <c r="X2141" s="1">
        <f>W2141 * (1/((10^((0.0901821 + (2729.92 /(273.15 + Q2141)))-AE2141)+1)))</f>
        <v>2.7057027817797268</v>
      </c>
      <c r="Y2141" s="6">
        <v>0.16300000000000001</v>
      </c>
      <c r="Z2141" s="6">
        <v>62.51</v>
      </c>
      <c r="AA2141" s="6">
        <v>6.8</v>
      </c>
      <c r="AD2141" s="6">
        <v>0</v>
      </c>
      <c r="AE2141" s="6">
        <v>7.27</v>
      </c>
      <c r="AK2141" s="6">
        <v>165.32</v>
      </c>
      <c r="AL2141" s="6">
        <v>1571.34</v>
      </c>
      <c r="AM2141" s="6"/>
      <c r="AN2141" s="6"/>
      <c r="AO2141" s="6"/>
      <c r="AP2141" s="6"/>
      <c r="AQ2141" s="6"/>
    </row>
    <row r="2142" spans="1:48" x14ac:dyDescent="0.3">
      <c r="A2142" s="6">
        <v>34083</v>
      </c>
      <c r="B2142" s="5" t="s">
        <v>230</v>
      </c>
      <c r="C2142" s="5" t="s">
        <v>231</v>
      </c>
      <c r="D2142" s="2">
        <f t="shared" si="124"/>
        <v>2014</v>
      </c>
      <c r="E2142" s="2">
        <f t="shared" si="125"/>
        <v>8</v>
      </c>
      <c r="F2142" s="3" t="s">
        <v>179</v>
      </c>
      <c r="G2142" s="7">
        <v>41876</v>
      </c>
      <c r="H2142" s="6">
        <v>6597555</v>
      </c>
      <c r="I2142" s="6">
        <v>1629125</v>
      </c>
      <c r="J2142" s="5" t="s">
        <v>185</v>
      </c>
      <c r="K2142" s="1"/>
      <c r="L2142" s="1" t="str">
        <f t="shared" si="126"/>
        <v xml:space="preserve">Gullsjön </v>
      </c>
      <c r="M2142" s="1" t="s">
        <v>177</v>
      </c>
      <c r="N2142" s="6">
        <v>0.5</v>
      </c>
      <c r="O2142" s="6">
        <v>0.5</v>
      </c>
      <c r="P2142" s="6">
        <v>2</v>
      </c>
      <c r="Q2142" s="6">
        <v>17.600000000000001</v>
      </c>
      <c r="R2142" s="6">
        <v>4.9000000000000004</v>
      </c>
      <c r="S2142" s="6">
        <v>52</v>
      </c>
      <c r="T2142" s="6">
        <v>35.5</v>
      </c>
      <c r="V2142" s="6">
        <v>1.5577258064000001</v>
      </c>
      <c r="W2142" s="6">
        <v>6.274</v>
      </c>
      <c r="X2142" s="1">
        <f>W2142 * (1/((10^((0.0901821 + (2729.92 /(273.15 + Q2142)))-AE2142)+1)))</f>
        <v>3.7628347924642765E-2</v>
      </c>
      <c r="Y2142" s="6">
        <v>0.14499999999999999</v>
      </c>
      <c r="Z2142" s="6">
        <v>0</v>
      </c>
      <c r="AA2142" s="6">
        <v>0.94</v>
      </c>
      <c r="AB2142" s="6">
        <v>5.4373500000000003</v>
      </c>
      <c r="AD2142" s="6">
        <v>1.85</v>
      </c>
      <c r="AE2142" s="6">
        <v>7.26</v>
      </c>
      <c r="AK2142" s="6">
        <v>18.649999999999999</v>
      </c>
      <c r="AL2142" s="6">
        <v>692.34</v>
      </c>
      <c r="AM2142" s="6"/>
      <c r="AN2142" s="6"/>
      <c r="AO2142" s="6"/>
      <c r="AP2142" s="6"/>
      <c r="AQ2142" s="6"/>
      <c r="AV2142" s="6">
        <v>58.2</v>
      </c>
    </row>
    <row r="2143" spans="1:48" x14ac:dyDescent="0.3">
      <c r="A2143" s="6">
        <v>34084</v>
      </c>
      <c r="B2143" s="5" t="s">
        <v>230</v>
      </c>
      <c r="C2143" s="5" t="s">
        <v>231</v>
      </c>
      <c r="D2143" s="2">
        <f t="shared" si="124"/>
        <v>2014</v>
      </c>
      <c r="E2143" s="2">
        <f t="shared" si="125"/>
        <v>8</v>
      </c>
      <c r="F2143" s="3" t="s">
        <v>179</v>
      </c>
      <c r="G2143" s="7">
        <v>41876</v>
      </c>
      <c r="H2143" s="6">
        <v>6597555</v>
      </c>
      <c r="I2143" s="6">
        <v>1629125</v>
      </c>
      <c r="J2143" s="5" t="s">
        <v>185</v>
      </c>
      <c r="K2143" s="1"/>
      <c r="L2143" s="1" t="str">
        <f t="shared" si="126"/>
        <v xml:space="preserve">Gullsjön </v>
      </c>
      <c r="M2143" s="5" t="s">
        <v>211</v>
      </c>
      <c r="N2143" s="6">
        <v>1</v>
      </c>
      <c r="O2143" s="6">
        <v>1</v>
      </c>
      <c r="Q2143" s="6">
        <v>17.3</v>
      </c>
      <c r="R2143" s="6">
        <v>3.8</v>
      </c>
      <c r="S2143" s="6">
        <v>40</v>
      </c>
    </row>
    <row r="2144" spans="1:48" x14ac:dyDescent="0.3">
      <c r="A2144" s="6">
        <v>34085</v>
      </c>
      <c r="B2144" s="5" t="s">
        <v>230</v>
      </c>
      <c r="C2144" s="5" t="s">
        <v>231</v>
      </c>
      <c r="D2144" s="2">
        <f t="shared" si="124"/>
        <v>2014</v>
      </c>
      <c r="E2144" s="2">
        <f t="shared" si="125"/>
        <v>8</v>
      </c>
      <c r="F2144" s="3" t="s">
        <v>179</v>
      </c>
      <c r="G2144" s="7">
        <v>41876</v>
      </c>
      <c r="H2144" s="6">
        <v>6597555</v>
      </c>
      <c r="I2144" s="6">
        <v>1629125</v>
      </c>
      <c r="J2144" s="5" t="s">
        <v>185</v>
      </c>
      <c r="K2144" s="1"/>
      <c r="L2144" s="1" t="str">
        <f t="shared" si="126"/>
        <v xml:space="preserve">Gullsjön </v>
      </c>
      <c r="M2144" s="1" t="s">
        <v>184</v>
      </c>
      <c r="N2144" s="6">
        <v>2</v>
      </c>
      <c r="O2144" s="6">
        <v>2</v>
      </c>
      <c r="Q2144" s="6">
        <v>16.8</v>
      </c>
      <c r="R2144" s="6">
        <v>3.3</v>
      </c>
      <c r="S2144" s="6">
        <v>35</v>
      </c>
      <c r="T2144" s="6">
        <v>35.9</v>
      </c>
      <c r="V2144" s="6">
        <v>1.4588225805999999</v>
      </c>
      <c r="W2144" s="6">
        <v>9.3506999999999998</v>
      </c>
      <c r="X2144" s="1">
        <f>W2144 * (1/((10^((0.0901821 + (2729.92 /(273.15 + Q2144)))-AE2144)+1)))</f>
        <v>4.9342787699547239E-2</v>
      </c>
      <c r="Y2144" s="6">
        <v>0.14299999999999999</v>
      </c>
      <c r="Z2144" s="6">
        <v>7.0000000000000007E-2</v>
      </c>
      <c r="AA2144" s="6">
        <v>0.99</v>
      </c>
      <c r="AD2144" s="6">
        <v>1.38</v>
      </c>
      <c r="AE2144" s="6">
        <v>7.23</v>
      </c>
      <c r="AK2144" s="6">
        <v>12.16</v>
      </c>
      <c r="AL2144" s="6">
        <v>647.79</v>
      </c>
      <c r="AM2144" s="6"/>
      <c r="AN2144" s="6"/>
      <c r="AO2144" s="6"/>
      <c r="AP2144" s="6"/>
      <c r="AQ2144" s="6"/>
      <c r="AV2144" s="6">
        <v>56.2</v>
      </c>
    </row>
    <row r="2145" spans="1:43" x14ac:dyDescent="0.3">
      <c r="A2145" s="1">
        <v>34171</v>
      </c>
      <c r="B2145" s="1" t="s">
        <v>232</v>
      </c>
      <c r="C2145" s="1" t="s">
        <v>209</v>
      </c>
      <c r="D2145" s="2">
        <f t="shared" si="124"/>
        <v>2014</v>
      </c>
      <c r="E2145" s="2">
        <f t="shared" si="125"/>
        <v>8</v>
      </c>
      <c r="F2145" s="3" t="s">
        <v>179</v>
      </c>
      <c r="G2145" s="4">
        <v>41877</v>
      </c>
      <c r="H2145" s="1">
        <v>6600935</v>
      </c>
      <c r="I2145" s="1">
        <v>1626764</v>
      </c>
      <c r="J2145" s="1" t="s">
        <v>191</v>
      </c>
      <c r="K2145" s="1" t="s">
        <v>210</v>
      </c>
      <c r="L2145" s="1" t="str">
        <f t="shared" si="126"/>
        <v>Vallentunasjön Va2</v>
      </c>
      <c r="M2145" s="1" t="s">
        <v>177</v>
      </c>
      <c r="N2145" s="1">
        <v>0.5</v>
      </c>
      <c r="O2145" s="1">
        <v>0.5</v>
      </c>
      <c r="P2145" s="1">
        <v>0.8</v>
      </c>
      <c r="Q2145" s="1">
        <v>16.899999999999999</v>
      </c>
      <c r="R2145" s="1">
        <v>10.9</v>
      </c>
      <c r="S2145" s="1">
        <v>109</v>
      </c>
    </row>
    <row r="2146" spans="1:43" x14ac:dyDescent="0.3">
      <c r="A2146" s="1">
        <v>34172</v>
      </c>
      <c r="B2146" s="1" t="s">
        <v>232</v>
      </c>
      <c r="C2146" s="1" t="s">
        <v>209</v>
      </c>
      <c r="D2146" s="2">
        <f t="shared" si="124"/>
        <v>2014</v>
      </c>
      <c r="E2146" s="2">
        <f t="shared" si="125"/>
        <v>8</v>
      </c>
      <c r="F2146" s="3" t="s">
        <v>179</v>
      </c>
      <c r="G2146" s="4">
        <v>41877</v>
      </c>
      <c r="H2146" s="1">
        <v>6600935</v>
      </c>
      <c r="I2146" s="1">
        <v>1626764</v>
      </c>
      <c r="J2146" s="1" t="s">
        <v>191</v>
      </c>
      <c r="K2146" s="1" t="s">
        <v>210</v>
      </c>
      <c r="L2146" s="1" t="str">
        <f t="shared" si="126"/>
        <v>Vallentunasjön Va2</v>
      </c>
      <c r="M2146" s="1" t="s">
        <v>211</v>
      </c>
      <c r="N2146" s="1">
        <v>1</v>
      </c>
      <c r="O2146" s="1">
        <v>1</v>
      </c>
      <c r="Q2146" s="1">
        <v>16.899999999999999</v>
      </c>
      <c r="R2146" s="1">
        <v>10.9</v>
      </c>
      <c r="S2146" s="1">
        <v>109</v>
      </c>
    </row>
    <row r="2147" spans="1:43" x14ac:dyDescent="0.3">
      <c r="A2147" s="1">
        <v>34173</v>
      </c>
      <c r="B2147" s="1" t="s">
        <v>232</v>
      </c>
      <c r="C2147" s="1" t="s">
        <v>209</v>
      </c>
      <c r="D2147" s="2">
        <f t="shared" si="124"/>
        <v>2014</v>
      </c>
      <c r="E2147" s="2">
        <f t="shared" si="125"/>
        <v>8</v>
      </c>
      <c r="F2147" s="3" t="s">
        <v>179</v>
      </c>
      <c r="G2147" s="4">
        <v>41877</v>
      </c>
      <c r="H2147" s="1">
        <v>6600935</v>
      </c>
      <c r="I2147" s="1">
        <v>1626764</v>
      </c>
      <c r="J2147" s="1" t="s">
        <v>191</v>
      </c>
      <c r="K2147" s="1" t="s">
        <v>210</v>
      </c>
      <c r="L2147" s="1" t="str">
        <f t="shared" si="126"/>
        <v>Vallentunasjön Va2</v>
      </c>
      <c r="M2147" s="1" t="s">
        <v>212</v>
      </c>
      <c r="N2147" s="1">
        <v>2</v>
      </c>
      <c r="O2147" s="1">
        <v>2</v>
      </c>
      <c r="Q2147" s="1">
        <v>16.899999999999999</v>
      </c>
      <c r="R2147" s="1">
        <v>10.9</v>
      </c>
      <c r="S2147" s="1">
        <v>109</v>
      </c>
    </row>
    <row r="2148" spans="1:43" x14ac:dyDescent="0.3">
      <c r="A2148" s="1">
        <v>34174</v>
      </c>
      <c r="B2148" s="1" t="s">
        <v>232</v>
      </c>
      <c r="C2148" s="1" t="s">
        <v>209</v>
      </c>
      <c r="D2148" s="2">
        <f t="shared" si="124"/>
        <v>2014</v>
      </c>
      <c r="E2148" s="2">
        <f t="shared" si="125"/>
        <v>8</v>
      </c>
      <c r="F2148" s="3" t="s">
        <v>179</v>
      </c>
      <c r="G2148" s="4">
        <v>41877</v>
      </c>
      <c r="H2148" s="1">
        <v>6600935</v>
      </c>
      <c r="I2148" s="1">
        <v>1626764</v>
      </c>
      <c r="J2148" s="1" t="s">
        <v>191</v>
      </c>
      <c r="K2148" s="1" t="s">
        <v>210</v>
      </c>
      <c r="L2148" s="1" t="str">
        <f t="shared" si="126"/>
        <v>Vallentunasjön Va2</v>
      </c>
      <c r="M2148" s="1" t="s">
        <v>213</v>
      </c>
      <c r="N2148" s="1">
        <v>3</v>
      </c>
      <c r="O2148" s="1">
        <v>3</v>
      </c>
      <c r="Q2148" s="1">
        <v>16.899999999999999</v>
      </c>
      <c r="R2148" s="1">
        <v>10.9</v>
      </c>
      <c r="S2148" s="1">
        <v>109</v>
      </c>
    </row>
    <row r="2149" spans="1:43" x14ac:dyDescent="0.3">
      <c r="A2149" s="1">
        <v>34175</v>
      </c>
      <c r="B2149" s="1" t="s">
        <v>232</v>
      </c>
      <c r="C2149" s="1" t="s">
        <v>209</v>
      </c>
      <c r="D2149" s="2">
        <f t="shared" si="124"/>
        <v>2014</v>
      </c>
      <c r="E2149" s="2">
        <f t="shared" si="125"/>
        <v>8</v>
      </c>
      <c r="F2149" s="3" t="s">
        <v>179</v>
      </c>
      <c r="G2149" s="4">
        <v>41877</v>
      </c>
      <c r="H2149" s="1">
        <v>6600935</v>
      </c>
      <c r="I2149" s="1">
        <v>1626764</v>
      </c>
      <c r="J2149" s="1" t="s">
        <v>191</v>
      </c>
      <c r="K2149" s="1" t="s">
        <v>210</v>
      </c>
      <c r="L2149" s="1" t="str">
        <f t="shared" si="126"/>
        <v>Vallentunasjön Va2</v>
      </c>
      <c r="M2149" s="1" t="s">
        <v>214</v>
      </c>
      <c r="N2149" s="1">
        <v>4</v>
      </c>
      <c r="O2149" s="1">
        <v>4</v>
      </c>
      <c r="Q2149" s="1">
        <v>16.899999999999999</v>
      </c>
      <c r="R2149" s="1">
        <v>10.8</v>
      </c>
      <c r="S2149" s="1">
        <v>109</v>
      </c>
    </row>
    <row r="2150" spans="1:43" x14ac:dyDescent="0.3">
      <c r="A2150" s="1">
        <v>34176</v>
      </c>
      <c r="B2150" s="1" t="s">
        <v>232</v>
      </c>
      <c r="C2150" s="1" t="s">
        <v>209</v>
      </c>
      <c r="D2150" s="2">
        <f t="shared" si="124"/>
        <v>2014</v>
      </c>
      <c r="E2150" s="2">
        <f t="shared" si="125"/>
        <v>8</v>
      </c>
      <c r="F2150" s="3" t="s">
        <v>179</v>
      </c>
      <c r="G2150" s="4">
        <v>41877</v>
      </c>
      <c r="H2150" s="1">
        <v>6600935</v>
      </c>
      <c r="I2150" s="1">
        <v>1626764</v>
      </c>
      <c r="J2150" s="1" t="s">
        <v>191</v>
      </c>
      <c r="K2150" s="1" t="s">
        <v>210</v>
      </c>
      <c r="L2150" s="1" t="str">
        <f t="shared" si="126"/>
        <v>Vallentunasjön Va2</v>
      </c>
      <c r="M2150" s="1" t="s">
        <v>184</v>
      </c>
      <c r="N2150" s="1">
        <v>4.5</v>
      </c>
      <c r="O2150" s="1">
        <v>4.5</v>
      </c>
      <c r="Q2150" s="1">
        <v>16.899999999999999</v>
      </c>
      <c r="R2150" s="1">
        <v>10.8</v>
      </c>
      <c r="S2150" s="1">
        <v>108</v>
      </c>
    </row>
    <row r="2151" spans="1:43" x14ac:dyDescent="0.3">
      <c r="A2151" s="1">
        <v>34177</v>
      </c>
      <c r="B2151" s="1" t="s">
        <v>232</v>
      </c>
      <c r="C2151" s="1" t="s">
        <v>209</v>
      </c>
      <c r="D2151" s="2">
        <f t="shared" si="124"/>
        <v>2014</v>
      </c>
      <c r="E2151" s="2">
        <f t="shared" si="125"/>
        <v>8</v>
      </c>
      <c r="F2151" s="3" t="s">
        <v>179</v>
      </c>
      <c r="G2151" s="4">
        <v>41877</v>
      </c>
      <c r="J2151" s="1" t="s">
        <v>191</v>
      </c>
      <c r="K2151" s="1" t="s">
        <v>206</v>
      </c>
      <c r="L2151" s="1" t="str">
        <f t="shared" si="126"/>
        <v>Vallentunasjön Blandprov</v>
      </c>
      <c r="M2151" s="1" t="s">
        <v>177</v>
      </c>
      <c r="N2151" s="1">
        <v>4</v>
      </c>
      <c r="O2151" s="1">
        <v>0</v>
      </c>
      <c r="W2151" s="1">
        <v>2.1911999999999998</v>
      </c>
      <c r="Z2151" s="1">
        <v>0.15</v>
      </c>
      <c r="AB2151" s="1">
        <v>54.615461537999998</v>
      </c>
      <c r="AD2151" s="1">
        <v>3.57</v>
      </c>
      <c r="AG2151" s="1">
        <v>31</v>
      </c>
      <c r="AK2151" s="1">
        <v>73.97</v>
      </c>
      <c r="AL2151" s="1">
        <v>1717.73</v>
      </c>
    </row>
    <row r="2152" spans="1:43" x14ac:dyDescent="0.3">
      <c r="A2152" s="6">
        <v>34202</v>
      </c>
      <c r="B2152" s="5" t="s">
        <v>230</v>
      </c>
      <c r="C2152" s="5" t="s">
        <v>231</v>
      </c>
      <c r="D2152" s="2">
        <f t="shared" si="124"/>
        <v>2014</v>
      </c>
      <c r="E2152" s="2">
        <f t="shared" si="125"/>
        <v>8</v>
      </c>
      <c r="F2152" s="3" t="s">
        <v>179</v>
      </c>
      <c r="G2152" s="7">
        <v>41879</v>
      </c>
      <c r="H2152" s="6">
        <v>6595400</v>
      </c>
      <c r="I2152" s="6">
        <v>1624045</v>
      </c>
      <c r="J2152" s="5" t="s">
        <v>183</v>
      </c>
      <c r="K2152" s="1"/>
      <c r="L2152" s="1" t="str">
        <f t="shared" si="126"/>
        <v xml:space="preserve">Fjäturen </v>
      </c>
      <c r="M2152" s="1" t="s">
        <v>177</v>
      </c>
      <c r="N2152" s="6">
        <v>0.5</v>
      </c>
      <c r="O2152" s="6">
        <v>0.5</v>
      </c>
      <c r="P2152" s="6">
        <v>2.2999999999999998</v>
      </c>
      <c r="Q2152" s="6">
        <v>17.399999999999999</v>
      </c>
      <c r="R2152" s="6">
        <v>8.6</v>
      </c>
      <c r="S2152" s="6">
        <v>89.864158829676072</v>
      </c>
      <c r="V2152" s="6">
        <v>1.7980685259</v>
      </c>
      <c r="W2152" s="6">
        <v>18.406199999999998</v>
      </c>
      <c r="X2152" s="1">
        <f>W2152 * (1/((10^((0.0901821 + (2729.92 /(273.15 + Q2152)))-AE2152)+1)))</f>
        <v>0.62250395138247383</v>
      </c>
      <c r="Y2152" s="6">
        <v>5.3999999999999999E-2</v>
      </c>
      <c r="Z2152" s="6">
        <v>2.57</v>
      </c>
      <c r="AA2152" s="6">
        <v>6.5</v>
      </c>
      <c r="AB2152" s="6">
        <v>20.803799999999999</v>
      </c>
      <c r="AD2152" s="6">
        <v>0</v>
      </c>
      <c r="AE2152" s="6">
        <v>8.0299999999999994</v>
      </c>
      <c r="AK2152" s="6">
        <v>40.4</v>
      </c>
      <c r="AL2152" s="6">
        <v>834.27</v>
      </c>
      <c r="AM2152" s="6"/>
      <c r="AN2152" s="6"/>
      <c r="AO2152" s="6"/>
      <c r="AP2152" s="6"/>
      <c r="AQ2152" s="6"/>
    </row>
    <row r="2153" spans="1:43" x14ac:dyDescent="0.3">
      <c r="A2153" s="6">
        <v>34203</v>
      </c>
      <c r="B2153" s="5" t="s">
        <v>230</v>
      </c>
      <c r="C2153" s="5" t="s">
        <v>231</v>
      </c>
      <c r="D2153" s="2">
        <f t="shared" si="124"/>
        <v>2014</v>
      </c>
      <c r="E2153" s="2">
        <f t="shared" si="125"/>
        <v>8</v>
      </c>
      <c r="F2153" s="3" t="s">
        <v>179</v>
      </c>
      <c r="G2153" s="7">
        <v>41879</v>
      </c>
      <c r="H2153" s="6">
        <v>6595400</v>
      </c>
      <c r="I2153" s="6">
        <v>1624045</v>
      </c>
      <c r="J2153" s="5" t="s">
        <v>183</v>
      </c>
      <c r="K2153" s="1"/>
      <c r="L2153" s="1" t="str">
        <f t="shared" si="126"/>
        <v xml:space="preserve">Fjäturen </v>
      </c>
      <c r="M2153" s="5" t="s">
        <v>211</v>
      </c>
      <c r="N2153" s="6">
        <v>1</v>
      </c>
      <c r="O2153" s="6">
        <v>1</v>
      </c>
      <c r="Q2153" s="6">
        <v>17.399999999999999</v>
      </c>
      <c r="R2153" s="6">
        <v>8.6</v>
      </c>
      <c r="S2153" s="6">
        <v>89.864158829676072</v>
      </c>
    </row>
    <row r="2154" spans="1:43" x14ac:dyDescent="0.3">
      <c r="A2154" s="6">
        <v>34204</v>
      </c>
      <c r="B2154" s="5" t="s">
        <v>230</v>
      </c>
      <c r="C2154" s="5" t="s">
        <v>231</v>
      </c>
      <c r="D2154" s="2">
        <f t="shared" si="124"/>
        <v>2014</v>
      </c>
      <c r="E2154" s="2">
        <f t="shared" si="125"/>
        <v>8</v>
      </c>
      <c r="F2154" s="3" t="s">
        <v>179</v>
      </c>
      <c r="G2154" s="7">
        <v>41879</v>
      </c>
      <c r="H2154" s="6">
        <v>6595400</v>
      </c>
      <c r="I2154" s="6">
        <v>1624045</v>
      </c>
      <c r="J2154" s="5" t="s">
        <v>183</v>
      </c>
      <c r="K2154" s="1"/>
      <c r="L2154" s="1" t="str">
        <f t="shared" si="126"/>
        <v xml:space="preserve">Fjäturen </v>
      </c>
      <c r="M2154" s="5" t="s">
        <v>212</v>
      </c>
      <c r="N2154" s="6">
        <v>2</v>
      </c>
      <c r="O2154" s="6">
        <v>2</v>
      </c>
      <c r="Q2154" s="6">
        <v>17.399999999999999</v>
      </c>
      <c r="R2154" s="6">
        <v>8.5</v>
      </c>
      <c r="S2154" s="6">
        <v>88.819226750261237</v>
      </c>
    </row>
    <row r="2155" spans="1:43" x14ac:dyDescent="0.3">
      <c r="A2155" s="6">
        <v>34205</v>
      </c>
      <c r="B2155" s="5" t="s">
        <v>230</v>
      </c>
      <c r="C2155" s="5" t="s">
        <v>231</v>
      </c>
      <c r="D2155" s="2">
        <f t="shared" si="124"/>
        <v>2014</v>
      </c>
      <c r="E2155" s="2">
        <f t="shared" si="125"/>
        <v>8</v>
      </c>
      <c r="F2155" s="3" t="s">
        <v>179</v>
      </c>
      <c r="G2155" s="7">
        <v>41879</v>
      </c>
      <c r="H2155" s="6">
        <v>6595400</v>
      </c>
      <c r="I2155" s="6">
        <v>1624045</v>
      </c>
      <c r="J2155" s="5" t="s">
        <v>183</v>
      </c>
      <c r="K2155" s="1"/>
      <c r="L2155" s="1" t="str">
        <f t="shared" si="126"/>
        <v xml:space="preserve">Fjäturen </v>
      </c>
      <c r="M2155" s="5" t="s">
        <v>213</v>
      </c>
      <c r="N2155" s="6">
        <v>3</v>
      </c>
      <c r="O2155" s="6">
        <v>3</v>
      </c>
      <c r="Q2155" s="6">
        <v>17.399999999999999</v>
      </c>
      <c r="R2155" s="6">
        <v>8.5</v>
      </c>
      <c r="S2155" s="6">
        <v>88.819226750261237</v>
      </c>
    </row>
    <row r="2156" spans="1:43" x14ac:dyDescent="0.3">
      <c r="A2156" s="6">
        <v>34206</v>
      </c>
      <c r="B2156" s="5" t="s">
        <v>230</v>
      </c>
      <c r="C2156" s="5" t="s">
        <v>231</v>
      </c>
      <c r="D2156" s="2">
        <f t="shared" si="124"/>
        <v>2014</v>
      </c>
      <c r="E2156" s="2">
        <f t="shared" si="125"/>
        <v>8</v>
      </c>
      <c r="F2156" s="3" t="s">
        <v>179</v>
      </c>
      <c r="G2156" s="7">
        <v>41879</v>
      </c>
      <c r="H2156" s="6">
        <v>6595400</v>
      </c>
      <c r="I2156" s="6">
        <v>1624045</v>
      </c>
      <c r="J2156" s="5" t="s">
        <v>183</v>
      </c>
      <c r="K2156" s="1"/>
      <c r="L2156" s="1" t="str">
        <f t="shared" si="126"/>
        <v xml:space="preserve">Fjäturen </v>
      </c>
      <c r="M2156" s="5" t="s">
        <v>214</v>
      </c>
      <c r="N2156" s="6">
        <v>4</v>
      </c>
      <c r="O2156" s="6">
        <v>4</v>
      </c>
      <c r="Q2156" s="6">
        <v>17.399999999999999</v>
      </c>
      <c r="R2156" s="6">
        <v>8.4</v>
      </c>
      <c r="S2156" s="6">
        <v>87.774294670846388</v>
      </c>
    </row>
    <row r="2157" spans="1:43" x14ac:dyDescent="0.3">
      <c r="A2157" s="6">
        <v>34207</v>
      </c>
      <c r="B2157" s="5" t="s">
        <v>230</v>
      </c>
      <c r="C2157" s="5" t="s">
        <v>231</v>
      </c>
      <c r="D2157" s="2">
        <f t="shared" si="124"/>
        <v>2014</v>
      </c>
      <c r="E2157" s="2">
        <f t="shared" si="125"/>
        <v>8</v>
      </c>
      <c r="F2157" s="3" t="s">
        <v>179</v>
      </c>
      <c r="G2157" s="7">
        <v>41879</v>
      </c>
      <c r="H2157" s="6">
        <v>6595400</v>
      </c>
      <c r="I2157" s="6">
        <v>1624045</v>
      </c>
      <c r="J2157" s="5" t="s">
        <v>183</v>
      </c>
      <c r="K2157" s="1"/>
      <c r="L2157" s="1" t="str">
        <f t="shared" si="126"/>
        <v xml:space="preserve">Fjäturen </v>
      </c>
      <c r="M2157" s="5" t="s">
        <v>217</v>
      </c>
      <c r="N2157" s="6">
        <v>5</v>
      </c>
      <c r="O2157" s="6">
        <v>5</v>
      </c>
      <c r="Q2157" s="6">
        <v>17.3</v>
      </c>
      <c r="R2157" s="6">
        <v>8.4</v>
      </c>
      <c r="S2157" s="6">
        <v>87.591240875912405</v>
      </c>
    </row>
    <row r="2158" spans="1:43" x14ac:dyDescent="0.3">
      <c r="A2158" s="6">
        <v>34208</v>
      </c>
      <c r="B2158" s="5" t="s">
        <v>230</v>
      </c>
      <c r="C2158" s="5" t="s">
        <v>231</v>
      </c>
      <c r="D2158" s="2">
        <f t="shared" si="124"/>
        <v>2014</v>
      </c>
      <c r="E2158" s="2">
        <f t="shared" si="125"/>
        <v>8</v>
      </c>
      <c r="F2158" s="3" t="s">
        <v>179</v>
      </c>
      <c r="G2158" s="7">
        <v>41879</v>
      </c>
      <c r="H2158" s="6">
        <v>6595400</v>
      </c>
      <c r="I2158" s="6">
        <v>1624045</v>
      </c>
      <c r="J2158" s="5" t="s">
        <v>183</v>
      </c>
      <c r="K2158" s="1"/>
      <c r="L2158" s="1" t="str">
        <f t="shared" si="126"/>
        <v xml:space="preserve">Fjäturen </v>
      </c>
      <c r="M2158" s="5" t="s">
        <v>218</v>
      </c>
      <c r="N2158" s="6">
        <v>6</v>
      </c>
      <c r="O2158" s="6">
        <v>6</v>
      </c>
      <c r="Q2158" s="6">
        <v>17.3</v>
      </c>
      <c r="R2158" s="6">
        <v>8.1999999999999993</v>
      </c>
      <c r="S2158" s="6">
        <v>85.50573514077162</v>
      </c>
    </row>
    <row r="2159" spans="1:43" x14ac:dyDescent="0.3">
      <c r="A2159" s="6">
        <v>34209</v>
      </c>
      <c r="B2159" s="5" t="s">
        <v>230</v>
      </c>
      <c r="C2159" s="5" t="s">
        <v>231</v>
      </c>
      <c r="D2159" s="2">
        <f t="shared" si="124"/>
        <v>2014</v>
      </c>
      <c r="E2159" s="2">
        <f t="shared" si="125"/>
        <v>8</v>
      </c>
      <c r="F2159" s="3" t="s">
        <v>179</v>
      </c>
      <c r="G2159" s="7">
        <v>41879</v>
      </c>
      <c r="H2159" s="6">
        <v>6595400</v>
      </c>
      <c r="I2159" s="6">
        <v>1624045</v>
      </c>
      <c r="J2159" s="5" t="s">
        <v>183</v>
      </c>
      <c r="K2159" s="1"/>
      <c r="L2159" s="1" t="str">
        <f t="shared" si="126"/>
        <v xml:space="preserve">Fjäturen </v>
      </c>
      <c r="M2159" s="5" t="s">
        <v>219</v>
      </c>
      <c r="N2159" s="6">
        <v>7</v>
      </c>
      <c r="O2159" s="6">
        <v>7</v>
      </c>
      <c r="Q2159" s="6">
        <v>14.5</v>
      </c>
      <c r="R2159" s="6">
        <v>0.2</v>
      </c>
      <c r="S2159" s="6">
        <v>1.9627085377821394</v>
      </c>
    </row>
    <row r="2160" spans="1:43" x14ac:dyDescent="0.3">
      <c r="A2160" s="6">
        <v>34210</v>
      </c>
      <c r="B2160" s="5" t="s">
        <v>230</v>
      </c>
      <c r="C2160" s="5" t="s">
        <v>231</v>
      </c>
      <c r="D2160" s="2">
        <f t="shared" si="124"/>
        <v>2014</v>
      </c>
      <c r="E2160" s="2">
        <f t="shared" si="125"/>
        <v>8</v>
      </c>
      <c r="F2160" s="3" t="s">
        <v>179</v>
      </c>
      <c r="G2160" s="7">
        <v>41879</v>
      </c>
      <c r="H2160" s="6">
        <v>6595400</v>
      </c>
      <c r="I2160" s="6">
        <v>1624045</v>
      </c>
      <c r="J2160" s="5" t="s">
        <v>183</v>
      </c>
      <c r="K2160" s="1"/>
      <c r="L2160" s="1" t="str">
        <f t="shared" si="126"/>
        <v xml:space="preserve">Fjäturen </v>
      </c>
      <c r="M2160" s="5" t="s">
        <v>220</v>
      </c>
      <c r="N2160" s="6">
        <v>8</v>
      </c>
      <c r="O2160" s="6">
        <v>8</v>
      </c>
      <c r="Q2160" s="6">
        <v>13.6</v>
      </c>
      <c r="R2160" s="6">
        <v>0.1</v>
      </c>
      <c r="S2160" s="6">
        <v>0.96246390760346479</v>
      </c>
    </row>
    <row r="2161" spans="1:43" x14ac:dyDescent="0.3">
      <c r="A2161" s="6">
        <v>34211</v>
      </c>
      <c r="B2161" s="5" t="s">
        <v>230</v>
      </c>
      <c r="C2161" s="5" t="s">
        <v>231</v>
      </c>
      <c r="D2161" s="2">
        <f t="shared" si="124"/>
        <v>2014</v>
      </c>
      <c r="E2161" s="2">
        <f t="shared" si="125"/>
        <v>8</v>
      </c>
      <c r="F2161" s="3" t="s">
        <v>179</v>
      </c>
      <c r="G2161" s="7">
        <v>41879</v>
      </c>
      <c r="H2161" s="6">
        <v>6595400</v>
      </c>
      <c r="I2161" s="6">
        <v>1624045</v>
      </c>
      <c r="J2161" s="5" t="s">
        <v>183</v>
      </c>
      <c r="K2161" s="1"/>
      <c r="L2161" s="1" t="str">
        <f t="shared" si="126"/>
        <v xml:space="preserve">Fjäturen </v>
      </c>
      <c r="M2161" s="1" t="s">
        <v>184</v>
      </c>
      <c r="N2161" s="6">
        <v>8.5</v>
      </c>
      <c r="O2161" s="6">
        <v>8.5</v>
      </c>
      <c r="Q2161" s="6">
        <v>13.2</v>
      </c>
      <c r="R2161" s="6">
        <v>0.1</v>
      </c>
      <c r="S2161" s="6">
        <v>0.95419847328244267</v>
      </c>
      <c r="V2161" s="6">
        <v>2.4625721116000001</v>
      </c>
      <c r="W2161" s="6">
        <v>682.84590000000003</v>
      </c>
      <c r="X2161" s="1">
        <f>W2161 * (1/((10^((0.0901821 + (2729.92 /(273.15 + Q2161)))-AE2161)+1)))</f>
        <v>6.2608364808961836</v>
      </c>
      <c r="Y2161" s="6">
        <v>9.8000000000000004E-2</v>
      </c>
      <c r="Z2161" s="6">
        <v>410.95</v>
      </c>
      <c r="AA2161" s="6">
        <v>12.4</v>
      </c>
      <c r="AD2161" s="6">
        <v>6.43</v>
      </c>
      <c r="AE2161" s="6">
        <v>7.59</v>
      </c>
      <c r="AK2161" s="6">
        <v>501.42</v>
      </c>
      <c r="AL2161" s="6">
        <v>1845.66</v>
      </c>
      <c r="AM2161" s="6"/>
      <c r="AN2161" s="6"/>
      <c r="AO2161" s="6"/>
      <c r="AP2161" s="6"/>
      <c r="AQ2161" s="6"/>
    </row>
    <row r="2162" spans="1:43" x14ac:dyDescent="0.3">
      <c r="A2162" s="6">
        <v>34212</v>
      </c>
      <c r="B2162" s="5" t="s">
        <v>230</v>
      </c>
      <c r="C2162" s="5" t="s">
        <v>231</v>
      </c>
      <c r="D2162" s="2">
        <f t="shared" si="124"/>
        <v>2014</v>
      </c>
      <c r="E2162" s="2">
        <f t="shared" si="125"/>
        <v>8</v>
      </c>
      <c r="F2162" s="3" t="s">
        <v>179</v>
      </c>
      <c r="G2162" s="7">
        <v>41879</v>
      </c>
      <c r="H2162" s="6">
        <v>6595515</v>
      </c>
      <c r="I2162" s="6">
        <v>1624630</v>
      </c>
      <c r="J2162" s="5" t="s">
        <v>207</v>
      </c>
      <c r="K2162" s="1"/>
      <c r="L2162" s="1" t="str">
        <f t="shared" si="126"/>
        <v xml:space="preserve">Käringsjön </v>
      </c>
      <c r="M2162" s="1" t="s">
        <v>177</v>
      </c>
      <c r="N2162" s="6">
        <v>0.5</v>
      </c>
      <c r="O2162" s="6">
        <v>1</v>
      </c>
      <c r="P2162" s="6">
        <v>0.9</v>
      </c>
      <c r="Q2162" s="6">
        <v>16.100000000000001</v>
      </c>
      <c r="R2162" s="6">
        <v>7.1</v>
      </c>
      <c r="S2162" s="6">
        <v>72.154471544715449</v>
      </c>
      <c r="V2162" s="6">
        <v>0.47883346615</v>
      </c>
      <c r="W2162" s="6">
        <v>1.4590000000000001</v>
      </c>
      <c r="X2162" s="1">
        <f>W2162 * (1/((10^((0.0901821 + (2729.92 /(273.15 + Q2162)))-AE2162)+1)))</f>
        <v>4.7264854458561609E-3</v>
      </c>
      <c r="Y2162" s="6">
        <v>0.44500000000000001</v>
      </c>
      <c r="Z2162" s="6">
        <v>2.16</v>
      </c>
      <c r="AA2162" s="6">
        <v>2</v>
      </c>
      <c r="AB2162" s="6">
        <v>7.4192400000000003</v>
      </c>
      <c r="AD2162" s="6">
        <v>0</v>
      </c>
      <c r="AE2162" s="6">
        <v>7.04</v>
      </c>
      <c r="AK2162" s="6">
        <v>23.64</v>
      </c>
      <c r="AL2162" s="6">
        <v>1021.99</v>
      </c>
      <c r="AM2162" s="6"/>
      <c r="AN2162" s="6"/>
      <c r="AO2162" s="6"/>
      <c r="AP2162" s="6"/>
      <c r="AQ2162" s="6"/>
    </row>
    <row r="2163" spans="1:43" x14ac:dyDescent="0.3">
      <c r="A2163" s="6">
        <v>34213</v>
      </c>
      <c r="B2163" s="5" t="s">
        <v>230</v>
      </c>
      <c r="C2163" s="5" t="s">
        <v>231</v>
      </c>
      <c r="D2163" s="2">
        <f t="shared" si="124"/>
        <v>2014</v>
      </c>
      <c r="E2163" s="2">
        <f t="shared" si="125"/>
        <v>8</v>
      </c>
      <c r="F2163" s="3" t="s">
        <v>179</v>
      </c>
      <c r="G2163" s="7">
        <v>41879</v>
      </c>
      <c r="H2163" s="6">
        <v>6595515</v>
      </c>
      <c r="I2163" s="6">
        <v>1624630</v>
      </c>
      <c r="J2163" s="5" t="s">
        <v>207</v>
      </c>
      <c r="K2163" s="1"/>
      <c r="L2163" s="1" t="str">
        <f t="shared" si="126"/>
        <v xml:space="preserve">Käringsjön </v>
      </c>
      <c r="M2163" s="5" t="s">
        <v>211</v>
      </c>
      <c r="N2163" s="6">
        <v>1</v>
      </c>
      <c r="O2163" s="6">
        <v>1</v>
      </c>
      <c r="Q2163" s="6">
        <v>16.100000000000001</v>
      </c>
      <c r="R2163" s="6">
        <v>6.9</v>
      </c>
      <c r="S2163" s="6">
        <v>70.121951219512198</v>
      </c>
    </row>
    <row r="2164" spans="1:43" x14ac:dyDescent="0.3">
      <c r="A2164" s="6">
        <v>34214</v>
      </c>
      <c r="B2164" s="5" t="s">
        <v>230</v>
      </c>
      <c r="C2164" s="5" t="s">
        <v>231</v>
      </c>
      <c r="D2164" s="2">
        <f t="shared" si="124"/>
        <v>2014</v>
      </c>
      <c r="E2164" s="2">
        <f t="shared" si="125"/>
        <v>8</v>
      </c>
      <c r="F2164" s="3" t="s">
        <v>179</v>
      </c>
      <c r="G2164" s="7">
        <v>41879</v>
      </c>
      <c r="H2164" s="6">
        <v>6595515</v>
      </c>
      <c r="I2164" s="6">
        <v>1624630</v>
      </c>
      <c r="J2164" s="5" t="s">
        <v>207</v>
      </c>
      <c r="K2164" s="1"/>
      <c r="L2164" s="1" t="str">
        <f t="shared" si="126"/>
        <v xml:space="preserve">Käringsjön </v>
      </c>
      <c r="M2164" s="5" t="s">
        <v>212</v>
      </c>
      <c r="N2164" s="6">
        <v>2</v>
      </c>
      <c r="O2164" s="6">
        <v>2</v>
      </c>
      <c r="Q2164" s="6">
        <v>15.3</v>
      </c>
      <c r="R2164" s="6">
        <v>4.3</v>
      </c>
      <c r="S2164" s="6">
        <v>42.957042957042958</v>
      </c>
    </row>
    <row r="2165" spans="1:43" x14ac:dyDescent="0.3">
      <c r="A2165" s="6">
        <v>34215</v>
      </c>
      <c r="B2165" s="5" t="s">
        <v>230</v>
      </c>
      <c r="C2165" s="5" t="s">
        <v>231</v>
      </c>
      <c r="D2165" s="2">
        <f t="shared" si="124"/>
        <v>2014</v>
      </c>
      <c r="E2165" s="2">
        <f t="shared" si="125"/>
        <v>8</v>
      </c>
      <c r="F2165" s="3" t="s">
        <v>179</v>
      </c>
      <c r="G2165" s="7">
        <v>41879</v>
      </c>
      <c r="H2165" s="6">
        <v>6595515</v>
      </c>
      <c r="I2165" s="6">
        <v>1624630</v>
      </c>
      <c r="J2165" s="5" t="s">
        <v>207</v>
      </c>
      <c r="K2165" s="1"/>
      <c r="L2165" s="1" t="str">
        <f t="shared" si="126"/>
        <v xml:space="preserve">Käringsjön </v>
      </c>
      <c r="M2165" s="5" t="s">
        <v>213</v>
      </c>
      <c r="N2165" s="6">
        <v>3</v>
      </c>
      <c r="O2165" s="6">
        <v>3</v>
      </c>
      <c r="Q2165" s="6">
        <v>10.199999999999999</v>
      </c>
      <c r="R2165" s="6">
        <v>0.1</v>
      </c>
      <c r="S2165" s="6">
        <v>0.89047195013357072</v>
      </c>
    </row>
    <row r="2166" spans="1:43" x14ac:dyDescent="0.3">
      <c r="A2166" s="6">
        <v>34216</v>
      </c>
      <c r="B2166" s="5" t="s">
        <v>230</v>
      </c>
      <c r="C2166" s="5" t="s">
        <v>231</v>
      </c>
      <c r="D2166" s="2">
        <f t="shared" si="124"/>
        <v>2014</v>
      </c>
      <c r="E2166" s="2">
        <f t="shared" si="125"/>
        <v>8</v>
      </c>
      <c r="F2166" s="3" t="s">
        <v>179</v>
      </c>
      <c r="G2166" s="7">
        <v>41879</v>
      </c>
      <c r="H2166" s="6">
        <v>6595515</v>
      </c>
      <c r="I2166" s="6">
        <v>1624630</v>
      </c>
      <c r="J2166" s="5" t="s">
        <v>207</v>
      </c>
      <c r="K2166" s="1"/>
      <c r="L2166" s="1" t="str">
        <f t="shared" si="126"/>
        <v xml:space="preserve">Käringsjön </v>
      </c>
      <c r="M2166" s="1" t="s">
        <v>184</v>
      </c>
      <c r="N2166" s="6">
        <v>3.5</v>
      </c>
      <c r="O2166" s="6">
        <v>3.5</v>
      </c>
      <c r="Q2166" s="6">
        <v>9</v>
      </c>
      <c r="R2166" s="6">
        <v>0.1</v>
      </c>
      <c r="S2166" s="6">
        <v>0.86580086580086579</v>
      </c>
      <c r="V2166" s="6">
        <v>0.68404780878000004</v>
      </c>
      <c r="W2166" s="6">
        <v>0</v>
      </c>
      <c r="X2166" s="1">
        <f>W2166 * (1/((10^((0.0901821 + (2729.92 /(273.15 + Q2166)))-AE2166)+1)))</f>
        <v>0</v>
      </c>
      <c r="Y2166" s="6">
        <v>0.63900000000000001</v>
      </c>
      <c r="Z2166" s="6">
        <v>23.18</v>
      </c>
      <c r="AA2166" s="6">
        <v>5.9</v>
      </c>
      <c r="AD2166" s="6">
        <v>2.1</v>
      </c>
      <c r="AE2166" s="6">
        <v>6.83</v>
      </c>
      <c r="AK2166" s="6">
        <v>65.73</v>
      </c>
      <c r="AL2166" s="6">
        <v>1171.1099999999999</v>
      </c>
      <c r="AM2166" s="6"/>
      <c r="AN2166" s="6"/>
      <c r="AO2166" s="6"/>
      <c r="AP2166" s="6"/>
      <c r="AQ2166" s="6"/>
    </row>
    <row r="2167" spans="1:43" x14ac:dyDescent="0.3">
      <c r="A2167" s="6">
        <v>34217</v>
      </c>
      <c r="B2167" s="5" t="s">
        <v>230</v>
      </c>
      <c r="C2167" s="5" t="s">
        <v>231</v>
      </c>
      <c r="D2167" s="2">
        <f t="shared" si="124"/>
        <v>2014</v>
      </c>
      <c r="E2167" s="2">
        <f t="shared" si="125"/>
        <v>8</v>
      </c>
      <c r="F2167" s="3" t="s">
        <v>179</v>
      </c>
      <c r="G2167" s="7">
        <v>41879</v>
      </c>
      <c r="H2167" s="6">
        <v>6595470</v>
      </c>
      <c r="I2167" s="6">
        <v>1622370</v>
      </c>
      <c r="J2167" s="5" t="s">
        <v>190</v>
      </c>
      <c r="K2167" s="1"/>
      <c r="L2167" s="1" t="str">
        <f t="shared" si="126"/>
        <v xml:space="preserve">Snuggan </v>
      </c>
      <c r="M2167" s="1" t="s">
        <v>177</v>
      </c>
      <c r="N2167" s="6">
        <v>0.5</v>
      </c>
      <c r="O2167" s="6">
        <v>0.5</v>
      </c>
      <c r="P2167" s="6">
        <v>0.5</v>
      </c>
      <c r="Q2167" s="6">
        <v>15.8</v>
      </c>
      <c r="R2167" s="6">
        <v>6.5</v>
      </c>
      <c r="S2167" s="6">
        <v>65.656565656565661</v>
      </c>
      <c r="V2167" s="6">
        <v>4.2997290838000003E-2</v>
      </c>
      <c r="W2167" s="6">
        <v>0</v>
      </c>
      <c r="X2167" s="1">
        <f>W2167 * (1/((10^((0.0901821 + (2729.92 /(273.15 + Q2167)))-AE2167)+1)))</f>
        <v>0</v>
      </c>
      <c r="Y2167" s="6">
        <v>0.51700000000000002</v>
      </c>
      <c r="Z2167" s="6">
        <v>0.02</v>
      </c>
      <c r="AA2167" s="6">
        <v>2.6</v>
      </c>
      <c r="AB2167" s="6">
        <v>29.673000000000002</v>
      </c>
      <c r="AD2167" s="6">
        <v>0.27</v>
      </c>
      <c r="AE2167" s="6">
        <v>5.89</v>
      </c>
      <c r="AK2167" s="6">
        <v>30.9</v>
      </c>
      <c r="AL2167" s="6">
        <v>976.42</v>
      </c>
      <c r="AM2167" s="6"/>
      <c r="AN2167" s="6"/>
      <c r="AO2167" s="6"/>
      <c r="AP2167" s="6"/>
      <c r="AQ2167" s="6"/>
    </row>
    <row r="2168" spans="1:43" x14ac:dyDescent="0.3">
      <c r="A2168" s="6">
        <v>34218</v>
      </c>
      <c r="B2168" s="5" t="s">
        <v>230</v>
      </c>
      <c r="C2168" s="5" t="s">
        <v>231</v>
      </c>
      <c r="D2168" s="2">
        <f t="shared" si="124"/>
        <v>2014</v>
      </c>
      <c r="E2168" s="2">
        <f t="shared" si="125"/>
        <v>8</v>
      </c>
      <c r="F2168" s="3" t="s">
        <v>179</v>
      </c>
      <c r="G2168" s="7">
        <v>41879</v>
      </c>
      <c r="H2168" s="6">
        <v>6595470</v>
      </c>
      <c r="I2168" s="6">
        <v>1622370</v>
      </c>
      <c r="J2168" s="5" t="s">
        <v>190</v>
      </c>
      <c r="K2168" s="1"/>
      <c r="L2168" s="1" t="str">
        <f t="shared" si="126"/>
        <v xml:space="preserve">Snuggan </v>
      </c>
      <c r="M2168" s="5" t="s">
        <v>211</v>
      </c>
      <c r="N2168" s="6">
        <v>1</v>
      </c>
      <c r="O2168" s="6">
        <v>1</v>
      </c>
      <c r="Q2168" s="6">
        <v>15.8</v>
      </c>
      <c r="R2168" s="6">
        <v>6.5</v>
      </c>
      <c r="S2168" s="6">
        <v>65.656565656565661</v>
      </c>
    </row>
    <row r="2169" spans="1:43" x14ac:dyDescent="0.3">
      <c r="A2169" s="6">
        <v>34219</v>
      </c>
      <c r="B2169" s="5" t="s">
        <v>230</v>
      </c>
      <c r="C2169" s="5" t="s">
        <v>231</v>
      </c>
      <c r="D2169" s="2">
        <f t="shared" si="124"/>
        <v>2014</v>
      </c>
      <c r="E2169" s="2">
        <f t="shared" si="125"/>
        <v>8</v>
      </c>
      <c r="F2169" s="3" t="s">
        <v>179</v>
      </c>
      <c r="G2169" s="7">
        <v>41879</v>
      </c>
      <c r="H2169" s="6">
        <v>6595470</v>
      </c>
      <c r="I2169" s="6">
        <v>1622370</v>
      </c>
      <c r="J2169" s="5" t="s">
        <v>190</v>
      </c>
      <c r="K2169" s="1"/>
      <c r="L2169" s="1" t="str">
        <f t="shared" si="126"/>
        <v xml:space="preserve">Snuggan </v>
      </c>
      <c r="M2169" s="5" t="s">
        <v>212</v>
      </c>
      <c r="N2169" s="6">
        <v>2</v>
      </c>
      <c r="O2169" s="6">
        <v>2</v>
      </c>
      <c r="Q2169" s="6">
        <v>15.4</v>
      </c>
      <c r="R2169" s="6">
        <v>5.0999999999999996</v>
      </c>
      <c r="S2169" s="6">
        <v>51.051051051051047</v>
      </c>
    </row>
    <row r="2170" spans="1:43" x14ac:dyDescent="0.3">
      <c r="A2170" s="6">
        <v>34220</v>
      </c>
      <c r="B2170" s="5" t="s">
        <v>230</v>
      </c>
      <c r="C2170" s="5" t="s">
        <v>231</v>
      </c>
      <c r="D2170" s="2">
        <f t="shared" si="124"/>
        <v>2014</v>
      </c>
      <c r="E2170" s="2">
        <f t="shared" si="125"/>
        <v>8</v>
      </c>
      <c r="F2170" s="3" t="s">
        <v>179</v>
      </c>
      <c r="G2170" s="7">
        <v>41879</v>
      </c>
      <c r="H2170" s="6">
        <v>6595470</v>
      </c>
      <c r="I2170" s="6">
        <v>1622370</v>
      </c>
      <c r="J2170" s="5" t="s">
        <v>190</v>
      </c>
      <c r="K2170" s="1"/>
      <c r="L2170" s="1" t="str">
        <f t="shared" si="126"/>
        <v xml:space="preserve">Snuggan </v>
      </c>
      <c r="M2170" s="1" t="s">
        <v>184</v>
      </c>
      <c r="N2170" s="6">
        <v>2.7</v>
      </c>
      <c r="O2170" s="6">
        <v>2.7</v>
      </c>
      <c r="Q2170" s="6">
        <v>12.5</v>
      </c>
      <c r="R2170" s="6">
        <v>0.1</v>
      </c>
      <c r="S2170" s="6">
        <v>0.93896713615023475</v>
      </c>
      <c r="V2170" s="6">
        <v>0.14071840637999999</v>
      </c>
      <c r="W2170" s="6">
        <v>0</v>
      </c>
      <c r="X2170" s="1">
        <f>W2170 * (1/((10^((0.0901821 + (2729.92 /(273.15 + Q2170)))-AE2170)+1)))</f>
        <v>0</v>
      </c>
      <c r="Y2170" s="6">
        <v>0.61399999999999999</v>
      </c>
      <c r="Z2170" s="6">
        <v>1.65</v>
      </c>
      <c r="AA2170" s="6">
        <v>4.7</v>
      </c>
      <c r="AD2170" s="6">
        <v>6.87</v>
      </c>
      <c r="AE2170" s="6">
        <v>5.95</v>
      </c>
      <c r="AK2170" s="6">
        <v>42.13</v>
      </c>
      <c r="AL2170" s="6">
        <v>1098.44</v>
      </c>
      <c r="AM2170" s="6"/>
      <c r="AN2170" s="6"/>
      <c r="AO2170" s="6"/>
      <c r="AP2170" s="6"/>
      <c r="AQ2170" s="6"/>
    </row>
    <row r="2171" spans="1:43" x14ac:dyDescent="0.3">
      <c r="A2171" s="6">
        <v>34221</v>
      </c>
      <c r="B2171" s="5" t="s">
        <v>230</v>
      </c>
      <c r="C2171" s="5" t="s">
        <v>231</v>
      </c>
      <c r="D2171" s="2">
        <f t="shared" si="124"/>
        <v>2014</v>
      </c>
      <c r="E2171" s="2">
        <f t="shared" si="125"/>
        <v>8</v>
      </c>
      <c r="F2171" s="3" t="s">
        <v>179</v>
      </c>
      <c r="G2171" s="7">
        <v>41879</v>
      </c>
      <c r="H2171" s="6">
        <v>6593820</v>
      </c>
      <c r="I2171" s="6">
        <v>1624215</v>
      </c>
      <c r="J2171" s="5" t="s">
        <v>189</v>
      </c>
      <c r="K2171" s="1"/>
      <c r="L2171" s="1" t="str">
        <f t="shared" si="126"/>
        <v xml:space="preserve">Rösjön </v>
      </c>
      <c r="M2171" s="1" t="s">
        <v>177</v>
      </c>
      <c r="N2171" s="6">
        <v>0.5</v>
      </c>
      <c r="O2171" s="6">
        <v>0.5</v>
      </c>
      <c r="P2171" s="6">
        <v>3.2</v>
      </c>
      <c r="Q2171" s="6">
        <v>18.2</v>
      </c>
      <c r="R2171" s="6">
        <v>8.4</v>
      </c>
      <c r="S2171" s="6">
        <v>89.171974522292999</v>
      </c>
      <c r="V2171" s="6">
        <v>1.5244494024000002</v>
      </c>
      <c r="W2171" s="6">
        <v>10.5825</v>
      </c>
      <c r="X2171" s="1">
        <f>W2171 * (1/((10^((0.0901821 + (2729.92 /(273.15 + Q2171)))-AE2171)+1)))</f>
        <v>0.34676726281519155</v>
      </c>
      <c r="Y2171" s="6">
        <v>2.8000000000000001E-2</v>
      </c>
      <c r="Z2171" s="6">
        <v>2.85</v>
      </c>
      <c r="AA2171" s="6">
        <v>2.4</v>
      </c>
      <c r="AB2171" s="6">
        <v>6.9649200000000002</v>
      </c>
      <c r="AD2171" s="6">
        <v>0.23</v>
      </c>
      <c r="AE2171" s="6">
        <v>7.99</v>
      </c>
      <c r="AK2171" s="6">
        <v>33.36</v>
      </c>
      <c r="AL2171" s="6">
        <v>565.80999999999995</v>
      </c>
      <c r="AM2171" s="6"/>
      <c r="AN2171" s="6"/>
      <c r="AO2171" s="6"/>
      <c r="AP2171" s="6"/>
      <c r="AQ2171" s="6"/>
    </row>
    <row r="2172" spans="1:43" x14ac:dyDescent="0.3">
      <c r="A2172" s="6">
        <v>34222</v>
      </c>
      <c r="B2172" s="5" t="s">
        <v>230</v>
      </c>
      <c r="C2172" s="5" t="s">
        <v>231</v>
      </c>
      <c r="D2172" s="2">
        <f t="shared" si="124"/>
        <v>2014</v>
      </c>
      <c r="E2172" s="2">
        <f t="shared" si="125"/>
        <v>8</v>
      </c>
      <c r="F2172" s="3" t="s">
        <v>179</v>
      </c>
      <c r="G2172" s="7">
        <v>41879</v>
      </c>
      <c r="H2172" s="6">
        <v>6593820</v>
      </c>
      <c r="I2172" s="6">
        <v>1624215</v>
      </c>
      <c r="J2172" s="5" t="s">
        <v>189</v>
      </c>
      <c r="K2172" s="1"/>
      <c r="L2172" s="1" t="str">
        <f t="shared" si="126"/>
        <v xml:space="preserve">Rösjön </v>
      </c>
      <c r="M2172" s="5" t="s">
        <v>211</v>
      </c>
      <c r="N2172" s="6">
        <v>1</v>
      </c>
      <c r="O2172" s="6">
        <v>1</v>
      </c>
      <c r="Q2172" s="6">
        <v>18.2</v>
      </c>
      <c r="R2172" s="6">
        <v>8.4</v>
      </c>
      <c r="S2172" s="6">
        <v>89.171974522292999</v>
      </c>
    </row>
    <row r="2173" spans="1:43" x14ac:dyDescent="0.3">
      <c r="A2173" s="6">
        <v>34223</v>
      </c>
      <c r="B2173" s="5" t="s">
        <v>230</v>
      </c>
      <c r="C2173" s="5" t="s">
        <v>231</v>
      </c>
      <c r="D2173" s="2">
        <f t="shared" si="124"/>
        <v>2014</v>
      </c>
      <c r="E2173" s="2">
        <f t="shared" si="125"/>
        <v>8</v>
      </c>
      <c r="F2173" s="3" t="s">
        <v>179</v>
      </c>
      <c r="G2173" s="7">
        <v>41879</v>
      </c>
      <c r="H2173" s="6">
        <v>6593820</v>
      </c>
      <c r="I2173" s="6">
        <v>1624215</v>
      </c>
      <c r="J2173" s="5" t="s">
        <v>189</v>
      </c>
      <c r="K2173" s="1"/>
      <c r="L2173" s="1" t="str">
        <f t="shared" si="126"/>
        <v xml:space="preserve">Rösjön </v>
      </c>
      <c r="M2173" s="5" t="s">
        <v>212</v>
      </c>
      <c r="N2173" s="6">
        <v>2</v>
      </c>
      <c r="O2173" s="6">
        <v>2</v>
      </c>
      <c r="Q2173" s="6">
        <v>18.2</v>
      </c>
      <c r="R2173" s="6">
        <v>8.3000000000000007</v>
      </c>
      <c r="S2173" s="6">
        <v>88.110403397027611</v>
      </c>
    </row>
    <row r="2174" spans="1:43" x14ac:dyDescent="0.3">
      <c r="A2174" s="6">
        <v>34224</v>
      </c>
      <c r="B2174" s="5" t="s">
        <v>230</v>
      </c>
      <c r="C2174" s="5" t="s">
        <v>231</v>
      </c>
      <c r="D2174" s="2">
        <f t="shared" si="124"/>
        <v>2014</v>
      </c>
      <c r="E2174" s="2">
        <f t="shared" si="125"/>
        <v>8</v>
      </c>
      <c r="F2174" s="3" t="s">
        <v>179</v>
      </c>
      <c r="G2174" s="7">
        <v>41879</v>
      </c>
      <c r="H2174" s="6">
        <v>6593820</v>
      </c>
      <c r="I2174" s="6">
        <v>1624215</v>
      </c>
      <c r="J2174" s="5" t="s">
        <v>189</v>
      </c>
      <c r="K2174" s="1"/>
      <c r="L2174" s="1" t="str">
        <f t="shared" si="126"/>
        <v xml:space="preserve">Rösjön </v>
      </c>
      <c r="M2174" s="5" t="s">
        <v>213</v>
      </c>
      <c r="N2174" s="6">
        <v>3</v>
      </c>
      <c r="O2174" s="6">
        <v>3</v>
      </c>
      <c r="Q2174" s="6">
        <v>18.2</v>
      </c>
      <c r="R2174" s="6">
        <v>8.3000000000000007</v>
      </c>
      <c r="S2174" s="6">
        <v>88.110403397027611</v>
      </c>
    </row>
    <row r="2175" spans="1:43" x14ac:dyDescent="0.3">
      <c r="A2175" s="6">
        <v>34225</v>
      </c>
      <c r="B2175" s="5" t="s">
        <v>230</v>
      </c>
      <c r="C2175" s="5" t="s">
        <v>231</v>
      </c>
      <c r="D2175" s="2">
        <f t="shared" si="124"/>
        <v>2014</v>
      </c>
      <c r="E2175" s="2">
        <f t="shared" si="125"/>
        <v>8</v>
      </c>
      <c r="F2175" s="3" t="s">
        <v>179</v>
      </c>
      <c r="G2175" s="7">
        <v>41879</v>
      </c>
      <c r="H2175" s="6">
        <v>6593820</v>
      </c>
      <c r="I2175" s="6">
        <v>1624215</v>
      </c>
      <c r="J2175" s="5" t="s">
        <v>189</v>
      </c>
      <c r="K2175" s="1"/>
      <c r="L2175" s="1" t="str">
        <f t="shared" si="126"/>
        <v xml:space="preserve">Rösjön </v>
      </c>
      <c r="M2175" s="5" t="s">
        <v>214</v>
      </c>
      <c r="N2175" s="6">
        <v>4</v>
      </c>
      <c r="O2175" s="6">
        <v>4</v>
      </c>
      <c r="Q2175" s="6">
        <v>18.2</v>
      </c>
      <c r="R2175" s="6">
        <v>8.1999999999999993</v>
      </c>
      <c r="S2175" s="6">
        <v>87.048832271762194</v>
      </c>
    </row>
    <row r="2176" spans="1:43" x14ac:dyDescent="0.3">
      <c r="A2176" s="6">
        <v>34226</v>
      </c>
      <c r="B2176" s="5" t="s">
        <v>230</v>
      </c>
      <c r="C2176" s="5" t="s">
        <v>231</v>
      </c>
      <c r="D2176" s="2">
        <f t="shared" si="124"/>
        <v>2014</v>
      </c>
      <c r="E2176" s="2">
        <f t="shared" si="125"/>
        <v>8</v>
      </c>
      <c r="F2176" s="3" t="s">
        <v>179</v>
      </c>
      <c r="G2176" s="7">
        <v>41879</v>
      </c>
      <c r="H2176" s="6">
        <v>6593820</v>
      </c>
      <c r="I2176" s="6">
        <v>1624215</v>
      </c>
      <c r="J2176" s="5" t="s">
        <v>189</v>
      </c>
      <c r="K2176" s="1"/>
      <c r="L2176" s="1" t="str">
        <f t="shared" si="126"/>
        <v xml:space="preserve">Rösjön </v>
      </c>
      <c r="M2176" s="5" t="s">
        <v>217</v>
      </c>
      <c r="N2176" s="6">
        <v>5</v>
      </c>
      <c r="O2176" s="6">
        <v>5</v>
      </c>
      <c r="Q2176" s="6">
        <v>18.2</v>
      </c>
      <c r="R2176" s="6">
        <v>8.1999999999999993</v>
      </c>
      <c r="S2176" s="6">
        <v>87.048832271762194</v>
      </c>
    </row>
    <row r="2177" spans="1:43" x14ac:dyDescent="0.3">
      <c r="A2177" s="6">
        <v>34227</v>
      </c>
      <c r="B2177" s="5" t="s">
        <v>230</v>
      </c>
      <c r="C2177" s="5" t="s">
        <v>231</v>
      </c>
      <c r="D2177" s="2">
        <f t="shared" si="124"/>
        <v>2014</v>
      </c>
      <c r="E2177" s="2">
        <f t="shared" si="125"/>
        <v>8</v>
      </c>
      <c r="F2177" s="3" t="s">
        <v>179</v>
      </c>
      <c r="G2177" s="7">
        <v>41879</v>
      </c>
      <c r="H2177" s="6">
        <v>6593820</v>
      </c>
      <c r="I2177" s="6">
        <v>1624215</v>
      </c>
      <c r="J2177" s="5" t="s">
        <v>189</v>
      </c>
      <c r="K2177" s="1"/>
      <c r="L2177" s="1" t="str">
        <f t="shared" si="126"/>
        <v xml:space="preserve">Rösjön </v>
      </c>
      <c r="M2177" s="5" t="s">
        <v>218</v>
      </c>
      <c r="N2177" s="6">
        <v>6</v>
      </c>
      <c r="O2177" s="6">
        <v>6</v>
      </c>
      <c r="Q2177" s="6">
        <v>18.2</v>
      </c>
      <c r="R2177" s="6">
        <v>8.1999999999999993</v>
      </c>
      <c r="S2177" s="6">
        <v>87.048832271762194</v>
      </c>
    </row>
    <row r="2178" spans="1:43" x14ac:dyDescent="0.3">
      <c r="A2178" s="6">
        <v>34228</v>
      </c>
      <c r="B2178" s="5" t="s">
        <v>230</v>
      </c>
      <c r="C2178" s="5" t="s">
        <v>231</v>
      </c>
      <c r="D2178" s="2">
        <f t="shared" ref="D2178:D2241" si="127">YEAR(G2178)</f>
        <v>2014</v>
      </c>
      <c r="E2178" s="2">
        <f t="shared" ref="E2178:E2241" si="128">MONTH(G2178)</f>
        <v>8</v>
      </c>
      <c r="F2178" s="3" t="s">
        <v>179</v>
      </c>
      <c r="G2178" s="7">
        <v>41879</v>
      </c>
      <c r="H2178" s="6">
        <v>6593820</v>
      </c>
      <c r="I2178" s="6">
        <v>1624215</v>
      </c>
      <c r="J2178" s="5" t="s">
        <v>189</v>
      </c>
      <c r="K2178" s="1"/>
      <c r="L2178" s="1" t="str">
        <f t="shared" ref="L2178:L2241" si="129">CONCATENATE(J2178," ",K2178)</f>
        <v xml:space="preserve">Rösjön </v>
      </c>
      <c r="M2178" s="1" t="s">
        <v>184</v>
      </c>
      <c r="N2178" s="6">
        <v>6.6</v>
      </c>
      <c r="O2178" s="6">
        <v>6.6</v>
      </c>
      <c r="Q2178" s="6">
        <v>18.2</v>
      </c>
      <c r="R2178" s="6">
        <v>8</v>
      </c>
      <c r="S2178" s="6">
        <v>84.925690021231418</v>
      </c>
      <c r="V2178" s="6">
        <v>1.5830820717</v>
      </c>
      <c r="W2178" s="6">
        <v>9.4095999999999993</v>
      </c>
      <c r="X2178" s="1">
        <f>W2178 * (1/((10^((0.0901821 + (2729.92 /(273.15 + Q2178)))-AE2178)+1)))</f>
        <v>0.32236717119462288</v>
      </c>
      <c r="Y2178" s="6">
        <v>2.9000000000000001E-2</v>
      </c>
      <c r="Z2178" s="6">
        <v>4.5999999999999996</v>
      </c>
      <c r="AA2178" s="6">
        <v>3.3</v>
      </c>
      <c r="AD2178" s="6">
        <v>0</v>
      </c>
      <c r="AE2178" s="6">
        <v>8.01</v>
      </c>
      <c r="AK2178" s="6">
        <v>32.119999999999997</v>
      </c>
      <c r="AL2178" s="6">
        <v>566.32000000000005</v>
      </c>
      <c r="AM2178" s="6"/>
      <c r="AN2178" s="6"/>
      <c r="AO2178" s="6"/>
      <c r="AP2178" s="6"/>
      <c r="AQ2178" s="6"/>
    </row>
    <row r="2179" spans="1:43" x14ac:dyDescent="0.3">
      <c r="A2179" s="6">
        <v>34229</v>
      </c>
      <c r="B2179" s="5" t="s">
        <v>230</v>
      </c>
      <c r="C2179" s="5" t="s">
        <v>231</v>
      </c>
      <c r="D2179" s="2">
        <f t="shared" si="127"/>
        <v>2014</v>
      </c>
      <c r="E2179" s="2">
        <f t="shared" si="128"/>
        <v>8</v>
      </c>
      <c r="F2179" s="3" t="s">
        <v>179</v>
      </c>
      <c r="G2179" s="7">
        <v>41879</v>
      </c>
      <c r="H2179" s="6">
        <v>6606035</v>
      </c>
      <c r="I2179" s="6">
        <v>1615620</v>
      </c>
      <c r="J2179" s="5" t="s">
        <v>187</v>
      </c>
      <c r="K2179" s="1"/>
      <c r="L2179" s="1" t="str">
        <f t="shared" si="129"/>
        <v xml:space="preserve">Oxundasjön </v>
      </c>
      <c r="M2179" s="1" t="s">
        <v>177</v>
      </c>
      <c r="N2179" s="6">
        <v>0.5</v>
      </c>
      <c r="O2179" s="6">
        <v>0.5</v>
      </c>
      <c r="P2179" s="6">
        <v>1.7</v>
      </c>
      <c r="Q2179" s="6">
        <v>18.399999999999999</v>
      </c>
      <c r="R2179" s="6">
        <v>9.5</v>
      </c>
      <c r="S2179" s="6">
        <v>101.27931769722814</v>
      </c>
      <c r="V2179" s="6">
        <v>2.4039394423</v>
      </c>
      <c r="W2179" s="6">
        <v>2.3121999999999998</v>
      </c>
      <c r="X2179" s="1">
        <f>W2179 * (1/((10^((0.0901821 + (2729.92 /(273.15 + Q2179)))-AE2179)+1)))</f>
        <v>0.14527493519014434</v>
      </c>
      <c r="Y2179" s="6">
        <v>0.04</v>
      </c>
      <c r="Z2179" s="6">
        <v>34.85</v>
      </c>
      <c r="AA2179" s="6">
        <v>4.5</v>
      </c>
      <c r="AB2179" s="6">
        <v>11.912039999999999</v>
      </c>
      <c r="AD2179" s="6">
        <v>0</v>
      </c>
      <c r="AE2179" s="6">
        <v>8.2799999999999994</v>
      </c>
      <c r="AK2179" s="6">
        <v>90.52</v>
      </c>
      <c r="AL2179" s="6">
        <v>773.37</v>
      </c>
      <c r="AM2179" s="6"/>
      <c r="AN2179" s="6"/>
      <c r="AO2179" s="6"/>
      <c r="AP2179" s="6"/>
      <c r="AQ2179" s="6"/>
    </row>
    <row r="2180" spans="1:43" x14ac:dyDescent="0.3">
      <c r="A2180" s="6">
        <v>34230</v>
      </c>
      <c r="B2180" s="5" t="s">
        <v>230</v>
      </c>
      <c r="C2180" s="5" t="s">
        <v>231</v>
      </c>
      <c r="D2180" s="2">
        <f t="shared" si="127"/>
        <v>2014</v>
      </c>
      <c r="E2180" s="2">
        <f t="shared" si="128"/>
        <v>8</v>
      </c>
      <c r="F2180" s="3" t="s">
        <v>179</v>
      </c>
      <c r="G2180" s="7">
        <v>41879</v>
      </c>
      <c r="H2180" s="6">
        <v>6606035</v>
      </c>
      <c r="I2180" s="6">
        <v>1615620</v>
      </c>
      <c r="J2180" s="5" t="s">
        <v>187</v>
      </c>
      <c r="K2180" s="1"/>
      <c r="L2180" s="1" t="str">
        <f t="shared" si="129"/>
        <v xml:space="preserve">Oxundasjön </v>
      </c>
      <c r="M2180" s="5" t="s">
        <v>211</v>
      </c>
      <c r="N2180" s="6">
        <v>1</v>
      </c>
      <c r="O2180" s="6">
        <v>1</v>
      </c>
      <c r="Q2180" s="6">
        <v>18.2</v>
      </c>
      <c r="R2180" s="6">
        <v>9.4</v>
      </c>
      <c r="S2180" s="6">
        <v>99.787685774946922</v>
      </c>
    </row>
    <row r="2181" spans="1:43" x14ac:dyDescent="0.3">
      <c r="A2181" s="6">
        <v>34231</v>
      </c>
      <c r="B2181" s="5" t="s">
        <v>230</v>
      </c>
      <c r="C2181" s="5" t="s">
        <v>231</v>
      </c>
      <c r="D2181" s="2">
        <f t="shared" si="127"/>
        <v>2014</v>
      </c>
      <c r="E2181" s="2">
        <f t="shared" si="128"/>
        <v>8</v>
      </c>
      <c r="F2181" s="3" t="s">
        <v>179</v>
      </c>
      <c r="G2181" s="7">
        <v>41879</v>
      </c>
      <c r="H2181" s="6">
        <v>6606035</v>
      </c>
      <c r="I2181" s="6">
        <v>1615620</v>
      </c>
      <c r="J2181" s="5" t="s">
        <v>187</v>
      </c>
      <c r="K2181" s="1"/>
      <c r="L2181" s="1" t="str">
        <f t="shared" si="129"/>
        <v xml:space="preserve">Oxundasjön </v>
      </c>
      <c r="M2181" s="5" t="s">
        <v>212</v>
      </c>
      <c r="N2181" s="6">
        <v>2</v>
      </c>
      <c r="O2181" s="6">
        <v>2</v>
      </c>
      <c r="Q2181" s="6">
        <v>18.100000000000001</v>
      </c>
      <c r="R2181" s="6">
        <v>9.3000000000000007</v>
      </c>
      <c r="S2181" s="6">
        <v>98.516949152542395</v>
      </c>
    </row>
    <row r="2182" spans="1:43" x14ac:dyDescent="0.3">
      <c r="A2182" s="6">
        <v>34232</v>
      </c>
      <c r="B2182" s="5" t="s">
        <v>230</v>
      </c>
      <c r="C2182" s="5" t="s">
        <v>231</v>
      </c>
      <c r="D2182" s="2">
        <f t="shared" si="127"/>
        <v>2014</v>
      </c>
      <c r="E2182" s="2">
        <f t="shared" si="128"/>
        <v>8</v>
      </c>
      <c r="F2182" s="3" t="s">
        <v>179</v>
      </c>
      <c r="G2182" s="7">
        <v>41879</v>
      </c>
      <c r="H2182" s="6">
        <v>6606035</v>
      </c>
      <c r="I2182" s="6">
        <v>1615620</v>
      </c>
      <c r="J2182" s="5" t="s">
        <v>187</v>
      </c>
      <c r="K2182" s="1"/>
      <c r="L2182" s="1" t="str">
        <f t="shared" si="129"/>
        <v xml:space="preserve">Oxundasjön </v>
      </c>
      <c r="M2182" s="5" t="s">
        <v>213</v>
      </c>
      <c r="N2182" s="6">
        <v>3</v>
      </c>
      <c r="O2182" s="6">
        <v>3</v>
      </c>
      <c r="Q2182" s="6">
        <v>17.899999999999999</v>
      </c>
      <c r="R2182" s="6">
        <v>9.3000000000000007</v>
      </c>
      <c r="S2182" s="6">
        <v>98.101265822784811</v>
      </c>
    </row>
    <row r="2183" spans="1:43" x14ac:dyDescent="0.3">
      <c r="A2183" s="6">
        <v>34233</v>
      </c>
      <c r="B2183" s="5" t="s">
        <v>230</v>
      </c>
      <c r="C2183" s="5" t="s">
        <v>231</v>
      </c>
      <c r="D2183" s="2">
        <f t="shared" si="127"/>
        <v>2014</v>
      </c>
      <c r="E2183" s="2">
        <f t="shared" si="128"/>
        <v>8</v>
      </c>
      <c r="F2183" s="3" t="s">
        <v>179</v>
      </c>
      <c r="G2183" s="7">
        <v>41879</v>
      </c>
      <c r="H2183" s="6">
        <v>6606035</v>
      </c>
      <c r="I2183" s="6">
        <v>1615620</v>
      </c>
      <c r="J2183" s="5" t="s">
        <v>187</v>
      </c>
      <c r="K2183" s="1"/>
      <c r="L2183" s="1" t="str">
        <f t="shared" si="129"/>
        <v xml:space="preserve">Oxundasjön </v>
      </c>
      <c r="M2183" s="5" t="s">
        <v>214</v>
      </c>
      <c r="N2183" s="6">
        <v>4</v>
      </c>
      <c r="O2183" s="6">
        <v>4</v>
      </c>
      <c r="Q2183" s="6">
        <v>17.899999999999999</v>
      </c>
      <c r="R2183" s="6">
        <v>8.9</v>
      </c>
      <c r="S2183" s="6">
        <v>93.881856540084385</v>
      </c>
    </row>
    <row r="2184" spans="1:43" x14ac:dyDescent="0.3">
      <c r="A2184" s="6">
        <v>34234</v>
      </c>
      <c r="B2184" s="5" t="s">
        <v>230</v>
      </c>
      <c r="C2184" s="5" t="s">
        <v>231</v>
      </c>
      <c r="D2184" s="2">
        <f t="shared" si="127"/>
        <v>2014</v>
      </c>
      <c r="E2184" s="2">
        <f t="shared" si="128"/>
        <v>8</v>
      </c>
      <c r="F2184" s="3" t="s">
        <v>179</v>
      </c>
      <c r="G2184" s="7">
        <v>41879</v>
      </c>
      <c r="H2184" s="6">
        <v>6606035</v>
      </c>
      <c r="I2184" s="6">
        <v>1615620</v>
      </c>
      <c r="J2184" s="5" t="s">
        <v>187</v>
      </c>
      <c r="K2184" s="1"/>
      <c r="L2184" s="1" t="str">
        <f t="shared" si="129"/>
        <v xml:space="preserve">Oxundasjön </v>
      </c>
      <c r="M2184" s="5" t="s">
        <v>217</v>
      </c>
      <c r="N2184" s="6">
        <v>5</v>
      </c>
      <c r="O2184" s="6">
        <v>5</v>
      </c>
      <c r="Q2184" s="6">
        <v>17.7</v>
      </c>
      <c r="R2184" s="6">
        <v>8.6999999999999993</v>
      </c>
      <c r="S2184" s="6">
        <v>91.482649842271286</v>
      </c>
    </row>
    <row r="2185" spans="1:43" x14ac:dyDescent="0.3">
      <c r="A2185" s="6">
        <v>34235</v>
      </c>
      <c r="B2185" s="5" t="s">
        <v>230</v>
      </c>
      <c r="C2185" s="5" t="s">
        <v>231</v>
      </c>
      <c r="D2185" s="2">
        <f t="shared" si="127"/>
        <v>2014</v>
      </c>
      <c r="E2185" s="2">
        <f t="shared" si="128"/>
        <v>8</v>
      </c>
      <c r="F2185" s="3" t="s">
        <v>179</v>
      </c>
      <c r="G2185" s="7">
        <v>41879</v>
      </c>
      <c r="H2185" s="6">
        <v>6606035</v>
      </c>
      <c r="I2185" s="6">
        <v>1615620</v>
      </c>
      <c r="J2185" s="5" t="s">
        <v>187</v>
      </c>
      <c r="K2185" s="1"/>
      <c r="L2185" s="1" t="str">
        <f t="shared" si="129"/>
        <v xml:space="preserve">Oxundasjön </v>
      </c>
      <c r="M2185" s="1" t="s">
        <v>184</v>
      </c>
      <c r="N2185" s="6">
        <v>5.9</v>
      </c>
      <c r="O2185" s="6">
        <v>5.9</v>
      </c>
      <c r="Q2185" s="6">
        <v>17.7</v>
      </c>
      <c r="R2185" s="6">
        <v>8.6</v>
      </c>
      <c r="S2185" s="6">
        <v>90.431125131440595</v>
      </c>
      <c r="V2185" s="6">
        <v>2.4234836654</v>
      </c>
      <c r="W2185" s="6">
        <v>1.3458999999999999</v>
      </c>
      <c r="X2185" s="1">
        <f>W2185 * (1/((10^((0.0901821 + (2729.92 /(273.15 + Q2185)))-AE2185)+1)))</f>
        <v>7.384438320909846E-2</v>
      </c>
      <c r="Y2185" s="6">
        <v>4.2000000000000003E-2</v>
      </c>
      <c r="Z2185" s="6">
        <v>35.619999999999997</v>
      </c>
      <c r="AA2185" s="6">
        <v>8</v>
      </c>
      <c r="AD2185" s="6">
        <v>3.58</v>
      </c>
      <c r="AE2185" s="6">
        <v>8.24</v>
      </c>
      <c r="AK2185" s="6">
        <v>99.02</v>
      </c>
      <c r="AL2185" s="6">
        <v>793.17</v>
      </c>
      <c r="AM2185" s="6"/>
      <c r="AN2185" s="6"/>
      <c r="AO2185" s="6"/>
      <c r="AP2185" s="6"/>
      <c r="AQ2185" s="6"/>
    </row>
    <row r="2186" spans="1:43" x14ac:dyDescent="0.3">
      <c r="A2186" s="6">
        <v>34236</v>
      </c>
      <c r="B2186" s="5" t="s">
        <v>230</v>
      </c>
      <c r="C2186" s="5" t="s">
        <v>231</v>
      </c>
      <c r="D2186" s="2">
        <f t="shared" si="127"/>
        <v>2014</v>
      </c>
      <c r="E2186" s="2">
        <f t="shared" si="128"/>
        <v>8</v>
      </c>
      <c r="F2186" s="3" t="s">
        <v>179</v>
      </c>
      <c r="G2186" s="7">
        <v>41879</v>
      </c>
      <c r="H2186" s="6">
        <v>6594980</v>
      </c>
      <c r="I2186" s="6">
        <v>1622960</v>
      </c>
      <c r="J2186" s="5" t="s">
        <v>192</v>
      </c>
      <c r="K2186" s="1"/>
      <c r="L2186" s="1" t="str">
        <f t="shared" si="129"/>
        <v xml:space="preserve">Väsjön </v>
      </c>
      <c r="M2186" s="1" t="s">
        <v>177</v>
      </c>
      <c r="N2186" s="6">
        <v>0.5</v>
      </c>
      <c r="O2186" s="6">
        <v>0.5</v>
      </c>
      <c r="P2186" s="6">
        <v>2.5</v>
      </c>
      <c r="Q2186" s="6">
        <v>17</v>
      </c>
      <c r="R2186" s="6">
        <v>7.7</v>
      </c>
      <c r="S2186" s="6">
        <v>79.792746113989637</v>
      </c>
      <c r="V2186" s="6">
        <v>2.8143681275999999</v>
      </c>
      <c r="W2186" s="6">
        <v>0.84199999999999997</v>
      </c>
      <c r="X2186" s="1">
        <f>W2186 * (1/((10^((0.0901821 + (2729.92 /(273.15 + Q2186)))-AE2186)+1)))</f>
        <v>2.314069978052459E-2</v>
      </c>
      <c r="Y2186" s="6">
        <v>5.6000000000000001E-2</v>
      </c>
      <c r="Z2186" s="6">
        <v>0.39</v>
      </c>
      <c r="AA2186" s="6">
        <v>1</v>
      </c>
      <c r="AB2186" s="6">
        <v>10.890359999999999</v>
      </c>
      <c r="AD2186" s="6">
        <v>2.34</v>
      </c>
      <c r="AE2186" s="6">
        <v>7.95</v>
      </c>
      <c r="AK2186" s="6">
        <v>20.38</v>
      </c>
      <c r="AL2186" s="6">
        <v>697.88</v>
      </c>
      <c r="AM2186" s="6"/>
      <c r="AN2186" s="6"/>
      <c r="AO2186" s="6"/>
      <c r="AP2186" s="6"/>
      <c r="AQ2186" s="6"/>
    </row>
    <row r="2187" spans="1:43" x14ac:dyDescent="0.3">
      <c r="A2187" s="6">
        <v>34237</v>
      </c>
      <c r="B2187" s="5" t="s">
        <v>230</v>
      </c>
      <c r="C2187" s="5" t="s">
        <v>231</v>
      </c>
      <c r="D2187" s="2">
        <f t="shared" si="127"/>
        <v>2014</v>
      </c>
      <c r="E2187" s="2">
        <f t="shared" si="128"/>
        <v>8</v>
      </c>
      <c r="F2187" s="3" t="s">
        <v>179</v>
      </c>
      <c r="G2187" s="7">
        <v>41879</v>
      </c>
      <c r="H2187" s="6">
        <v>6594980</v>
      </c>
      <c r="I2187" s="6">
        <v>1622960</v>
      </c>
      <c r="J2187" s="5" t="s">
        <v>192</v>
      </c>
      <c r="K2187" s="1"/>
      <c r="L2187" s="1" t="str">
        <f t="shared" si="129"/>
        <v xml:space="preserve">Väsjön </v>
      </c>
      <c r="M2187" s="5" t="s">
        <v>211</v>
      </c>
      <c r="N2187" s="6">
        <v>1</v>
      </c>
      <c r="O2187" s="6">
        <v>1</v>
      </c>
      <c r="Q2187" s="6">
        <v>16.899999999999999</v>
      </c>
      <c r="R2187" s="6">
        <v>7.6</v>
      </c>
      <c r="S2187" s="6">
        <v>78.593588417786975</v>
      </c>
    </row>
    <row r="2188" spans="1:43" x14ac:dyDescent="0.3">
      <c r="A2188" s="6">
        <v>34238</v>
      </c>
      <c r="B2188" s="5" t="s">
        <v>230</v>
      </c>
      <c r="C2188" s="5" t="s">
        <v>231</v>
      </c>
      <c r="D2188" s="2">
        <f t="shared" si="127"/>
        <v>2014</v>
      </c>
      <c r="E2188" s="2">
        <f t="shared" si="128"/>
        <v>8</v>
      </c>
      <c r="F2188" s="3" t="s">
        <v>179</v>
      </c>
      <c r="G2188" s="7">
        <v>41879</v>
      </c>
      <c r="H2188" s="6">
        <v>6594980</v>
      </c>
      <c r="I2188" s="6">
        <v>1622960</v>
      </c>
      <c r="J2188" s="5" t="s">
        <v>192</v>
      </c>
      <c r="K2188" s="1"/>
      <c r="L2188" s="1" t="str">
        <f t="shared" si="129"/>
        <v xml:space="preserve">Väsjön </v>
      </c>
      <c r="M2188" s="5" t="s">
        <v>212</v>
      </c>
      <c r="N2188" s="6">
        <v>2</v>
      </c>
      <c r="O2188" s="6">
        <v>2</v>
      </c>
      <c r="Q2188" s="6">
        <v>16.8</v>
      </c>
      <c r="R2188" s="6">
        <v>7.6</v>
      </c>
      <c r="S2188" s="6">
        <v>78.431372549019613</v>
      </c>
    </row>
    <row r="2189" spans="1:43" x14ac:dyDescent="0.3">
      <c r="A2189" s="6">
        <v>34239</v>
      </c>
      <c r="B2189" s="5" t="s">
        <v>230</v>
      </c>
      <c r="C2189" s="5" t="s">
        <v>231</v>
      </c>
      <c r="D2189" s="2">
        <f t="shared" si="127"/>
        <v>2014</v>
      </c>
      <c r="E2189" s="2">
        <f t="shared" si="128"/>
        <v>8</v>
      </c>
      <c r="F2189" s="3" t="s">
        <v>179</v>
      </c>
      <c r="G2189" s="7">
        <v>41879</v>
      </c>
      <c r="H2189" s="6">
        <v>6594980</v>
      </c>
      <c r="I2189" s="6">
        <v>1622960</v>
      </c>
      <c r="J2189" s="5" t="s">
        <v>192</v>
      </c>
      <c r="K2189" s="1"/>
      <c r="L2189" s="1" t="str">
        <f t="shared" si="129"/>
        <v xml:space="preserve">Väsjön </v>
      </c>
      <c r="M2189" s="1" t="s">
        <v>184</v>
      </c>
      <c r="N2189" s="6">
        <v>2.5</v>
      </c>
      <c r="O2189" s="6">
        <v>2.5</v>
      </c>
      <c r="Q2189" s="6">
        <v>16.8</v>
      </c>
      <c r="R2189" s="6">
        <v>7.6</v>
      </c>
      <c r="S2189" s="6">
        <v>78.431372549019613</v>
      </c>
      <c r="V2189" s="6">
        <v>2.8143681275999999</v>
      </c>
      <c r="W2189" s="6">
        <v>2.7119999999999997</v>
      </c>
      <c r="X2189" s="1">
        <f>W2189 * (1/((10^((0.0901821 + (2729.92 /(273.15 + Q2189)))-AE2189)+1)))</f>
        <v>7.5122042645325876E-2</v>
      </c>
      <c r="Y2189" s="6">
        <v>5.6000000000000001E-2</v>
      </c>
      <c r="Z2189" s="6">
        <v>0</v>
      </c>
      <c r="AA2189" s="6">
        <v>1.3</v>
      </c>
      <c r="AD2189" s="6">
        <v>3.98</v>
      </c>
      <c r="AE2189" s="6">
        <v>7.96</v>
      </c>
      <c r="AK2189" s="6">
        <v>21.6</v>
      </c>
      <c r="AL2189" s="6">
        <v>661.29</v>
      </c>
      <c r="AM2189" s="6"/>
      <c r="AN2189" s="6"/>
      <c r="AO2189" s="6"/>
      <c r="AP2189" s="6"/>
      <c r="AQ2189" s="6"/>
    </row>
    <row r="2190" spans="1:43" x14ac:dyDescent="0.3">
      <c r="A2190" s="1">
        <v>34762</v>
      </c>
      <c r="B2190" s="1" t="s">
        <v>232</v>
      </c>
      <c r="C2190" s="1" t="s">
        <v>209</v>
      </c>
      <c r="D2190" s="2">
        <f t="shared" si="127"/>
        <v>2014</v>
      </c>
      <c r="E2190" s="2">
        <f t="shared" si="128"/>
        <v>9</v>
      </c>
      <c r="F2190" s="2"/>
      <c r="G2190" s="4">
        <v>41891</v>
      </c>
      <c r="H2190" s="1">
        <v>6600935</v>
      </c>
      <c r="I2190" s="1">
        <v>1626764</v>
      </c>
      <c r="J2190" s="1" t="s">
        <v>191</v>
      </c>
      <c r="K2190" s="1" t="s">
        <v>210</v>
      </c>
      <c r="L2190" s="1" t="str">
        <f t="shared" si="129"/>
        <v>Vallentunasjön Va2</v>
      </c>
      <c r="M2190" s="1" t="s">
        <v>177</v>
      </c>
      <c r="N2190" s="1">
        <v>0.5</v>
      </c>
      <c r="O2190" s="1">
        <v>0.5</v>
      </c>
      <c r="P2190" s="1">
        <v>0.7</v>
      </c>
      <c r="Q2190" s="1">
        <v>18.2</v>
      </c>
      <c r="R2190" s="1">
        <v>10.199999999999999</v>
      </c>
      <c r="S2190" s="1">
        <v>109</v>
      </c>
    </row>
    <row r="2191" spans="1:43" x14ac:dyDescent="0.3">
      <c r="A2191" s="1">
        <v>34763</v>
      </c>
      <c r="B2191" s="1" t="s">
        <v>232</v>
      </c>
      <c r="C2191" s="1" t="s">
        <v>209</v>
      </c>
      <c r="D2191" s="2">
        <f t="shared" si="127"/>
        <v>2014</v>
      </c>
      <c r="E2191" s="2">
        <f t="shared" si="128"/>
        <v>9</v>
      </c>
      <c r="F2191" s="2"/>
      <c r="G2191" s="4">
        <v>41891</v>
      </c>
      <c r="H2191" s="1">
        <v>6600935</v>
      </c>
      <c r="I2191" s="1">
        <v>1626764</v>
      </c>
      <c r="J2191" s="1" t="s">
        <v>191</v>
      </c>
      <c r="K2191" s="1" t="s">
        <v>210</v>
      </c>
      <c r="L2191" s="1" t="str">
        <f t="shared" si="129"/>
        <v>Vallentunasjön Va2</v>
      </c>
      <c r="M2191" s="1" t="s">
        <v>211</v>
      </c>
      <c r="N2191" s="1">
        <v>1</v>
      </c>
      <c r="O2191" s="1">
        <v>1</v>
      </c>
      <c r="Q2191" s="1">
        <v>18.2</v>
      </c>
      <c r="R2191" s="1">
        <v>10.199999999999999</v>
      </c>
      <c r="S2191" s="1">
        <v>109</v>
      </c>
    </row>
    <row r="2192" spans="1:43" x14ac:dyDescent="0.3">
      <c r="A2192" s="1">
        <v>34764</v>
      </c>
      <c r="B2192" s="1" t="s">
        <v>232</v>
      </c>
      <c r="C2192" s="1" t="s">
        <v>209</v>
      </c>
      <c r="D2192" s="2">
        <f t="shared" si="127"/>
        <v>2014</v>
      </c>
      <c r="E2192" s="2">
        <f t="shared" si="128"/>
        <v>9</v>
      </c>
      <c r="F2192" s="2"/>
      <c r="G2192" s="4">
        <v>41891</v>
      </c>
      <c r="H2192" s="1">
        <v>6600935</v>
      </c>
      <c r="I2192" s="1">
        <v>1626764</v>
      </c>
      <c r="J2192" s="1" t="s">
        <v>191</v>
      </c>
      <c r="K2192" s="1" t="s">
        <v>210</v>
      </c>
      <c r="L2192" s="1" t="str">
        <f t="shared" si="129"/>
        <v>Vallentunasjön Va2</v>
      </c>
      <c r="M2192" s="1" t="s">
        <v>212</v>
      </c>
      <c r="N2192" s="1">
        <v>2</v>
      </c>
      <c r="O2192" s="1">
        <v>2</v>
      </c>
      <c r="Q2192" s="1">
        <v>18.100000000000001</v>
      </c>
      <c r="R2192" s="1">
        <v>10.1</v>
      </c>
      <c r="S2192" s="1">
        <v>108</v>
      </c>
    </row>
    <row r="2193" spans="1:51" x14ac:dyDescent="0.3">
      <c r="A2193" s="1">
        <v>34765</v>
      </c>
      <c r="B2193" s="1" t="s">
        <v>232</v>
      </c>
      <c r="C2193" s="1" t="s">
        <v>209</v>
      </c>
      <c r="D2193" s="2">
        <f t="shared" si="127"/>
        <v>2014</v>
      </c>
      <c r="E2193" s="2">
        <f t="shared" si="128"/>
        <v>9</v>
      </c>
      <c r="F2193" s="2"/>
      <c r="G2193" s="4">
        <v>41891</v>
      </c>
      <c r="H2193" s="1">
        <v>6600935</v>
      </c>
      <c r="I2193" s="1">
        <v>1626764</v>
      </c>
      <c r="J2193" s="1" t="s">
        <v>191</v>
      </c>
      <c r="K2193" s="1" t="s">
        <v>210</v>
      </c>
      <c r="L2193" s="1" t="str">
        <f t="shared" si="129"/>
        <v>Vallentunasjön Va2</v>
      </c>
      <c r="M2193" s="1" t="s">
        <v>213</v>
      </c>
      <c r="N2193" s="1">
        <v>3</v>
      </c>
      <c r="O2193" s="1">
        <v>3</v>
      </c>
      <c r="Q2193" s="1">
        <v>18</v>
      </c>
      <c r="R2193" s="1">
        <v>10</v>
      </c>
      <c r="S2193" s="1">
        <v>106</v>
      </c>
    </row>
    <row r="2194" spans="1:51" x14ac:dyDescent="0.3">
      <c r="A2194" s="1">
        <v>34766</v>
      </c>
      <c r="B2194" s="1" t="s">
        <v>232</v>
      </c>
      <c r="C2194" s="1" t="s">
        <v>209</v>
      </c>
      <c r="D2194" s="2">
        <f t="shared" si="127"/>
        <v>2014</v>
      </c>
      <c r="E2194" s="2">
        <f t="shared" si="128"/>
        <v>9</v>
      </c>
      <c r="F2194" s="2"/>
      <c r="G2194" s="4">
        <v>41891</v>
      </c>
      <c r="H2194" s="1">
        <v>6600935</v>
      </c>
      <c r="I2194" s="1">
        <v>1626764</v>
      </c>
      <c r="J2194" s="1" t="s">
        <v>191</v>
      </c>
      <c r="K2194" s="1" t="s">
        <v>210</v>
      </c>
      <c r="L2194" s="1" t="str">
        <f t="shared" si="129"/>
        <v>Vallentunasjön Va2</v>
      </c>
      <c r="M2194" s="1" t="s">
        <v>214</v>
      </c>
      <c r="N2194" s="1">
        <v>4</v>
      </c>
      <c r="O2194" s="1">
        <v>4</v>
      </c>
      <c r="Q2194" s="1">
        <v>17.899999999999999</v>
      </c>
      <c r="R2194" s="1">
        <v>9.1999999999999993</v>
      </c>
      <c r="S2194" s="1">
        <v>98</v>
      </c>
    </row>
    <row r="2195" spans="1:51" x14ac:dyDescent="0.3">
      <c r="A2195" s="1">
        <v>34767</v>
      </c>
      <c r="B2195" s="1" t="s">
        <v>232</v>
      </c>
      <c r="C2195" s="1" t="s">
        <v>209</v>
      </c>
      <c r="D2195" s="2">
        <f t="shared" si="127"/>
        <v>2014</v>
      </c>
      <c r="E2195" s="2">
        <f t="shared" si="128"/>
        <v>9</v>
      </c>
      <c r="F2195" s="2"/>
      <c r="G2195" s="4">
        <v>41891</v>
      </c>
      <c r="H2195" s="1">
        <v>6600935</v>
      </c>
      <c r="I2195" s="1">
        <v>1626764</v>
      </c>
      <c r="J2195" s="1" t="s">
        <v>191</v>
      </c>
      <c r="K2195" s="1" t="s">
        <v>210</v>
      </c>
      <c r="L2195" s="1" t="str">
        <f t="shared" si="129"/>
        <v>Vallentunasjön Va2</v>
      </c>
      <c r="M2195" s="1" t="s">
        <v>184</v>
      </c>
      <c r="N2195" s="1">
        <v>4.5</v>
      </c>
      <c r="O2195" s="1">
        <v>4.5</v>
      </c>
      <c r="Q2195" s="1">
        <v>17.899999999999999</v>
      </c>
      <c r="R2195" s="1">
        <v>9.1</v>
      </c>
      <c r="S2195" s="1">
        <v>97</v>
      </c>
    </row>
    <row r="2196" spans="1:51" x14ac:dyDescent="0.3">
      <c r="A2196" s="1">
        <v>34768</v>
      </c>
      <c r="B2196" s="1" t="s">
        <v>232</v>
      </c>
      <c r="C2196" s="1" t="s">
        <v>209</v>
      </c>
      <c r="D2196" s="2">
        <f t="shared" si="127"/>
        <v>2014</v>
      </c>
      <c r="E2196" s="2">
        <f t="shared" si="128"/>
        <v>9</v>
      </c>
      <c r="F2196" s="2"/>
      <c r="G2196" s="4">
        <v>41891</v>
      </c>
      <c r="J2196" s="1" t="s">
        <v>191</v>
      </c>
      <c r="K2196" s="1" t="s">
        <v>206</v>
      </c>
      <c r="L2196" s="1" t="str">
        <f t="shared" si="129"/>
        <v>Vallentunasjön Blandprov</v>
      </c>
      <c r="M2196" s="1" t="s">
        <v>177</v>
      </c>
      <c r="N2196" s="1">
        <v>4</v>
      </c>
      <c r="O2196" s="1">
        <v>0</v>
      </c>
      <c r="W2196" s="1">
        <v>1.0102</v>
      </c>
      <c r="Z2196" s="1">
        <v>8.3800000000000008</v>
      </c>
      <c r="AB2196" s="1">
        <v>54.5886</v>
      </c>
      <c r="AD2196" s="1">
        <v>23.18</v>
      </c>
      <c r="AG2196" s="1">
        <v>22.666666667000001</v>
      </c>
      <c r="AK2196" s="1">
        <v>64.2</v>
      </c>
      <c r="AL2196" s="1">
        <v>1661.43</v>
      </c>
    </row>
    <row r="2197" spans="1:51" x14ac:dyDescent="0.3">
      <c r="D2197" s="2">
        <f t="shared" si="127"/>
        <v>2014</v>
      </c>
      <c r="E2197" s="2">
        <f t="shared" si="128"/>
        <v>9</v>
      </c>
      <c r="F2197" s="3"/>
      <c r="G2197" s="4">
        <v>41899</v>
      </c>
      <c r="H2197" s="1">
        <v>6606238</v>
      </c>
      <c r="I2197" s="1">
        <v>661152</v>
      </c>
      <c r="J2197" s="5" t="s">
        <v>176</v>
      </c>
      <c r="K2197" s="1"/>
      <c r="L2197" s="1" t="str">
        <f t="shared" si="129"/>
        <v xml:space="preserve">Oxundaån </v>
      </c>
      <c r="M2197" s="1" t="s">
        <v>177</v>
      </c>
      <c r="N2197" s="1">
        <v>0.5</v>
      </c>
      <c r="O2197" s="1">
        <v>0.5</v>
      </c>
      <c r="Q2197" s="1">
        <v>16.7</v>
      </c>
      <c r="T2197" s="1">
        <v>48.3</v>
      </c>
      <c r="V2197" s="1">
        <v>2.5680000000000001</v>
      </c>
      <c r="W2197" s="1">
        <v>37</v>
      </c>
      <c r="X2197" s="1">
        <f>W2197 * (1/((10^((0.0901821 + (2729.92 /(273.15 + Q2197)))-AE2197)+1)))</f>
        <v>0.7261440812839477</v>
      </c>
      <c r="Y2197" s="1">
        <v>3.5000000000000003E-2</v>
      </c>
      <c r="Z2197" s="1">
        <v>42</v>
      </c>
      <c r="AA2197" s="1">
        <v>1.3</v>
      </c>
      <c r="AD2197" s="1">
        <v>5</v>
      </c>
      <c r="AE2197" s="1">
        <v>7.81</v>
      </c>
      <c r="AI2197" s="1">
        <v>10.6</v>
      </c>
      <c r="AK2197" s="1">
        <v>67.599999999999994</v>
      </c>
      <c r="AL2197" s="1">
        <v>659</v>
      </c>
      <c r="AR2197" s="1">
        <v>54.400000000000006</v>
      </c>
      <c r="AT2197" s="1">
        <v>5.5522</v>
      </c>
      <c r="AU2197" s="1">
        <v>9.3412000000000006</v>
      </c>
      <c r="AV2197" s="1">
        <v>39.774900000000009</v>
      </c>
      <c r="AW2197" s="1">
        <v>27.986800000000002</v>
      </c>
      <c r="AX2197" s="1">
        <v>50.21224999999999</v>
      </c>
      <c r="AY2197" s="1">
        <v>0.54</v>
      </c>
    </row>
    <row r="2198" spans="1:51" x14ac:dyDescent="0.3">
      <c r="A2198" s="1">
        <v>35372</v>
      </c>
      <c r="B2198" s="1" t="s">
        <v>232</v>
      </c>
      <c r="C2198" s="1" t="s">
        <v>209</v>
      </c>
      <c r="D2198" s="2">
        <f t="shared" si="127"/>
        <v>2014</v>
      </c>
      <c r="E2198" s="2">
        <f t="shared" si="128"/>
        <v>9</v>
      </c>
      <c r="F2198" s="2"/>
      <c r="G2198" s="4">
        <v>41906</v>
      </c>
      <c r="H2198" s="1">
        <v>6600935</v>
      </c>
      <c r="I2198" s="1">
        <v>1626764</v>
      </c>
      <c r="J2198" s="1" t="s">
        <v>191</v>
      </c>
      <c r="K2198" s="1" t="s">
        <v>210</v>
      </c>
      <c r="L2198" s="1" t="str">
        <f t="shared" si="129"/>
        <v>Vallentunasjön Va2</v>
      </c>
      <c r="M2198" s="1" t="s">
        <v>177</v>
      </c>
      <c r="N2198" s="1">
        <v>0.5</v>
      </c>
      <c r="O2198" s="1">
        <v>0.5</v>
      </c>
      <c r="P2198" s="1">
        <v>0.6</v>
      </c>
      <c r="Q2198" s="1">
        <v>12.5</v>
      </c>
      <c r="R2198" s="1">
        <v>8.3000000000000007</v>
      </c>
      <c r="S2198" s="1">
        <v>77</v>
      </c>
    </row>
    <row r="2199" spans="1:51" x14ac:dyDescent="0.3">
      <c r="A2199" s="1">
        <v>35373</v>
      </c>
      <c r="B2199" s="1" t="s">
        <v>232</v>
      </c>
      <c r="C2199" s="1" t="s">
        <v>209</v>
      </c>
      <c r="D2199" s="2">
        <f t="shared" si="127"/>
        <v>2014</v>
      </c>
      <c r="E2199" s="2">
        <f t="shared" si="128"/>
        <v>9</v>
      </c>
      <c r="F2199" s="2"/>
      <c r="G2199" s="4">
        <v>41906</v>
      </c>
      <c r="H2199" s="1">
        <v>6600935</v>
      </c>
      <c r="I2199" s="1">
        <v>1626764</v>
      </c>
      <c r="J2199" s="1" t="s">
        <v>191</v>
      </c>
      <c r="K2199" s="1" t="s">
        <v>210</v>
      </c>
      <c r="L2199" s="1" t="str">
        <f t="shared" si="129"/>
        <v>Vallentunasjön Va2</v>
      </c>
      <c r="M2199" s="1" t="s">
        <v>211</v>
      </c>
      <c r="N2199" s="1">
        <v>1</v>
      </c>
      <c r="O2199" s="1">
        <v>1</v>
      </c>
      <c r="Q2199" s="1">
        <v>12.6</v>
      </c>
      <c r="R2199" s="1">
        <v>8.4</v>
      </c>
      <c r="S2199" s="1">
        <v>78</v>
      </c>
    </row>
    <row r="2200" spans="1:51" x14ac:dyDescent="0.3">
      <c r="A2200" s="1">
        <v>35374</v>
      </c>
      <c r="B2200" s="1" t="s">
        <v>232</v>
      </c>
      <c r="C2200" s="1" t="s">
        <v>209</v>
      </c>
      <c r="D2200" s="2">
        <f t="shared" si="127"/>
        <v>2014</v>
      </c>
      <c r="E2200" s="2">
        <f t="shared" si="128"/>
        <v>9</v>
      </c>
      <c r="F2200" s="2"/>
      <c r="G2200" s="4">
        <v>41906</v>
      </c>
      <c r="H2200" s="1">
        <v>6600935</v>
      </c>
      <c r="I2200" s="1">
        <v>1626764</v>
      </c>
      <c r="J2200" s="1" t="s">
        <v>191</v>
      </c>
      <c r="K2200" s="1" t="s">
        <v>210</v>
      </c>
      <c r="L2200" s="1" t="str">
        <f t="shared" si="129"/>
        <v>Vallentunasjön Va2</v>
      </c>
      <c r="M2200" s="1" t="s">
        <v>212</v>
      </c>
      <c r="N2200" s="1">
        <v>2</v>
      </c>
      <c r="O2200" s="1">
        <v>2</v>
      </c>
      <c r="Q2200" s="1">
        <v>12.6</v>
      </c>
      <c r="R2200" s="1">
        <v>8.4</v>
      </c>
      <c r="S2200" s="1">
        <v>79</v>
      </c>
    </row>
    <row r="2201" spans="1:51" x14ac:dyDescent="0.3">
      <c r="A2201" s="1">
        <v>35375</v>
      </c>
      <c r="B2201" s="1" t="s">
        <v>232</v>
      </c>
      <c r="C2201" s="1" t="s">
        <v>209</v>
      </c>
      <c r="D2201" s="2">
        <f t="shared" si="127"/>
        <v>2014</v>
      </c>
      <c r="E2201" s="2">
        <f t="shared" si="128"/>
        <v>9</v>
      </c>
      <c r="F2201" s="2"/>
      <c r="G2201" s="4">
        <v>41906</v>
      </c>
      <c r="H2201" s="1">
        <v>6600935</v>
      </c>
      <c r="I2201" s="1">
        <v>1626764</v>
      </c>
      <c r="J2201" s="1" t="s">
        <v>191</v>
      </c>
      <c r="K2201" s="1" t="s">
        <v>210</v>
      </c>
      <c r="L2201" s="1" t="str">
        <f t="shared" si="129"/>
        <v>Vallentunasjön Va2</v>
      </c>
      <c r="M2201" s="1" t="s">
        <v>213</v>
      </c>
      <c r="N2201" s="1">
        <v>3</v>
      </c>
      <c r="O2201" s="1">
        <v>3</v>
      </c>
      <c r="Q2201" s="1">
        <v>12.6</v>
      </c>
      <c r="R2201" s="1">
        <v>8.6</v>
      </c>
      <c r="S2201" s="1">
        <v>81</v>
      </c>
    </row>
    <row r="2202" spans="1:51" x14ac:dyDescent="0.3">
      <c r="A2202" s="1">
        <v>35376</v>
      </c>
      <c r="B2202" s="1" t="s">
        <v>232</v>
      </c>
      <c r="C2202" s="1" t="s">
        <v>209</v>
      </c>
      <c r="D2202" s="2">
        <f t="shared" si="127"/>
        <v>2014</v>
      </c>
      <c r="E2202" s="2">
        <f t="shared" si="128"/>
        <v>9</v>
      </c>
      <c r="F2202" s="2"/>
      <c r="G2202" s="4">
        <v>41906</v>
      </c>
      <c r="H2202" s="1">
        <v>6600935</v>
      </c>
      <c r="I2202" s="1">
        <v>1626764</v>
      </c>
      <c r="J2202" s="1" t="s">
        <v>191</v>
      </c>
      <c r="K2202" s="1" t="s">
        <v>210</v>
      </c>
      <c r="L2202" s="1" t="str">
        <f t="shared" si="129"/>
        <v>Vallentunasjön Va2</v>
      </c>
      <c r="M2202" s="1" t="s">
        <v>184</v>
      </c>
      <c r="N2202" s="1">
        <v>4</v>
      </c>
      <c r="O2202" s="1">
        <v>4</v>
      </c>
      <c r="Q2202" s="1">
        <v>12.6</v>
      </c>
      <c r="R2202" s="1">
        <v>8.6</v>
      </c>
      <c r="S2202" s="1">
        <v>81</v>
      </c>
    </row>
    <row r="2203" spans="1:51" x14ac:dyDescent="0.3">
      <c r="A2203" s="1">
        <v>35377</v>
      </c>
      <c r="B2203" s="1" t="s">
        <v>232</v>
      </c>
      <c r="C2203" s="1" t="s">
        <v>209</v>
      </c>
      <c r="D2203" s="2">
        <f t="shared" si="127"/>
        <v>2014</v>
      </c>
      <c r="E2203" s="2">
        <f t="shared" si="128"/>
        <v>9</v>
      </c>
      <c r="F2203" s="2"/>
      <c r="G2203" s="4">
        <v>41906</v>
      </c>
      <c r="J2203" s="1" t="s">
        <v>191</v>
      </c>
      <c r="K2203" s="1" t="s">
        <v>206</v>
      </c>
      <c r="L2203" s="1" t="str">
        <f t="shared" si="129"/>
        <v>Vallentunasjön Blandprov</v>
      </c>
      <c r="M2203" s="1" t="s">
        <v>177</v>
      </c>
      <c r="N2203" s="1">
        <v>4</v>
      </c>
      <c r="O2203" s="1">
        <v>0</v>
      </c>
      <c r="W2203" s="1">
        <v>1.8169999999999999</v>
      </c>
      <c r="Z2203" s="1">
        <v>0.69</v>
      </c>
      <c r="AB2203" s="1">
        <v>51.557400000000001</v>
      </c>
      <c r="AD2203" s="1">
        <v>3.31</v>
      </c>
      <c r="AG2203" s="1">
        <v>23.75</v>
      </c>
      <c r="AK2203" s="1">
        <v>77.17</v>
      </c>
      <c r="AL2203" s="1">
        <v>1932</v>
      </c>
    </row>
    <row r="2204" spans="1:51" x14ac:dyDescent="0.3">
      <c r="A2204" s="1">
        <v>35559</v>
      </c>
      <c r="B2204" s="1" t="s">
        <v>232</v>
      </c>
      <c r="C2204" s="1" t="s">
        <v>209</v>
      </c>
      <c r="D2204" s="2">
        <f t="shared" si="127"/>
        <v>2014</v>
      </c>
      <c r="E2204" s="2">
        <f t="shared" si="128"/>
        <v>10</v>
      </c>
      <c r="F2204" s="3" t="s">
        <v>180</v>
      </c>
      <c r="G2204" s="4">
        <v>41918</v>
      </c>
      <c r="H2204" s="1">
        <v>6600935</v>
      </c>
      <c r="I2204" s="1">
        <v>1626764</v>
      </c>
      <c r="J2204" s="1" t="s">
        <v>191</v>
      </c>
      <c r="K2204" s="1" t="s">
        <v>210</v>
      </c>
      <c r="L2204" s="1" t="str">
        <f t="shared" si="129"/>
        <v>Vallentunasjön Va2</v>
      </c>
      <c r="M2204" s="1" t="s">
        <v>177</v>
      </c>
      <c r="N2204" s="1">
        <v>0.5</v>
      </c>
      <c r="O2204" s="1">
        <v>0.5</v>
      </c>
      <c r="P2204" s="1">
        <v>0.8</v>
      </c>
      <c r="Q2204" s="1">
        <v>11.4</v>
      </c>
      <c r="R2204" s="1">
        <v>10.1</v>
      </c>
      <c r="S2204" s="1">
        <v>91</v>
      </c>
    </row>
    <row r="2205" spans="1:51" x14ac:dyDescent="0.3">
      <c r="A2205" s="1">
        <v>35560</v>
      </c>
      <c r="B2205" s="1" t="s">
        <v>232</v>
      </c>
      <c r="C2205" s="1" t="s">
        <v>209</v>
      </c>
      <c r="D2205" s="2">
        <f t="shared" si="127"/>
        <v>2014</v>
      </c>
      <c r="E2205" s="2">
        <f t="shared" si="128"/>
        <v>10</v>
      </c>
      <c r="F2205" s="3" t="s">
        <v>180</v>
      </c>
      <c r="G2205" s="4">
        <v>41918</v>
      </c>
      <c r="H2205" s="1">
        <v>6600935</v>
      </c>
      <c r="I2205" s="1">
        <v>1626764</v>
      </c>
      <c r="J2205" s="1" t="s">
        <v>191</v>
      </c>
      <c r="K2205" s="1" t="s">
        <v>210</v>
      </c>
      <c r="L2205" s="1" t="str">
        <f t="shared" si="129"/>
        <v>Vallentunasjön Va2</v>
      </c>
      <c r="M2205" s="1" t="s">
        <v>211</v>
      </c>
      <c r="N2205" s="1">
        <v>1</v>
      </c>
      <c r="O2205" s="1">
        <v>1</v>
      </c>
      <c r="Q2205" s="1">
        <v>11.5</v>
      </c>
      <c r="R2205" s="1">
        <v>10.1</v>
      </c>
      <c r="S2205" s="1">
        <v>91</v>
      </c>
    </row>
    <row r="2206" spans="1:51" x14ac:dyDescent="0.3">
      <c r="A2206" s="1">
        <v>35561</v>
      </c>
      <c r="B2206" s="1" t="s">
        <v>232</v>
      </c>
      <c r="C2206" s="1" t="s">
        <v>209</v>
      </c>
      <c r="D2206" s="2">
        <f t="shared" si="127"/>
        <v>2014</v>
      </c>
      <c r="E2206" s="2">
        <f t="shared" si="128"/>
        <v>10</v>
      </c>
      <c r="F2206" s="3" t="s">
        <v>180</v>
      </c>
      <c r="G2206" s="4">
        <v>41918</v>
      </c>
      <c r="H2206" s="1">
        <v>6600935</v>
      </c>
      <c r="I2206" s="1">
        <v>1626764</v>
      </c>
      <c r="J2206" s="1" t="s">
        <v>191</v>
      </c>
      <c r="K2206" s="1" t="s">
        <v>210</v>
      </c>
      <c r="L2206" s="1" t="str">
        <f t="shared" si="129"/>
        <v>Vallentunasjön Va2</v>
      </c>
      <c r="M2206" s="1" t="s">
        <v>212</v>
      </c>
      <c r="N2206" s="1">
        <v>2</v>
      </c>
      <c r="O2206" s="1">
        <v>2</v>
      </c>
      <c r="Q2206" s="1">
        <v>11.5</v>
      </c>
      <c r="R2206" s="1">
        <v>10.3</v>
      </c>
      <c r="S2206" s="1">
        <v>92</v>
      </c>
    </row>
    <row r="2207" spans="1:51" x14ac:dyDescent="0.3">
      <c r="A2207" s="1">
        <v>35562</v>
      </c>
      <c r="B2207" s="1" t="s">
        <v>232</v>
      </c>
      <c r="C2207" s="1" t="s">
        <v>209</v>
      </c>
      <c r="D2207" s="2">
        <f t="shared" si="127"/>
        <v>2014</v>
      </c>
      <c r="E2207" s="2">
        <f t="shared" si="128"/>
        <v>10</v>
      </c>
      <c r="F2207" s="3" t="s">
        <v>180</v>
      </c>
      <c r="G2207" s="4">
        <v>41918</v>
      </c>
      <c r="H2207" s="1">
        <v>6600935</v>
      </c>
      <c r="I2207" s="1">
        <v>1626764</v>
      </c>
      <c r="J2207" s="1" t="s">
        <v>191</v>
      </c>
      <c r="K2207" s="1" t="s">
        <v>210</v>
      </c>
      <c r="L2207" s="1" t="str">
        <f t="shared" si="129"/>
        <v>Vallentunasjön Va2</v>
      </c>
      <c r="M2207" s="1" t="s">
        <v>213</v>
      </c>
      <c r="N2207" s="1">
        <v>3</v>
      </c>
      <c r="O2207" s="1">
        <v>3</v>
      </c>
      <c r="Q2207" s="1">
        <v>11.5</v>
      </c>
      <c r="R2207" s="1">
        <v>10.6</v>
      </c>
      <c r="S2207" s="1">
        <v>96</v>
      </c>
    </row>
    <row r="2208" spans="1:51" x14ac:dyDescent="0.3">
      <c r="A2208" s="1">
        <v>35563</v>
      </c>
      <c r="B2208" s="1" t="s">
        <v>232</v>
      </c>
      <c r="C2208" s="1" t="s">
        <v>209</v>
      </c>
      <c r="D2208" s="2">
        <f t="shared" si="127"/>
        <v>2014</v>
      </c>
      <c r="E2208" s="2">
        <f t="shared" si="128"/>
        <v>10</v>
      </c>
      <c r="F2208" s="3" t="s">
        <v>180</v>
      </c>
      <c r="G2208" s="4">
        <v>41918</v>
      </c>
      <c r="H2208" s="1">
        <v>6600935</v>
      </c>
      <c r="I2208" s="1">
        <v>1626764</v>
      </c>
      <c r="J2208" s="1" t="s">
        <v>191</v>
      </c>
      <c r="K2208" s="1" t="s">
        <v>210</v>
      </c>
      <c r="L2208" s="1" t="str">
        <f t="shared" si="129"/>
        <v>Vallentunasjön Va2</v>
      </c>
      <c r="M2208" s="1" t="s">
        <v>214</v>
      </c>
      <c r="N2208" s="1">
        <v>4</v>
      </c>
      <c r="O2208" s="1">
        <v>4</v>
      </c>
      <c r="Q2208" s="1">
        <v>11.5</v>
      </c>
      <c r="R2208" s="1">
        <v>10.6</v>
      </c>
      <c r="S2208" s="1">
        <v>95</v>
      </c>
    </row>
    <row r="2209" spans="1:68" x14ac:dyDescent="0.3">
      <c r="A2209" s="1">
        <v>35564</v>
      </c>
      <c r="B2209" s="1" t="s">
        <v>232</v>
      </c>
      <c r="C2209" s="1" t="s">
        <v>209</v>
      </c>
      <c r="D2209" s="2">
        <f t="shared" si="127"/>
        <v>2014</v>
      </c>
      <c r="E2209" s="2">
        <f t="shared" si="128"/>
        <v>10</v>
      </c>
      <c r="F2209" s="3" t="s">
        <v>180</v>
      </c>
      <c r="G2209" s="4">
        <v>41918</v>
      </c>
      <c r="H2209" s="1">
        <v>6600935</v>
      </c>
      <c r="I2209" s="1">
        <v>1626764</v>
      </c>
      <c r="J2209" s="1" t="s">
        <v>191</v>
      </c>
      <c r="K2209" s="1" t="s">
        <v>210</v>
      </c>
      <c r="L2209" s="1" t="str">
        <f t="shared" si="129"/>
        <v>Vallentunasjön Va2</v>
      </c>
      <c r="M2209" s="1" t="s">
        <v>184</v>
      </c>
      <c r="N2209" s="1">
        <v>4.5</v>
      </c>
      <c r="O2209" s="1">
        <v>4.5</v>
      </c>
      <c r="Q2209" s="1">
        <v>11.5</v>
      </c>
      <c r="R2209" s="1">
        <v>10.5</v>
      </c>
      <c r="S2209" s="1">
        <v>95</v>
      </c>
    </row>
    <row r="2210" spans="1:68" x14ac:dyDescent="0.3">
      <c r="A2210" s="1">
        <v>35565</v>
      </c>
      <c r="B2210" s="1" t="s">
        <v>232</v>
      </c>
      <c r="C2210" s="1" t="s">
        <v>209</v>
      </c>
      <c r="D2210" s="2">
        <f t="shared" si="127"/>
        <v>2014</v>
      </c>
      <c r="E2210" s="2">
        <f t="shared" si="128"/>
        <v>10</v>
      </c>
      <c r="F2210" s="3" t="s">
        <v>180</v>
      </c>
      <c r="G2210" s="4">
        <v>41918</v>
      </c>
      <c r="J2210" s="1" t="s">
        <v>191</v>
      </c>
      <c r="K2210" s="1" t="s">
        <v>206</v>
      </c>
      <c r="L2210" s="1" t="str">
        <f t="shared" si="129"/>
        <v>Vallentunasjön Blandprov</v>
      </c>
      <c r="M2210" s="1" t="s">
        <v>177</v>
      </c>
      <c r="N2210" s="1">
        <v>4</v>
      </c>
      <c r="O2210" s="1">
        <v>0</v>
      </c>
      <c r="W2210" s="1">
        <v>10.9688</v>
      </c>
      <c r="Z2210" s="1">
        <v>6.59</v>
      </c>
      <c r="AB2210" s="1">
        <v>48.397500000000001</v>
      </c>
      <c r="AD2210" s="1">
        <v>4.3899999999999997</v>
      </c>
      <c r="AG2210" s="1">
        <v>16</v>
      </c>
      <c r="AK2210" s="1">
        <v>59.07</v>
      </c>
      <c r="AL2210" s="1">
        <v>1344.03</v>
      </c>
    </row>
    <row r="2211" spans="1:68" x14ac:dyDescent="0.3">
      <c r="D2211" s="2">
        <f t="shared" si="127"/>
        <v>2014</v>
      </c>
      <c r="E2211" s="2">
        <f t="shared" si="128"/>
        <v>10</v>
      </c>
      <c r="F2211" s="3" t="s">
        <v>180</v>
      </c>
      <c r="G2211" s="4">
        <v>41919</v>
      </c>
      <c r="J2211" s="1" t="s">
        <v>181</v>
      </c>
      <c r="K2211" s="1"/>
      <c r="L2211" s="1" t="str">
        <f t="shared" si="129"/>
        <v xml:space="preserve">Fysingen </v>
      </c>
      <c r="M2211" s="1" t="s">
        <v>177</v>
      </c>
      <c r="N2211" s="1">
        <v>0.5</v>
      </c>
      <c r="O2211" s="1">
        <v>0.5</v>
      </c>
      <c r="P2211" s="1">
        <v>1.7</v>
      </c>
      <c r="Q2211" s="1">
        <v>10.9</v>
      </c>
      <c r="V2211" s="1">
        <v>2.387</v>
      </c>
      <c r="W2211" s="1">
        <v>98</v>
      </c>
      <c r="X2211" s="1">
        <f>W2211 * (1/((10^((0.0901821 + (2729.92 /(273.15 + Q2211)))-AE2211)+1)))</f>
        <v>1.42553495193663</v>
      </c>
      <c r="Y2211" s="1">
        <v>2.8000000000000001E-2</v>
      </c>
      <c r="Z2211" s="1">
        <v>1.5</v>
      </c>
      <c r="AA2211" s="1">
        <v>4.5</v>
      </c>
      <c r="AB2211" s="1">
        <v>7.6</v>
      </c>
      <c r="AC2211" s="1">
        <v>54.2</v>
      </c>
      <c r="AD2211" s="1">
        <v>81</v>
      </c>
      <c r="AE2211" s="1">
        <v>7.87</v>
      </c>
      <c r="AI2211" s="1">
        <v>10.4</v>
      </c>
      <c r="AK2211" s="1">
        <v>27.5</v>
      </c>
      <c r="AL2211" s="1">
        <v>763</v>
      </c>
      <c r="AR2211" s="1">
        <v>56.6</v>
      </c>
      <c r="AS2211" s="1">
        <v>0.15</v>
      </c>
      <c r="AT2211" s="1">
        <v>5.9432</v>
      </c>
      <c r="AU2211" s="1">
        <v>11.7249</v>
      </c>
      <c r="AV2211" s="1">
        <v>40.5548</v>
      </c>
      <c r="AW2211" s="1">
        <v>28.675000000000001</v>
      </c>
      <c r="AX2211" s="1">
        <v>81.540849999999992</v>
      </c>
      <c r="AY2211" s="1">
        <v>0.8</v>
      </c>
      <c r="AZ2211" s="1">
        <v>180</v>
      </c>
      <c r="BA2211" s="1">
        <v>0.8</v>
      </c>
      <c r="BC2211" s="1">
        <v>1.0999999999999999E-2</v>
      </c>
      <c r="BD2211" s="1">
        <v>0.74</v>
      </c>
      <c r="BE2211" s="1">
        <v>0.27</v>
      </c>
      <c r="BF2211" s="1">
        <v>1</v>
      </c>
      <c r="BJ2211" s="1">
        <v>6.6</v>
      </c>
      <c r="BL2211" s="1">
        <v>0.15</v>
      </c>
      <c r="BN2211" s="1">
        <v>0.73</v>
      </c>
      <c r="BO2211" s="1">
        <v>3.1</v>
      </c>
      <c r="BP2211" s="1">
        <v>13</v>
      </c>
    </row>
    <row r="2212" spans="1:68" x14ac:dyDescent="0.3">
      <c r="D2212" s="2">
        <f t="shared" si="127"/>
        <v>2014</v>
      </c>
      <c r="E2212" s="2">
        <f t="shared" si="128"/>
        <v>10</v>
      </c>
      <c r="F2212" s="3" t="s">
        <v>180</v>
      </c>
      <c r="G2212" s="4">
        <v>41926</v>
      </c>
      <c r="H2212" s="1">
        <v>6606238</v>
      </c>
      <c r="I2212" s="1">
        <v>661152</v>
      </c>
      <c r="J2212" s="5" t="s">
        <v>176</v>
      </c>
      <c r="K2212" s="1"/>
      <c r="L2212" s="1" t="str">
        <f t="shared" si="129"/>
        <v xml:space="preserve">Oxundaån </v>
      </c>
      <c r="M2212" s="1" t="s">
        <v>177</v>
      </c>
      <c r="N2212" s="1">
        <v>0.5</v>
      </c>
      <c r="O2212" s="1">
        <v>0.5</v>
      </c>
      <c r="Q2212" s="1">
        <v>10.8</v>
      </c>
      <c r="T2212" s="1">
        <v>48.6</v>
      </c>
      <c r="V2212" s="1">
        <v>2.528</v>
      </c>
      <c r="W2212" s="1">
        <v>106</v>
      </c>
      <c r="X2212" s="1">
        <f>W2212 * (1/((10^((0.0901821 + (2729.92 /(273.15 + Q2212)))-AE2212)+1)))</f>
        <v>1.3351551851838088</v>
      </c>
      <c r="Y2212" s="1">
        <v>3.7999999999999999E-2</v>
      </c>
      <c r="Z2212" s="1">
        <v>64</v>
      </c>
      <c r="AA2212" s="1">
        <v>3.8</v>
      </c>
      <c r="AD2212" s="1">
        <v>101</v>
      </c>
      <c r="AE2212" s="1">
        <v>7.81</v>
      </c>
      <c r="AI2212" s="1">
        <v>10</v>
      </c>
      <c r="AK2212" s="1">
        <v>82.4</v>
      </c>
      <c r="AL2212" s="1">
        <v>757</v>
      </c>
      <c r="AR2212" s="1">
        <v>52.599999999999994</v>
      </c>
      <c r="AT2212" s="1">
        <v>5.7477</v>
      </c>
      <c r="AU2212" s="1">
        <v>9.5348000000000006</v>
      </c>
      <c r="AV2212" s="1">
        <v>38.569600000000008</v>
      </c>
      <c r="AW2212" s="1">
        <v>27.986800000000002</v>
      </c>
      <c r="AX2212" s="1">
        <v>49.827849999999991</v>
      </c>
      <c r="AY2212" s="1">
        <v>1.4</v>
      </c>
    </row>
    <row r="2213" spans="1:68" x14ac:dyDescent="0.3">
      <c r="A2213" s="6">
        <v>35889</v>
      </c>
      <c r="B2213" s="5" t="s">
        <v>230</v>
      </c>
      <c r="C2213" s="5" t="s">
        <v>231</v>
      </c>
      <c r="D2213" s="2">
        <f t="shared" si="127"/>
        <v>2014</v>
      </c>
      <c r="E2213" s="2">
        <f t="shared" si="128"/>
        <v>10</v>
      </c>
      <c r="F2213" s="3" t="s">
        <v>180</v>
      </c>
      <c r="G2213" s="7">
        <v>41927</v>
      </c>
      <c r="H2213" s="6">
        <v>6599245</v>
      </c>
      <c r="I2213" s="6">
        <v>1622345</v>
      </c>
      <c r="J2213" s="5" t="s">
        <v>186</v>
      </c>
      <c r="K2213" s="1">
        <v>1</v>
      </c>
      <c r="L2213" s="1" t="str">
        <f t="shared" si="129"/>
        <v>Norrviken 1</v>
      </c>
      <c r="M2213" s="1" t="s">
        <v>177</v>
      </c>
      <c r="N2213" s="6">
        <v>0.5</v>
      </c>
      <c r="O2213" s="6">
        <v>0.5</v>
      </c>
      <c r="P2213" s="6">
        <v>1.2</v>
      </c>
      <c r="Q2213" s="6">
        <v>10.3</v>
      </c>
      <c r="R2213" s="6">
        <v>6.4</v>
      </c>
      <c r="S2213" s="6">
        <v>57</v>
      </c>
      <c r="V2213" s="6">
        <v>2.5421732794</v>
      </c>
      <c r="W2213" s="6">
        <v>314.16950000000003</v>
      </c>
      <c r="X2213" s="1">
        <f>W2213 * (1/((10^((0.0901821 + (2729.92 /(273.15 + Q2213)))-AE2213)+1)))</f>
        <v>1.7924661252817089</v>
      </c>
      <c r="Y2213" s="6">
        <v>8.5999999999999993E-2</v>
      </c>
      <c r="Z2213" s="6">
        <v>62.42</v>
      </c>
      <c r="AA2213" s="6">
        <v>8.4</v>
      </c>
      <c r="AD2213" s="6">
        <v>242.38</v>
      </c>
      <c r="AE2213" s="6">
        <v>7.48</v>
      </c>
      <c r="AK2213" s="6">
        <v>98.27</v>
      </c>
      <c r="AL2213" s="6">
        <v>1379.86</v>
      </c>
      <c r="AM2213" s="6"/>
      <c r="AN2213" s="6"/>
      <c r="AO2213" s="6"/>
      <c r="AP2213" s="6"/>
      <c r="AQ2213" s="6"/>
    </row>
    <row r="2214" spans="1:68" x14ac:dyDescent="0.3">
      <c r="A2214" s="6">
        <v>35890</v>
      </c>
      <c r="B2214" s="5" t="s">
        <v>230</v>
      </c>
      <c r="C2214" s="5" t="s">
        <v>231</v>
      </c>
      <c r="D2214" s="2">
        <f t="shared" si="127"/>
        <v>2014</v>
      </c>
      <c r="E2214" s="2">
        <f t="shared" si="128"/>
        <v>10</v>
      </c>
      <c r="F2214" s="3" t="s">
        <v>180</v>
      </c>
      <c r="G2214" s="7">
        <v>41927</v>
      </c>
      <c r="H2214" s="6">
        <v>6599245</v>
      </c>
      <c r="I2214" s="6">
        <v>1622345</v>
      </c>
      <c r="J2214" s="5" t="s">
        <v>186</v>
      </c>
      <c r="K2214" s="1">
        <v>1</v>
      </c>
      <c r="L2214" s="1" t="str">
        <f t="shared" si="129"/>
        <v>Norrviken 1</v>
      </c>
      <c r="M2214" s="5" t="s">
        <v>211</v>
      </c>
      <c r="N2214" s="6">
        <v>1</v>
      </c>
      <c r="O2214" s="6">
        <v>1</v>
      </c>
      <c r="Q2214" s="6">
        <v>10.3</v>
      </c>
      <c r="R2214" s="6">
        <v>6.5</v>
      </c>
      <c r="S2214" s="6">
        <v>58</v>
      </c>
    </row>
    <row r="2215" spans="1:68" x14ac:dyDescent="0.3">
      <c r="A2215" s="6">
        <v>35891</v>
      </c>
      <c r="B2215" s="5" t="s">
        <v>230</v>
      </c>
      <c r="C2215" s="5" t="s">
        <v>231</v>
      </c>
      <c r="D2215" s="2">
        <f t="shared" si="127"/>
        <v>2014</v>
      </c>
      <c r="E2215" s="2">
        <f t="shared" si="128"/>
        <v>10</v>
      </c>
      <c r="F2215" s="3" t="s">
        <v>180</v>
      </c>
      <c r="G2215" s="7">
        <v>41927</v>
      </c>
      <c r="H2215" s="6">
        <v>6599245</v>
      </c>
      <c r="I2215" s="6">
        <v>1622345</v>
      </c>
      <c r="J2215" s="5" t="s">
        <v>186</v>
      </c>
      <c r="K2215" s="1">
        <v>1</v>
      </c>
      <c r="L2215" s="1" t="str">
        <f t="shared" si="129"/>
        <v>Norrviken 1</v>
      </c>
      <c r="M2215" s="5" t="s">
        <v>212</v>
      </c>
      <c r="N2215" s="6">
        <v>2</v>
      </c>
      <c r="O2215" s="6">
        <v>2</v>
      </c>
      <c r="Q2215" s="6">
        <v>10.199999999999999</v>
      </c>
      <c r="R2215" s="6">
        <v>6.6</v>
      </c>
      <c r="S2215" s="6">
        <v>58</v>
      </c>
    </row>
    <row r="2216" spans="1:68" x14ac:dyDescent="0.3">
      <c r="A2216" s="6">
        <v>35892</v>
      </c>
      <c r="B2216" s="5" t="s">
        <v>230</v>
      </c>
      <c r="C2216" s="5" t="s">
        <v>231</v>
      </c>
      <c r="D2216" s="2">
        <f t="shared" si="127"/>
        <v>2014</v>
      </c>
      <c r="E2216" s="2">
        <f t="shared" si="128"/>
        <v>10</v>
      </c>
      <c r="F2216" s="3" t="s">
        <v>180</v>
      </c>
      <c r="G2216" s="7">
        <v>41927</v>
      </c>
      <c r="H2216" s="6">
        <v>6599245</v>
      </c>
      <c r="I2216" s="6">
        <v>1622345</v>
      </c>
      <c r="J2216" s="5" t="s">
        <v>186</v>
      </c>
      <c r="K2216" s="1">
        <v>1</v>
      </c>
      <c r="L2216" s="1" t="str">
        <f t="shared" si="129"/>
        <v>Norrviken 1</v>
      </c>
      <c r="M2216" s="1" t="s">
        <v>184</v>
      </c>
      <c r="N2216" s="6">
        <v>2.8</v>
      </c>
      <c r="O2216" s="6">
        <v>2.8</v>
      </c>
      <c r="Q2216" s="6">
        <v>10.199999999999999</v>
      </c>
      <c r="R2216" s="6">
        <v>6.6</v>
      </c>
      <c r="S2216" s="6">
        <v>58</v>
      </c>
    </row>
    <row r="2217" spans="1:68" x14ac:dyDescent="0.3">
      <c r="A2217" s="6">
        <v>35893</v>
      </c>
      <c r="B2217" s="5" t="s">
        <v>230</v>
      </c>
      <c r="C2217" s="5" t="s">
        <v>231</v>
      </c>
      <c r="D2217" s="2">
        <f t="shared" si="127"/>
        <v>2014</v>
      </c>
      <c r="E2217" s="2">
        <f t="shared" si="128"/>
        <v>10</v>
      </c>
      <c r="F2217" s="3" t="s">
        <v>180</v>
      </c>
      <c r="G2217" s="7">
        <v>41927</v>
      </c>
      <c r="H2217" s="6">
        <v>6596620</v>
      </c>
      <c r="I2217" s="6">
        <v>1620350</v>
      </c>
      <c r="J2217" s="5" t="s">
        <v>186</v>
      </c>
      <c r="K2217" s="1">
        <v>2</v>
      </c>
      <c r="L2217" s="1" t="str">
        <f t="shared" si="129"/>
        <v>Norrviken 2</v>
      </c>
      <c r="M2217" s="1" t="s">
        <v>177</v>
      </c>
      <c r="N2217" s="6">
        <v>0.5</v>
      </c>
      <c r="O2217" s="6">
        <v>0.5</v>
      </c>
      <c r="P2217" s="6">
        <v>2.7</v>
      </c>
      <c r="Q2217" s="6">
        <v>11.5</v>
      </c>
      <c r="R2217" s="6">
        <v>7.1</v>
      </c>
      <c r="S2217" s="6">
        <v>65</v>
      </c>
      <c r="V2217" s="6">
        <v>2.5024518219000003</v>
      </c>
      <c r="W2217" s="6">
        <v>211.8278</v>
      </c>
      <c r="X2217" s="1">
        <f>W2217 * (1/((10^((0.0901821 + (2729.92 /(273.15 + Q2217)))-AE2217)+1)))</f>
        <v>2.2425095101407551</v>
      </c>
      <c r="Y2217" s="6">
        <v>4.2999999999999997E-2</v>
      </c>
      <c r="Z2217" s="6">
        <v>89.69</v>
      </c>
      <c r="AA2217" s="6">
        <v>2</v>
      </c>
      <c r="AD2217" s="6">
        <v>135.75</v>
      </c>
      <c r="AE2217" s="6">
        <v>7.71</v>
      </c>
      <c r="AK2217" s="6">
        <v>106.89</v>
      </c>
      <c r="AL2217" s="6">
        <v>1144.69</v>
      </c>
      <c r="AM2217" s="6"/>
      <c r="AN2217" s="6"/>
      <c r="AO2217" s="6"/>
      <c r="AP2217" s="6"/>
      <c r="AQ2217" s="6"/>
    </row>
    <row r="2218" spans="1:68" x14ac:dyDescent="0.3">
      <c r="A2218" s="6">
        <v>35894</v>
      </c>
      <c r="B2218" s="5" t="s">
        <v>230</v>
      </c>
      <c r="C2218" s="5" t="s">
        <v>231</v>
      </c>
      <c r="D2218" s="2">
        <f t="shared" si="127"/>
        <v>2014</v>
      </c>
      <c r="E2218" s="2">
        <f t="shared" si="128"/>
        <v>10</v>
      </c>
      <c r="F2218" s="3" t="s">
        <v>180</v>
      </c>
      <c r="G2218" s="7">
        <v>41927</v>
      </c>
      <c r="H2218" s="6">
        <v>6596620</v>
      </c>
      <c r="I2218" s="6">
        <v>1620350</v>
      </c>
      <c r="J2218" s="5" t="s">
        <v>186</v>
      </c>
      <c r="K2218" s="1">
        <v>2</v>
      </c>
      <c r="L2218" s="1" t="str">
        <f t="shared" si="129"/>
        <v>Norrviken 2</v>
      </c>
      <c r="M2218" s="5" t="s">
        <v>211</v>
      </c>
      <c r="N2218" s="6">
        <v>1</v>
      </c>
      <c r="O2218" s="6">
        <v>1</v>
      </c>
      <c r="Q2218" s="6">
        <v>11.5</v>
      </c>
      <c r="R2218" s="6">
        <v>7.2</v>
      </c>
      <c r="S2218" s="6">
        <v>66</v>
      </c>
    </row>
    <row r="2219" spans="1:68" x14ac:dyDescent="0.3">
      <c r="A2219" s="6">
        <v>35895</v>
      </c>
      <c r="B2219" s="5" t="s">
        <v>230</v>
      </c>
      <c r="C2219" s="5" t="s">
        <v>231</v>
      </c>
      <c r="D2219" s="2">
        <f t="shared" si="127"/>
        <v>2014</v>
      </c>
      <c r="E2219" s="2">
        <f t="shared" si="128"/>
        <v>10</v>
      </c>
      <c r="F2219" s="3" t="s">
        <v>180</v>
      </c>
      <c r="G2219" s="7">
        <v>41927</v>
      </c>
      <c r="H2219" s="6">
        <v>6596620</v>
      </c>
      <c r="I2219" s="6">
        <v>1620350</v>
      </c>
      <c r="J2219" s="5" t="s">
        <v>186</v>
      </c>
      <c r="K2219" s="1">
        <v>2</v>
      </c>
      <c r="L2219" s="1" t="str">
        <f t="shared" si="129"/>
        <v>Norrviken 2</v>
      </c>
      <c r="M2219" s="5" t="s">
        <v>212</v>
      </c>
      <c r="N2219" s="6">
        <v>2</v>
      </c>
      <c r="O2219" s="6">
        <v>2</v>
      </c>
      <c r="Q2219" s="6">
        <v>11.6</v>
      </c>
      <c r="R2219" s="6">
        <v>7.3</v>
      </c>
      <c r="S2219" s="6">
        <v>67</v>
      </c>
    </row>
    <row r="2220" spans="1:68" x14ac:dyDescent="0.3">
      <c r="A2220" s="6">
        <v>35896</v>
      </c>
      <c r="B2220" s="5" t="s">
        <v>230</v>
      </c>
      <c r="C2220" s="5" t="s">
        <v>231</v>
      </c>
      <c r="D2220" s="2">
        <f t="shared" si="127"/>
        <v>2014</v>
      </c>
      <c r="E2220" s="2">
        <f t="shared" si="128"/>
        <v>10</v>
      </c>
      <c r="F2220" s="3" t="s">
        <v>180</v>
      </c>
      <c r="G2220" s="7">
        <v>41927</v>
      </c>
      <c r="H2220" s="6">
        <v>6596620</v>
      </c>
      <c r="I2220" s="6">
        <v>1620350</v>
      </c>
      <c r="J2220" s="5" t="s">
        <v>186</v>
      </c>
      <c r="K2220" s="1">
        <v>2</v>
      </c>
      <c r="L2220" s="1" t="str">
        <f t="shared" si="129"/>
        <v>Norrviken 2</v>
      </c>
      <c r="M2220" s="5" t="s">
        <v>213</v>
      </c>
      <c r="N2220" s="6">
        <v>3</v>
      </c>
      <c r="O2220" s="6">
        <v>3</v>
      </c>
      <c r="Q2220" s="6">
        <v>11.6</v>
      </c>
      <c r="R2220" s="6">
        <v>7.5</v>
      </c>
      <c r="S2220" s="6">
        <v>68</v>
      </c>
    </row>
    <row r="2221" spans="1:68" x14ac:dyDescent="0.3">
      <c r="A2221" s="6">
        <v>35897</v>
      </c>
      <c r="B2221" s="5" t="s">
        <v>230</v>
      </c>
      <c r="C2221" s="5" t="s">
        <v>231</v>
      </c>
      <c r="D2221" s="2">
        <f t="shared" si="127"/>
        <v>2014</v>
      </c>
      <c r="E2221" s="2">
        <f t="shared" si="128"/>
        <v>10</v>
      </c>
      <c r="F2221" s="3" t="s">
        <v>180</v>
      </c>
      <c r="G2221" s="7">
        <v>41927</v>
      </c>
      <c r="H2221" s="6">
        <v>6596620</v>
      </c>
      <c r="I2221" s="6">
        <v>1620350</v>
      </c>
      <c r="J2221" s="5" t="s">
        <v>186</v>
      </c>
      <c r="K2221" s="1">
        <v>2</v>
      </c>
      <c r="L2221" s="1" t="str">
        <f t="shared" si="129"/>
        <v>Norrviken 2</v>
      </c>
      <c r="M2221" s="5" t="s">
        <v>214</v>
      </c>
      <c r="N2221" s="6">
        <v>4</v>
      </c>
      <c r="O2221" s="6">
        <v>4</v>
      </c>
      <c r="Q2221" s="6">
        <v>11.6</v>
      </c>
      <c r="R2221" s="6">
        <v>7.8</v>
      </c>
      <c r="S2221" s="6">
        <v>72</v>
      </c>
    </row>
    <row r="2222" spans="1:68" x14ac:dyDescent="0.3">
      <c r="A2222" s="6">
        <v>35898</v>
      </c>
      <c r="B2222" s="5" t="s">
        <v>230</v>
      </c>
      <c r="C2222" s="5" t="s">
        <v>231</v>
      </c>
      <c r="D2222" s="2">
        <f t="shared" si="127"/>
        <v>2014</v>
      </c>
      <c r="E2222" s="2">
        <f t="shared" si="128"/>
        <v>10</v>
      </c>
      <c r="F2222" s="3" t="s">
        <v>180</v>
      </c>
      <c r="G2222" s="7">
        <v>41927</v>
      </c>
      <c r="H2222" s="6">
        <v>6596620</v>
      </c>
      <c r="I2222" s="6">
        <v>1620350</v>
      </c>
      <c r="J2222" s="5" t="s">
        <v>186</v>
      </c>
      <c r="K2222" s="1">
        <v>2</v>
      </c>
      <c r="L2222" s="1" t="str">
        <f t="shared" si="129"/>
        <v>Norrviken 2</v>
      </c>
      <c r="M2222" s="5" t="s">
        <v>217</v>
      </c>
      <c r="N2222" s="6">
        <v>5</v>
      </c>
      <c r="O2222" s="6">
        <v>5</v>
      </c>
      <c r="Q2222" s="6">
        <v>11.5</v>
      </c>
      <c r="R2222" s="6">
        <v>8.1</v>
      </c>
      <c r="S2222" s="6">
        <v>74</v>
      </c>
    </row>
    <row r="2223" spans="1:68" x14ac:dyDescent="0.3">
      <c r="A2223" s="6">
        <v>35899</v>
      </c>
      <c r="B2223" s="5" t="s">
        <v>230</v>
      </c>
      <c r="C2223" s="5" t="s">
        <v>231</v>
      </c>
      <c r="D2223" s="2">
        <f t="shared" si="127"/>
        <v>2014</v>
      </c>
      <c r="E2223" s="2">
        <f t="shared" si="128"/>
        <v>10</v>
      </c>
      <c r="F2223" s="3" t="s">
        <v>180</v>
      </c>
      <c r="G2223" s="7">
        <v>41927</v>
      </c>
      <c r="H2223" s="6">
        <v>6596620</v>
      </c>
      <c r="I2223" s="6">
        <v>1620350</v>
      </c>
      <c r="J2223" s="5" t="s">
        <v>186</v>
      </c>
      <c r="K2223" s="1">
        <v>2</v>
      </c>
      <c r="L2223" s="1" t="str">
        <f t="shared" si="129"/>
        <v>Norrviken 2</v>
      </c>
      <c r="M2223" s="5" t="s">
        <v>218</v>
      </c>
      <c r="N2223" s="6">
        <v>6</v>
      </c>
      <c r="O2223" s="6">
        <v>6</v>
      </c>
      <c r="Q2223" s="6">
        <v>11.5</v>
      </c>
      <c r="R2223" s="6">
        <v>8.1999999999999993</v>
      </c>
      <c r="S2223" s="6">
        <v>75</v>
      </c>
    </row>
    <row r="2224" spans="1:68" x14ac:dyDescent="0.3">
      <c r="A2224" s="6">
        <v>35900</v>
      </c>
      <c r="B2224" s="5" t="s">
        <v>230</v>
      </c>
      <c r="C2224" s="5" t="s">
        <v>231</v>
      </c>
      <c r="D2224" s="2">
        <f t="shared" si="127"/>
        <v>2014</v>
      </c>
      <c r="E2224" s="2">
        <f t="shared" si="128"/>
        <v>10</v>
      </c>
      <c r="F2224" s="3" t="s">
        <v>180</v>
      </c>
      <c r="G2224" s="7">
        <v>41927</v>
      </c>
      <c r="H2224" s="6">
        <v>6596620</v>
      </c>
      <c r="I2224" s="6">
        <v>1620350</v>
      </c>
      <c r="J2224" s="5" t="s">
        <v>186</v>
      </c>
      <c r="K2224" s="1">
        <v>2</v>
      </c>
      <c r="L2224" s="1" t="str">
        <f t="shared" si="129"/>
        <v>Norrviken 2</v>
      </c>
      <c r="M2224" s="5" t="s">
        <v>219</v>
      </c>
      <c r="N2224" s="6">
        <v>7</v>
      </c>
      <c r="O2224" s="6">
        <v>7</v>
      </c>
      <c r="Q2224" s="6">
        <v>11.5</v>
      </c>
      <c r="R2224" s="6">
        <v>8.3000000000000007</v>
      </c>
      <c r="S2224" s="6">
        <v>76</v>
      </c>
    </row>
    <row r="2225" spans="1:43" x14ac:dyDescent="0.3">
      <c r="A2225" s="6">
        <v>35901</v>
      </c>
      <c r="B2225" s="5" t="s">
        <v>230</v>
      </c>
      <c r="C2225" s="5" t="s">
        <v>231</v>
      </c>
      <c r="D2225" s="2">
        <f t="shared" si="127"/>
        <v>2014</v>
      </c>
      <c r="E2225" s="2">
        <f t="shared" si="128"/>
        <v>10</v>
      </c>
      <c r="F2225" s="3" t="s">
        <v>180</v>
      </c>
      <c r="G2225" s="7">
        <v>41927</v>
      </c>
      <c r="H2225" s="6">
        <v>6596620</v>
      </c>
      <c r="I2225" s="6">
        <v>1620350</v>
      </c>
      <c r="J2225" s="5" t="s">
        <v>186</v>
      </c>
      <c r="K2225" s="1">
        <v>2</v>
      </c>
      <c r="L2225" s="1" t="str">
        <f t="shared" si="129"/>
        <v>Norrviken 2</v>
      </c>
      <c r="M2225" s="5" t="s">
        <v>220</v>
      </c>
      <c r="N2225" s="6">
        <v>8</v>
      </c>
      <c r="O2225" s="6">
        <v>8</v>
      </c>
      <c r="Q2225" s="6">
        <v>11.5</v>
      </c>
      <c r="R2225" s="6">
        <v>8.4</v>
      </c>
      <c r="S2225" s="6">
        <v>77</v>
      </c>
    </row>
    <row r="2226" spans="1:43" x14ac:dyDescent="0.3">
      <c r="A2226" s="6">
        <v>35902</v>
      </c>
      <c r="B2226" s="5" t="s">
        <v>230</v>
      </c>
      <c r="C2226" s="5" t="s">
        <v>231</v>
      </c>
      <c r="D2226" s="2">
        <f t="shared" si="127"/>
        <v>2014</v>
      </c>
      <c r="E2226" s="2">
        <f t="shared" si="128"/>
        <v>10</v>
      </c>
      <c r="F2226" s="3" t="s">
        <v>180</v>
      </c>
      <c r="G2226" s="7">
        <v>41927</v>
      </c>
      <c r="H2226" s="6">
        <v>6596620</v>
      </c>
      <c r="I2226" s="6">
        <v>1620350</v>
      </c>
      <c r="J2226" s="5" t="s">
        <v>186</v>
      </c>
      <c r="K2226" s="1">
        <v>2</v>
      </c>
      <c r="L2226" s="1" t="str">
        <f t="shared" si="129"/>
        <v>Norrviken 2</v>
      </c>
      <c r="M2226" s="1" t="s">
        <v>184</v>
      </c>
      <c r="N2226" s="6">
        <v>8.8000000000000007</v>
      </c>
      <c r="O2226" s="6">
        <v>8.8000000000000007</v>
      </c>
      <c r="Q2226" s="6">
        <v>11.4</v>
      </c>
      <c r="R2226" s="6">
        <v>8.4</v>
      </c>
      <c r="S2226" s="6">
        <v>77</v>
      </c>
    </row>
    <row r="2227" spans="1:43" x14ac:dyDescent="0.3">
      <c r="A2227" s="6">
        <v>35903</v>
      </c>
      <c r="B2227" s="5" t="s">
        <v>230</v>
      </c>
      <c r="C2227" s="5" t="s">
        <v>231</v>
      </c>
      <c r="D2227" s="2">
        <f t="shared" si="127"/>
        <v>2014</v>
      </c>
      <c r="E2227" s="2">
        <f t="shared" si="128"/>
        <v>10</v>
      </c>
      <c r="F2227" s="3" t="s">
        <v>180</v>
      </c>
      <c r="G2227" s="7">
        <v>41927</v>
      </c>
      <c r="H2227" s="6">
        <v>6594885</v>
      </c>
      <c r="I2227" s="6">
        <v>1620750</v>
      </c>
      <c r="J2227" s="5" t="s">
        <v>186</v>
      </c>
      <c r="K2227" s="1">
        <v>3</v>
      </c>
      <c r="L2227" s="1" t="str">
        <f t="shared" si="129"/>
        <v>Norrviken 3</v>
      </c>
      <c r="M2227" s="1" t="s">
        <v>177</v>
      </c>
      <c r="N2227" s="6">
        <v>0.5</v>
      </c>
      <c r="O2227" s="6">
        <v>0.5</v>
      </c>
      <c r="P2227" s="6">
        <v>2.9</v>
      </c>
      <c r="Q2227" s="6">
        <v>11.5</v>
      </c>
      <c r="R2227" s="6">
        <v>7.2</v>
      </c>
      <c r="S2227" s="6">
        <v>66</v>
      </c>
      <c r="V2227" s="6">
        <v>2.5223125506000001</v>
      </c>
      <c r="W2227" s="6">
        <v>216.14590000000001</v>
      </c>
      <c r="X2227" s="1">
        <f>W2227 * (1/((10^((0.0901821 + (2729.92 /(273.15 + Q2227)))-AE2227)+1)))</f>
        <v>2.3409452683810428</v>
      </c>
      <c r="Y2227" s="6">
        <v>0.08</v>
      </c>
      <c r="Z2227" s="6">
        <v>91.76</v>
      </c>
      <c r="AA2227" s="6">
        <v>1.7</v>
      </c>
      <c r="AD2227" s="6">
        <v>137.77000000000001</v>
      </c>
      <c r="AE2227" s="6">
        <v>7.72</v>
      </c>
      <c r="AK2227" s="6">
        <v>106.06</v>
      </c>
      <c r="AL2227" s="6">
        <v>951.91</v>
      </c>
      <c r="AM2227" s="6"/>
      <c r="AN2227" s="6"/>
      <c r="AO2227" s="6"/>
      <c r="AP2227" s="6"/>
      <c r="AQ2227" s="6"/>
    </row>
    <row r="2228" spans="1:43" x14ac:dyDescent="0.3">
      <c r="A2228" s="6">
        <v>35904</v>
      </c>
      <c r="B2228" s="5" t="s">
        <v>230</v>
      </c>
      <c r="C2228" s="5" t="s">
        <v>231</v>
      </c>
      <c r="D2228" s="2">
        <f t="shared" si="127"/>
        <v>2014</v>
      </c>
      <c r="E2228" s="2">
        <f t="shared" si="128"/>
        <v>10</v>
      </c>
      <c r="F2228" s="3" t="s">
        <v>180</v>
      </c>
      <c r="G2228" s="7">
        <v>41927</v>
      </c>
      <c r="H2228" s="6">
        <v>6594885</v>
      </c>
      <c r="I2228" s="6">
        <v>1620750</v>
      </c>
      <c r="J2228" s="5" t="s">
        <v>186</v>
      </c>
      <c r="K2228" s="1">
        <v>3</v>
      </c>
      <c r="L2228" s="1" t="str">
        <f t="shared" si="129"/>
        <v>Norrviken 3</v>
      </c>
      <c r="M2228" s="5" t="s">
        <v>211</v>
      </c>
      <c r="N2228" s="6">
        <v>1</v>
      </c>
      <c r="O2228" s="6">
        <v>1</v>
      </c>
      <c r="Q2228" s="6">
        <v>11.6</v>
      </c>
      <c r="R2228" s="6">
        <v>7.3</v>
      </c>
      <c r="S2228" s="6">
        <v>67</v>
      </c>
    </row>
    <row r="2229" spans="1:43" x14ac:dyDescent="0.3">
      <c r="A2229" s="6">
        <v>35905</v>
      </c>
      <c r="B2229" s="5" t="s">
        <v>230</v>
      </c>
      <c r="C2229" s="5" t="s">
        <v>231</v>
      </c>
      <c r="D2229" s="2">
        <f t="shared" si="127"/>
        <v>2014</v>
      </c>
      <c r="E2229" s="2">
        <f t="shared" si="128"/>
        <v>10</v>
      </c>
      <c r="F2229" s="3" t="s">
        <v>180</v>
      </c>
      <c r="G2229" s="7">
        <v>41927</v>
      </c>
      <c r="H2229" s="6">
        <v>6594885</v>
      </c>
      <c r="I2229" s="6">
        <v>1620750</v>
      </c>
      <c r="J2229" s="5" t="s">
        <v>186</v>
      </c>
      <c r="K2229" s="1">
        <v>3</v>
      </c>
      <c r="L2229" s="1" t="str">
        <f t="shared" si="129"/>
        <v>Norrviken 3</v>
      </c>
      <c r="M2229" s="5" t="s">
        <v>212</v>
      </c>
      <c r="N2229" s="6">
        <v>2</v>
      </c>
      <c r="O2229" s="6">
        <v>2</v>
      </c>
      <c r="Q2229" s="6">
        <v>11.6</v>
      </c>
      <c r="R2229" s="6">
        <v>7.4</v>
      </c>
      <c r="S2229" s="6">
        <v>68</v>
      </c>
    </row>
    <row r="2230" spans="1:43" x14ac:dyDescent="0.3">
      <c r="A2230" s="6">
        <v>35906</v>
      </c>
      <c r="B2230" s="5" t="s">
        <v>230</v>
      </c>
      <c r="C2230" s="5" t="s">
        <v>231</v>
      </c>
      <c r="D2230" s="2">
        <f t="shared" si="127"/>
        <v>2014</v>
      </c>
      <c r="E2230" s="2">
        <f t="shared" si="128"/>
        <v>10</v>
      </c>
      <c r="F2230" s="3" t="s">
        <v>180</v>
      </c>
      <c r="G2230" s="7">
        <v>41927</v>
      </c>
      <c r="H2230" s="6">
        <v>6594885</v>
      </c>
      <c r="I2230" s="6">
        <v>1620750</v>
      </c>
      <c r="J2230" s="5" t="s">
        <v>186</v>
      </c>
      <c r="K2230" s="1">
        <v>3</v>
      </c>
      <c r="L2230" s="1" t="str">
        <f t="shared" si="129"/>
        <v>Norrviken 3</v>
      </c>
      <c r="M2230" s="5" t="s">
        <v>213</v>
      </c>
      <c r="N2230" s="6">
        <v>3</v>
      </c>
      <c r="O2230" s="6">
        <v>3</v>
      </c>
      <c r="Q2230" s="6">
        <v>11.6</v>
      </c>
      <c r="R2230" s="6">
        <v>7.5</v>
      </c>
      <c r="S2230" s="6">
        <v>69</v>
      </c>
    </row>
    <row r="2231" spans="1:43" x14ac:dyDescent="0.3">
      <c r="A2231" s="6">
        <v>35907</v>
      </c>
      <c r="B2231" s="5" t="s">
        <v>230</v>
      </c>
      <c r="C2231" s="5" t="s">
        <v>231</v>
      </c>
      <c r="D2231" s="2">
        <f t="shared" si="127"/>
        <v>2014</v>
      </c>
      <c r="E2231" s="2">
        <f t="shared" si="128"/>
        <v>10</v>
      </c>
      <c r="F2231" s="3" t="s">
        <v>180</v>
      </c>
      <c r="G2231" s="7">
        <v>41927</v>
      </c>
      <c r="H2231" s="6">
        <v>6594885</v>
      </c>
      <c r="I2231" s="6">
        <v>1620750</v>
      </c>
      <c r="J2231" s="5" t="s">
        <v>186</v>
      </c>
      <c r="K2231" s="1">
        <v>3</v>
      </c>
      <c r="L2231" s="1" t="str">
        <f t="shared" si="129"/>
        <v>Norrviken 3</v>
      </c>
      <c r="M2231" s="5" t="s">
        <v>214</v>
      </c>
      <c r="N2231" s="6">
        <v>4</v>
      </c>
      <c r="O2231" s="6">
        <v>4</v>
      </c>
      <c r="Q2231" s="6">
        <v>11.6</v>
      </c>
      <c r="R2231" s="6">
        <v>7.7</v>
      </c>
      <c r="S2231" s="6">
        <v>71</v>
      </c>
    </row>
    <row r="2232" spans="1:43" x14ac:dyDescent="0.3">
      <c r="A2232" s="6">
        <v>35908</v>
      </c>
      <c r="B2232" s="5" t="s">
        <v>230</v>
      </c>
      <c r="C2232" s="5" t="s">
        <v>231</v>
      </c>
      <c r="D2232" s="2">
        <f t="shared" si="127"/>
        <v>2014</v>
      </c>
      <c r="E2232" s="2">
        <f t="shared" si="128"/>
        <v>10</v>
      </c>
      <c r="F2232" s="3" t="s">
        <v>180</v>
      </c>
      <c r="G2232" s="7">
        <v>41927</v>
      </c>
      <c r="H2232" s="6">
        <v>6594885</v>
      </c>
      <c r="I2232" s="6">
        <v>1620750</v>
      </c>
      <c r="J2232" s="5" t="s">
        <v>186</v>
      </c>
      <c r="K2232" s="1">
        <v>3</v>
      </c>
      <c r="L2232" s="1" t="str">
        <f t="shared" si="129"/>
        <v>Norrviken 3</v>
      </c>
      <c r="M2232" s="5" t="s">
        <v>217</v>
      </c>
      <c r="N2232" s="6">
        <v>5</v>
      </c>
      <c r="O2232" s="6">
        <v>5</v>
      </c>
      <c r="Q2232" s="6">
        <v>11.7</v>
      </c>
      <c r="R2232" s="6">
        <v>7.7</v>
      </c>
      <c r="S2232" s="6">
        <v>71</v>
      </c>
    </row>
    <row r="2233" spans="1:43" x14ac:dyDescent="0.3">
      <c r="A2233" s="6">
        <v>35909</v>
      </c>
      <c r="B2233" s="5" t="s">
        <v>230</v>
      </c>
      <c r="C2233" s="5" t="s">
        <v>231</v>
      </c>
      <c r="D2233" s="2">
        <f t="shared" si="127"/>
        <v>2014</v>
      </c>
      <c r="E2233" s="2">
        <f t="shared" si="128"/>
        <v>10</v>
      </c>
      <c r="F2233" s="3" t="s">
        <v>180</v>
      </c>
      <c r="G2233" s="7">
        <v>41927</v>
      </c>
      <c r="H2233" s="6">
        <v>6594885</v>
      </c>
      <c r="I2233" s="6">
        <v>1620750</v>
      </c>
      <c r="J2233" s="5" t="s">
        <v>186</v>
      </c>
      <c r="K2233" s="1">
        <v>3</v>
      </c>
      <c r="L2233" s="1" t="str">
        <f t="shared" si="129"/>
        <v>Norrviken 3</v>
      </c>
      <c r="M2233" s="5" t="s">
        <v>218</v>
      </c>
      <c r="N2233" s="6">
        <v>6</v>
      </c>
      <c r="O2233" s="6">
        <v>6</v>
      </c>
      <c r="Q2233" s="6">
        <v>11.7</v>
      </c>
      <c r="R2233" s="6">
        <v>7.8</v>
      </c>
      <c r="S2233" s="6">
        <v>72</v>
      </c>
    </row>
    <row r="2234" spans="1:43" x14ac:dyDescent="0.3">
      <c r="A2234" s="6">
        <v>35910</v>
      </c>
      <c r="B2234" s="5" t="s">
        <v>230</v>
      </c>
      <c r="C2234" s="5" t="s">
        <v>231</v>
      </c>
      <c r="D2234" s="2">
        <f t="shared" si="127"/>
        <v>2014</v>
      </c>
      <c r="E2234" s="2">
        <f t="shared" si="128"/>
        <v>10</v>
      </c>
      <c r="F2234" s="3" t="s">
        <v>180</v>
      </c>
      <c r="G2234" s="7">
        <v>41927</v>
      </c>
      <c r="H2234" s="6">
        <v>6594885</v>
      </c>
      <c r="I2234" s="6">
        <v>1620750</v>
      </c>
      <c r="J2234" s="5" t="s">
        <v>186</v>
      </c>
      <c r="K2234" s="1">
        <v>3</v>
      </c>
      <c r="L2234" s="1" t="str">
        <f t="shared" si="129"/>
        <v>Norrviken 3</v>
      </c>
      <c r="M2234" s="5" t="s">
        <v>219</v>
      </c>
      <c r="N2234" s="6">
        <v>7</v>
      </c>
      <c r="O2234" s="6">
        <v>7</v>
      </c>
      <c r="Q2234" s="6">
        <v>11.7</v>
      </c>
      <c r="R2234" s="6">
        <v>7.9</v>
      </c>
      <c r="S2234" s="6">
        <v>73</v>
      </c>
    </row>
    <row r="2235" spans="1:43" x14ac:dyDescent="0.3">
      <c r="A2235" s="6">
        <v>35911</v>
      </c>
      <c r="B2235" s="5" t="s">
        <v>230</v>
      </c>
      <c r="C2235" s="5" t="s">
        <v>231</v>
      </c>
      <c r="D2235" s="2">
        <f t="shared" si="127"/>
        <v>2014</v>
      </c>
      <c r="E2235" s="2">
        <f t="shared" si="128"/>
        <v>10</v>
      </c>
      <c r="F2235" s="3" t="s">
        <v>180</v>
      </c>
      <c r="G2235" s="7">
        <v>41927</v>
      </c>
      <c r="H2235" s="6">
        <v>6594885</v>
      </c>
      <c r="I2235" s="6">
        <v>1620750</v>
      </c>
      <c r="J2235" s="5" t="s">
        <v>186</v>
      </c>
      <c r="K2235" s="1">
        <v>3</v>
      </c>
      <c r="L2235" s="1" t="str">
        <f t="shared" si="129"/>
        <v>Norrviken 3</v>
      </c>
      <c r="M2235" s="5" t="s">
        <v>220</v>
      </c>
      <c r="N2235" s="6">
        <v>8</v>
      </c>
      <c r="O2235" s="6">
        <v>8</v>
      </c>
      <c r="Q2235" s="6">
        <v>11.7</v>
      </c>
      <c r="R2235" s="6">
        <v>8</v>
      </c>
      <c r="S2235" s="6">
        <v>73</v>
      </c>
    </row>
    <row r="2236" spans="1:43" x14ac:dyDescent="0.3">
      <c r="A2236" s="6">
        <v>35912</v>
      </c>
      <c r="B2236" s="5" t="s">
        <v>230</v>
      </c>
      <c r="C2236" s="5" t="s">
        <v>231</v>
      </c>
      <c r="D2236" s="2">
        <f t="shared" si="127"/>
        <v>2014</v>
      </c>
      <c r="E2236" s="2">
        <f t="shared" si="128"/>
        <v>10</v>
      </c>
      <c r="F2236" s="3" t="s">
        <v>180</v>
      </c>
      <c r="G2236" s="7">
        <v>41927</v>
      </c>
      <c r="H2236" s="6">
        <v>6594885</v>
      </c>
      <c r="I2236" s="6">
        <v>1620750</v>
      </c>
      <c r="J2236" s="5" t="s">
        <v>186</v>
      </c>
      <c r="K2236" s="1">
        <v>3</v>
      </c>
      <c r="L2236" s="1" t="str">
        <f t="shared" si="129"/>
        <v>Norrviken 3</v>
      </c>
      <c r="M2236" s="5" t="s">
        <v>221</v>
      </c>
      <c r="N2236" s="6">
        <v>9</v>
      </c>
      <c r="O2236" s="6">
        <v>9</v>
      </c>
      <c r="Q2236" s="6">
        <v>11.7</v>
      </c>
      <c r="R2236" s="6">
        <v>8.1</v>
      </c>
      <c r="S2236" s="6">
        <v>74</v>
      </c>
    </row>
    <row r="2237" spans="1:43" x14ac:dyDescent="0.3">
      <c r="A2237" s="6">
        <v>35913</v>
      </c>
      <c r="B2237" s="5" t="s">
        <v>230</v>
      </c>
      <c r="C2237" s="5" t="s">
        <v>231</v>
      </c>
      <c r="D2237" s="2">
        <f t="shared" si="127"/>
        <v>2014</v>
      </c>
      <c r="E2237" s="2">
        <f t="shared" si="128"/>
        <v>10</v>
      </c>
      <c r="F2237" s="3" t="s">
        <v>180</v>
      </c>
      <c r="G2237" s="7">
        <v>41927</v>
      </c>
      <c r="H2237" s="6">
        <v>6594885</v>
      </c>
      <c r="I2237" s="6">
        <v>1620750</v>
      </c>
      <c r="J2237" s="5" t="s">
        <v>186</v>
      </c>
      <c r="K2237" s="1">
        <v>3</v>
      </c>
      <c r="L2237" s="1" t="str">
        <f t="shared" si="129"/>
        <v>Norrviken 3</v>
      </c>
      <c r="M2237" s="5" t="s">
        <v>222</v>
      </c>
      <c r="N2237" s="6">
        <v>10</v>
      </c>
      <c r="O2237" s="6">
        <v>10</v>
      </c>
      <c r="Q2237" s="6">
        <v>11.7</v>
      </c>
      <c r="R2237" s="6">
        <v>8.1</v>
      </c>
      <c r="S2237" s="6">
        <v>75</v>
      </c>
    </row>
    <row r="2238" spans="1:43" x14ac:dyDescent="0.3">
      <c r="A2238" s="6">
        <v>35914</v>
      </c>
      <c r="B2238" s="5" t="s">
        <v>230</v>
      </c>
      <c r="C2238" s="5" t="s">
        <v>231</v>
      </c>
      <c r="D2238" s="2">
        <f t="shared" si="127"/>
        <v>2014</v>
      </c>
      <c r="E2238" s="2">
        <f t="shared" si="128"/>
        <v>10</v>
      </c>
      <c r="F2238" s="3" t="s">
        <v>180</v>
      </c>
      <c r="G2238" s="7">
        <v>41927</v>
      </c>
      <c r="H2238" s="6">
        <v>6594885</v>
      </c>
      <c r="I2238" s="6">
        <v>1620750</v>
      </c>
      <c r="J2238" s="5" t="s">
        <v>186</v>
      </c>
      <c r="K2238" s="1">
        <v>3</v>
      </c>
      <c r="L2238" s="1" t="str">
        <f t="shared" si="129"/>
        <v>Norrviken 3</v>
      </c>
      <c r="M2238" s="5" t="s">
        <v>223</v>
      </c>
      <c r="N2238" s="6">
        <v>11</v>
      </c>
      <c r="O2238" s="6">
        <v>11</v>
      </c>
      <c r="Q2238" s="6">
        <v>11.7</v>
      </c>
      <c r="R2238" s="6">
        <v>8.1</v>
      </c>
      <c r="S2238" s="6">
        <v>75</v>
      </c>
    </row>
    <row r="2239" spans="1:43" x14ac:dyDescent="0.3">
      <c r="A2239" s="6">
        <v>35915</v>
      </c>
      <c r="B2239" s="5" t="s">
        <v>230</v>
      </c>
      <c r="C2239" s="5" t="s">
        <v>231</v>
      </c>
      <c r="D2239" s="2">
        <f t="shared" si="127"/>
        <v>2014</v>
      </c>
      <c r="E2239" s="2">
        <f t="shared" si="128"/>
        <v>10</v>
      </c>
      <c r="F2239" s="3" t="s">
        <v>180</v>
      </c>
      <c r="G2239" s="7">
        <v>41927</v>
      </c>
      <c r="H2239" s="6">
        <v>6594885</v>
      </c>
      <c r="I2239" s="6">
        <v>1620750</v>
      </c>
      <c r="J2239" s="5" t="s">
        <v>186</v>
      </c>
      <c r="K2239" s="1">
        <v>3</v>
      </c>
      <c r="L2239" s="1" t="str">
        <f t="shared" si="129"/>
        <v>Norrviken 3</v>
      </c>
      <c r="M2239" s="1" t="s">
        <v>184</v>
      </c>
      <c r="N2239" s="6">
        <v>11.5</v>
      </c>
      <c r="O2239" s="6">
        <v>11.5</v>
      </c>
      <c r="Q2239" s="6">
        <v>11.7</v>
      </c>
      <c r="R2239" s="6">
        <v>8.1</v>
      </c>
      <c r="S2239" s="6">
        <v>75</v>
      </c>
    </row>
    <row r="2240" spans="1:43" x14ac:dyDescent="0.3">
      <c r="A2240" s="6">
        <v>35916</v>
      </c>
      <c r="B2240" s="5" t="s">
        <v>230</v>
      </c>
      <c r="C2240" s="5" t="s">
        <v>231</v>
      </c>
      <c r="D2240" s="2">
        <f t="shared" si="127"/>
        <v>2014</v>
      </c>
      <c r="E2240" s="2">
        <f t="shared" si="128"/>
        <v>10</v>
      </c>
      <c r="F2240" s="3" t="s">
        <v>180</v>
      </c>
      <c r="G2240" s="7">
        <v>41927</v>
      </c>
      <c r="H2240" s="6">
        <v>6597300</v>
      </c>
      <c r="I2240" s="6">
        <v>1619975</v>
      </c>
      <c r="J2240" s="5" t="s">
        <v>186</v>
      </c>
      <c r="K2240" s="1">
        <v>4</v>
      </c>
      <c r="L2240" s="1" t="str">
        <f t="shared" si="129"/>
        <v>Norrviken 4</v>
      </c>
      <c r="M2240" s="1" t="s">
        <v>177</v>
      </c>
      <c r="N2240" s="6">
        <v>0.5</v>
      </c>
      <c r="O2240" s="6">
        <v>0.5</v>
      </c>
      <c r="P2240" s="6">
        <v>2.2999999999999998</v>
      </c>
      <c r="Q2240" s="6">
        <v>11.1</v>
      </c>
      <c r="R2240" s="6">
        <v>7.4</v>
      </c>
      <c r="S2240" s="6">
        <v>67</v>
      </c>
      <c r="V2240" s="6">
        <v>2.5223125506000001</v>
      </c>
      <c r="W2240" s="6">
        <v>176.49039999999999</v>
      </c>
      <c r="X2240" s="1">
        <f>W2240 * (1/((10^((0.0901821 + (2729.92 /(273.15 + Q2240)))-AE2240)+1)))</f>
        <v>1.8963009723592741</v>
      </c>
      <c r="Y2240" s="6">
        <v>4.1000000000000002E-2</v>
      </c>
      <c r="Z2240" s="6">
        <v>87.95</v>
      </c>
      <c r="AA2240" s="6">
        <v>1.44</v>
      </c>
      <c r="AD2240" s="6">
        <v>153.15</v>
      </c>
      <c r="AE2240" s="6">
        <v>7.73</v>
      </c>
      <c r="AK2240" s="6">
        <v>103.24</v>
      </c>
      <c r="AL2240" s="6">
        <v>979.88</v>
      </c>
      <c r="AM2240" s="6"/>
      <c r="AN2240" s="6"/>
      <c r="AO2240" s="6"/>
      <c r="AP2240" s="6"/>
      <c r="AQ2240" s="6"/>
    </row>
    <row r="2241" spans="1:43" x14ac:dyDescent="0.3">
      <c r="A2241" s="6">
        <v>35917</v>
      </c>
      <c r="B2241" s="5" t="s">
        <v>230</v>
      </c>
      <c r="C2241" s="5" t="s">
        <v>231</v>
      </c>
      <c r="D2241" s="2">
        <f t="shared" si="127"/>
        <v>2014</v>
      </c>
      <c r="E2241" s="2">
        <f t="shared" si="128"/>
        <v>10</v>
      </c>
      <c r="F2241" s="3" t="s">
        <v>180</v>
      </c>
      <c r="G2241" s="7">
        <v>41927</v>
      </c>
      <c r="H2241" s="6">
        <v>6597300</v>
      </c>
      <c r="I2241" s="6">
        <v>1619975</v>
      </c>
      <c r="J2241" s="5" t="s">
        <v>186</v>
      </c>
      <c r="K2241" s="1">
        <v>4</v>
      </c>
      <c r="L2241" s="1" t="str">
        <f t="shared" si="129"/>
        <v>Norrviken 4</v>
      </c>
      <c r="M2241" s="5" t="s">
        <v>211</v>
      </c>
      <c r="N2241" s="6">
        <v>1</v>
      </c>
      <c r="O2241" s="6">
        <v>1</v>
      </c>
      <c r="Q2241" s="6">
        <v>11.1</v>
      </c>
      <c r="R2241" s="6">
        <v>7.4</v>
      </c>
      <c r="S2241" s="6">
        <v>68</v>
      </c>
    </row>
    <row r="2242" spans="1:43" x14ac:dyDescent="0.3">
      <c r="A2242" s="6">
        <v>35918</v>
      </c>
      <c r="B2242" s="5" t="s">
        <v>230</v>
      </c>
      <c r="C2242" s="5" t="s">
        <v>231</v>
      </c>
      <c r="D2242" s="2">
        <f t="shared" ref="D2242:D2305" si="130">YEAR(G2242)</f>
        <v>2014</v>
      </c>
      <c r="E2242" s="2">
        <f t="shared" ref="E2242:E2305" si="131">MONTH(G2242)</f>
        <v>10</v>
      </c>
      <c r="F2242" s="3" t="s">
        <v>180</v>
      </c>
      <c r="G2242" s="7">
        <v>41927</v>
      </c>
      <c r="H2242" s="6">
        <v>6597300</v>
      </c>
      <c r="I2242" s="6">
        <v>1619975</v>
      </c>
      <c r="J2242" s="5" t="s">
        <v>186</v>
      </c>
      <c r="K2242" s="1">
        <v>4</v>
      </c>
      <c r="L2242" s="1" t="str">
        <f t="shared" ref="L2242:L2305" si="132">CONCATENATE(J2242," ",K2242)</f>
        <v>Norrviken 4</v>
      </c>
      <c r="M2242" s="1" t="s">
        <v>184</v>
      </c>
      <c r="N2242" s="6">
        <v>2.2999999999999998</v>
      </c>
      <c r="O2242" s="6">
        <v>2.2999999999999998</v>
      </c>
      <c r="Q2242" s="6">
        <v>11.2</v>
      </c>
      <c r="R2242" s="6">
        <v>7.5</v>
      </c>
      <c r="S2242" s="6">
        <v>68</v>
      </c>
    </row>
    <row r="2243" spans="1:43" x14ac:dyDescent="0.3">
      <c r="A2243" s="6">
        <v>35934</v>
      </c>
      <c r="B2243" s="5" t="s">
        <v>230</v>
      </c>
      <c r="C2243" s="5" t="s">
        <v>231</v>
      </c>
      <c r="D2243" s="2">
        <f t="shared" si="130"/>
        <v>2014</v>
      </c>
      <c r="E2243" s="2">
        <f t="shared" si="131"/>
        <v>10</v>
      </c>
      <c r="F2243" s="3" t="s">
        <v>180</v>
      </c>
      <c r="G2243" s="7">
        <v>41932</v>
      </c>
      <c r="H2243" s="6">
        <v>6595400</v>
      </c>
      <c r="I2243" s="6">
        <v>1624045</v>
      </c>
      <c r="J2243" s="5" t="s">
        <v>183</v>
      </c>
      <c r="K2243" s="1"/>
      <c r="L2243" s="1" t="str">
        <f t="shared" si="132"/>
        <v xml:space="preserve">Fjäturen </v>
      </c>
      <c r="M2243" s="1" t="s">
        <v>177</v>
      </c>
      <c r="N2243" s="6">
        <v>0.5</v>
      </c>
      <c r="O2243" s="6">
        <v>0.5</v>
      </c>
      <c r="P2243" s="6">
        <v>2.5</v>
      </c>
      <c r="Q2243" s="6">
        <v>10.3</v>
      </c>
      <c r="R2243" s="6">
        <v>7.7</v>
      </c>
      <c r="S2243" s="6">
        <v>71</v>
      </c>
      <c r="V2243" s="6">
        <v>1.8852894118000001</v>
      </c>
      <c r="W2243" s="6">
        <v>389.45049999999998</v>
      </c>
      <c r="X2243" s="1">
        <f>W2243 * (1/((10^((0.0901821 + (2729.92 /(273.15 + Q2243)))-AE2243)+1)))</f>
        <v>4.0245085865861014</v>
      </c>
      <c r="Y2243" s="6">
        <v>5.3999999999999999E-2</v>
      </c>
      <c r="Z2243" s="6">
        <v>4.67</v>
      </c>
      <c r="AA2243" s="6">
        <v>2.2000000000000002</v>
      </c>
      <c r="AD2243" s="6">
        <v>77</v>
      </c>
      <c r="AE2243" s="6">
        <v>7.74</v>
      </c>
      <c r="AK2243" s="6">
        <v>24.11</v>
      </c>
      <c r="AL2243" s="6">
        <v>1109.77</v>
      </c>
      <c r="AM2243" s="6"/>
      <c r="AN2243" s="6"/>
      <c r="AO2243" s="6"/>
      <c r="AP2243" s="6"/>
      <c r="AQ2243" s="6"/>
    </row>
    <row r="2244" spans="1:43" x14ac:dyDescent="0.3">
      <c r="A2244" s="6">
        <v>35935</v>
      </c>
      <c r="B2244" s="5" t="s">
        <v>230</v>
      </c>
      <c r="C2244" s="5" t="s">
        <v>231</v>
      </c>
      <c r="D2244" s="2">
        <f t="shared" si="130"/>
        <v>2014</v>
      </c>
      <c r="E2244" s="2">
        <f t="shared" si="131"/>
        <v>10</v>
      </c>
      <c r="F2244" s="3" t="s">
        <v>180</v>
      </c>
      <c r="G2244" s="7">
        <v>41932</v>
      </c>
      <c r="H2244" s="6">
        <v>6595400</v>
      </c>
      <c r="I2244" s="6">
        <v>1624045</v>
      </c>
      <c r="J2244" s="5" t="s">
        <v>183</v>
      </c>
      <c r="K2244" s="1"/>
      <c r="L2244" s="1" t="str">
        <f t="shared" si="132"/>
        <v xml:space="preserve">Fjäturen </v>
      </c>
      <c r="M2244" s="5" t="s">
        <v>211</v>
      </c>
      <c r="N2244" s="6">
        <v>1</v>
      </c>
      <c r="O2244" s="6">
        <v>1</v>
      </c>
      <c r="Q2244" s="6">
        <v>10.3</v>
      </c>
      <c r="R2244" s="6">
        <v>7.7</v>
      </c>
      <c r="S2244" s="6">
        <v>70</v>
      </c>
    </row>
    <row r="2245" spans="1:43" x14ac:dyDescent="0.3">
      <c r="A2245" s="6">
        <v>35936</v>
      </c>
      <c r="B2245" s="5" t="s">
        <v>230</v>
      </c>
      <c r="C2245" s="5" t="s">
        <v>231</v>
      </c>
      <c r="D2245" s="2">
        <f t="shared" si="130"/>
        <v>2014</v>
      </c>
      <c r="E2245" s="2">
        <f t="shared" si="131"/>
        <v>10</v>
      </c>
      <c r="F2245" s="3" t="s">
        <v>180</v>
      </c>
      <c r="G2245" s="7">
        <v>41932</v>
      </c>
      <c r="H2245" s="6">
        <v>6595400</v>
      </c>
      <c r="I2245" s="6">
        <v>1624045</v>
      </c>
      <c r="J2245" s="5" t="s">
        <v>183</v>
      </c>
      <c r="K2245" s="1"/>
      <c r="L2245" s="1" t="str">
        <f t="shared" si="132"/>
        <v xml:space="preserve">Fjäturen </v>
      </c>
      <c r="M2245" s="5" t="s">
        <v>212</v>
      </c>
      <c r="N2245" s="6">
        <v>2</v>
      </c>
      <c r="O2245" s="6">
        <v>2</v>
      </c>
      <c r="Q2245" s="6">
        <v>10.199999999999999</v>
      </c>
      <c r="R2245" s="6">
        <v>7.4</v>
      </c>
      <c r="S2245" s="6">
        <v>67</v>
      </c>
    </row>
    <row r="2246" spans="1:43" x14ac:dyDescent="0.3">
      <c r="A2246" s="6">
        <v>35937</v>
      </c>
      <c r="B2246" s="5" t="s">
        <v>230</v>
      </c>
      <c r="C2246" s="5" t="s">
        <v>231</v>
      </c>
      <c r="D2246" s="2">
        <f t="shared" si="130"/>
        <v>2014</v>
      </c>
      <c r="E2246" s="2">
        <f t="shared" si="131"/>
        <v>10</v>
      </c>
      <c r="F2246" s="3" t="s">
        <v>180</v>
      </c>
      <c r="G2246" s="7">
        <v>41932</v>
      </c>
      <c r="H2246" s="6">
        <v>6595400</v>
      </c>
      <c r="I2246" s="6">
        <v>1624045</v>
      </c>
      <c r="J2246" s="5" t="s">
        <v>183</v>
      </c>
      <c r="K2246" s="1"/>
      <c r="L2246" s="1" t="str">
        <f t="shared" si="132"/>
        <v xml:space="preserve">Fjäturen </v>
      </c>
      <c r="M2246" s="5" t="s">
        <v>213</v>
      </c>
      <c r="N2246" s="6">
        <v>3</v>
      </c>
      <c r="O2246" s="6">
        <v>3</v>
      </c>
      <c r="Q2246" s="6">
        <v>10.199999999999999</v>
      </c>
      <c r="R2246" s="6">
        <v>7.4</v>
      </c>
      <c r="S2246" s="6">
        <v>67</v>
      </c>
    </row>
    <row r="2247" spans="1:43" x14ac:dyDescent="0.3">
      <c r="A2247" s="6">
        <v>35938</v>
      </c>
      <c r="B2247" s="5" t="s">
        <v>230</v>
      </c>
      <c r="C2247" s="5" t="s">
        <v>231</v>
      </c>
      <c r="D2247" s="2">
        <f t="shared" si="130"/>
        <v>2014</v>
      </c>
      <c r="E2247" s="2">
        <f t="shared" si="131"/>
        <v>10</v>
      </c>
      <c r="F2247" s="3" t="s">
        <v>180</v>
      </c>
      <c r="G2247" s="7">
        <v>41932</v>
      </c>
      <c r="H2247" s="6">
        <v>6595400</v>
      </c>
      <c r="I2247" s="6">
        <v>1624045</v>
      </c>
      <c r="J2247" s="5" t="s">
        <v>183</v>
      </c>
      <c r="K2247" s="1"/>
      <c r="L2247" s="1" t="str">
        <f t="shared" si="132"/>
        <v xml:space="preserve">Fjäturen </v>
      </c>
      <c r="M2247" s="5" t="s">
        <v>214</v>
      </c>
      <c r="N2247" s="6">
        <v>4</v>
      </c>
      <c r="O2247" s="6">
        <v>4</v>
      </c>
      <c r="Q2247" s="6">
        <v>10.1</v>
      </c>
      <c r="R2247" s="6">
        <v>7.2</v>
      </c>
      <c r="S2247" s="6">
        <v>66</v>
      </c>
    </row>
    <row r="2248" spans="1:43" x14ac:dyDescent="0.3">
      <c r="A2248" s="6">
        <v>35939</v>
      </c>
      <c r="B2248" s="5" t="s">
        <v>230</v>
      </c>
      <c r="C2248" s="5" t="s">
        <v>231</v>
      </c>
      <c r="D2248" s="2">
        <f t="shared" si="130"/>
        <v>2014</v>
      </c>
      <c r="E2248" s="2">
        <f t="shared" si="131"/>
        <v>10</v>
      </c>
      <c r="F2248" s="3" t="s">
        <v>180</v>
      </c>
      <c r="G2248" s="7">
        <v>41932</v>
      </c>
      <c r="H2248" s="6">
        <v>6595400</v>
      </c>
      <c r="I2248" s="6">
        <v>1624045</v>
      </c>
      <c r="J2248" s="5" t="s">
        <v>183</v>
      </c>
      <c r="K2248" s="1"/>
      <c r="L2248" s="1" t="str">
        <f t="shared" si="132"/>
        <v xml:space="preserve">Fjäturen </v>
      </c>
      <c r="M2248" s="5" t="s">
        <v>217</v>
      </c>
      <c r="N2248" s="6">
        <v>5</v>
      </c>
      <c r="O2248" s="6">
        <v>5</v>
      </c>
      <c r="Q2248" s="6">
        <v>10.1</v>
      </c>
      <c r="R2248" s="6">
        <v>7</v>
      </c>
      <c r="S2248" s="6">
        <v>63</v>
      </c>
    </row>
    <row r="2249" spans="1:43" x14ac:dyDescent="0.3">
      <c r="A2249" s="6">
        <v>35940</v>
      </c>
      <c r="B2249" s="5" t="s">
        <v>230</v>
      </c>
      <c r="C2249" s="5" t="s">
        <v>231</v>
      </c>
      <c r="D2249" s="2">
        <f t="shared" si="130"/>
        <v>2014</v>
      </c>
      <c r="E2249" s="2">
        <f t="shared" si="131"/>
        <v>10</v>
      </c>
      <c r="F2249" s="3" t="s">
        <v>180</v>
      </c>
      <c r="G2249" s="7">
        <v>41932</v>
      </c>
      <c r="H2249" s="6">
        <v>6595400</v>
      </c>
      <c r="I2249" s="6">
        <v>1624045</v>
      </c>
      <c r="J2249" s="5" t="s">
        <v>183</v>
      </c>
      <c r="K2249" s="1"/>
      <c r="L2249" s="1" t="str">
        <f t="shared" si="132"/>
        <v xml:space="preserve">Fjäturen </v>
      </c>
      <c r="M2249" s="5" t="s">
        <v>218</v>
      </c>
      <c r="N2249" s="6">
        <v>6</v>
      </c>
      <c r="O2249" s="6">
        <v>6</v>
      </c>
      <c r="Q2249" s="6">
        <v>10.1</v>
      </c>
      <c r="R2249" s="6">
        <v>7</v>
      </c>
      <c r="S2249" s="6">
        <v>63</v>
      </c>
    </row>
    <row r="2250" spans="1:43" x14ac:dyDescent="0.3">
      <c r="A2250" s="6">
        <v>35941</v>
      </c>
      <c r="B2250" s="5" t="s">
        <v>230</v>
      </c>
      <c r="C2250" s="5" t="s">
        <v>231</v>
      </c>
      <c r="D2250" s="2">
        <f t="shared" si="130"/>
        <v>2014</v>
      </c>
      <c r="E2250" s="2">
        <f t="shared" si="131"/>
        <v>10</v>
      </c>
      <c r="F2250" s="3" t="s">
        <v>180</v>
      </c>
      <c r="G2250" s="7">
        <v>41932</v>
      </c>
      <c r="H2250" s="6">
        <v>6595400</v>
      </c>
      <c r="I2250" s="6">
        <v>1624045</v>
      </c>
      <c r="J2250" s="5" t="s">
        <v>183</v>
      </c>
      <c r="K2250" s="1"/>
      <c r="L2250" s="1" t="str">
        <f t="shared" si="132"/>
        <v xml:space="preserve">Fjäturen </v>
      </c>
      <c r="M2250" s="5" t="s">
        <v>219</v>
      </c>
      <c r="N2250" s="6">
        <v>7</v>
      </c>
      <c r="O2250" s="6">
        <v>7</v>
      </c>
      <c r="Q2250" s="6">
        <v>10.1</v>
      </c>
      <c r="R2250" s="6">
        <v>6.9</v>
      </c>
      <c r="S2250" s="6">
        <v>62</v>
      </c>
    </row>
    <row r="2251" spans="1:43" x14ac:dyDescent="0.3">
      <c r="A2251" s="6">
        <v>35942</v>
      </c>
      <c r="B2251" s="5" t="s">
        <v>230</v>
      </c>
      <c r="C2251" s="5" t="s">
        <v>231</v>
      </c>
      <c r="D2251" s="2">
        <f t="shared" si="130"/>
        <v>2014</v>
      </c>
      <c r="E2251" s="2">
        <f t="shared" si="131"/>
        <v>10</v>
      </c>
      <c r="F2251" s="3" t="s">
        <v>180</v>
      </c>
      <c r="G2251" s="7">
        <v>41932</v>
      </c>
      <c r="H2251" s="6">
        <v>6595400</v>
      </c>
      <c r="I2251" s="6">
        <v>1624045</v>
      </c>
      <c r="J2251" s="5" t="s">
        <v>183</v>
      </c>
      <c r="K2251" s="1"/>
      <c r="L2251" s="1" t="str">
        <f t="shared" si="132"/>
        <v xml:space="preserve">Fjäturen </v>
      </c>
      <c r="M2251" s="5" t="s">
        <v>220</v>
      </c>
      <c r="N2251" s="6">
        <v>8</v>
      </c>
      <c r="O2251" s="6">
        <v>8</v>
      </c>
      <c r="Q2251" s="6">
        <v>10.1</v>
      </c>
      <c r="R2251" s="6">
        <v>6.8</v>
      </c>
      <c r="S2251" s="6">
        <v>62</v>
      </c>
    </row>
    <row r="2252" spans="1:43" x14ac:dyDescent="0.3">
      <c r="A2252" s="6">
        <v>35943</v>
      </c>
      <c r="B2252" s="5" t="s">
        <v>230</v>
      </c>
      <c r="C2252" s="5" t="s">
        <v>231</v>
      </c>
      <c r="D2252" s="2">
        <f t="shared" si="130"/>
        <v>2014</v>
      </c>
      <c r="E2252" s="2">
        <f t="shared" si="131"/>
        <v>10</v>
      </c>
      <c r="F2252" s="3" t="s">
        <v>180</v>
      </c>
      <c r="G2252" s="7">
        <v>41932</v>
      </c>
      <c r="H2252" s="6">
        <v>6595400</v>
      </c>
      <c r="I2252" s="6">
        <v>1624045</v>
      </c>
      <c r="J2252" s="5" t="s">
        <v>183</v>
      </c>
      <c r="K2252" s="1"/>
      <c r="L2252" s="1" t="str">
        <f t="shared" si="132"/>
        <v xml:space="preserve">Fjäturen </v>
      </c>
      <c r="M2252" s="1" t="s">
        <v>184</v>
      </c>
      <c r="N2252" s="6">
        <v>8.5</v>
      </c>
      <c r="O2252" s="6">
        <v>8.5</v>
      </c>
      <c r="Q2252" s="6">
        <v>10.1</v>
      </c>
      <c r="R2252" s="6">
        <v>6.8</v>
      </c>
      <c r="S2252" s="6">
        <v>61</v>
      </c>
    </row>
    <row r="2253" spans="1:43" x14ac:dyDescent="0.3">
      <c r="A2253" s="6">
        <v>35944</v>
      </c>
      <c r="B2253" s="5" t="s">
        <v>230</v>
      </c>
      <c r="C2253" s="5" t="s">
        <v>231</v>
      </c>
      <c r="D2253" s="2">
        <f t="shared" si="130"/>
        <v>2014</v>
      </c>
      <c r="E2253" s="2">
        <f t="shared" si="131"/>
        <v>10</v>
      </c>
      <c r="F2253" s="3" t="s">
        <v>180</v>
      </c>
      <c r="G2253" s="7">
        <v>41932</v>
      </c>
      <c r="H2253" s="6">
        <v>6593820</v>
      </c>
      <c r="I2253" s="6">
        <v>1624215</v>
      </c>
      <c r="J2253" s="5" t="s">
        <v>189</v>
      </c>
      <c r="K2253" s="1"/>
      <c r="L2253" s="1" t="str">
        <f t="shared" si="132"/>
        <v xml:space="preserve">Rösjön </v>
      </c>
      <c r="M2253" s="1" t="s">
        <v>177</v>
      </c>
      <c r="N2253" s="6">
        <v>0.5</v>
      </c>
      <c r="O2253" s="6">
        <v>0.5</v>
      </c>
      <c r="P2253" s="6">
        <v>3.5</v>
      </c>
      <c r="Q2253" s="6">
        <v>10.7</v>
      </c>
      <c r="R2253" s="6">
        <v>8.6999999999999993</v>
      </c>
      <c r="S2253" s="6">
        <v>80</v>
      </c>
      <c r="V2253" s="6">
        <v>1.5197741176999999</v>
      </c>
      <c r="W2253" s="6">
        <v>34.332000000000001</v>
      </c>
      <c r="X2253" s="1">
        <f>W2253 * (1/((10^((0.0901821 + (2729.92 /(273.15 + Q2253)))-AE2253)+1)))</f>
        <v>0.41947302148120846</v>
      </c>
      <c r="Y2253" s="6">
        <v>3.3000000000000002E-2</v>
      </c>
      <c r="Z2253" s="6">
        <v>1.1100000000000001</v>
      </c>
      <c r="AA2253" s="6">
        <v>1.62</v>
      </c>
      <c r="AD2253" s="6">
        <v>13.68</v>
      </c>
      <c r="AE2253" s="6">
        <v>7.8</v>
      </c>
      <c r="AK2253" s="6">
        <v>19.04</v>
      </c>
      <c r="AL2253" s="6">
        <v>545.32000000000005</v>
      </c>
      <c r="AM2253" s="6"/>
      <c r="AN2253" s="6"/>
      <c r="AO2253" s="6"/>
      <c r="AP2253" s="6"/>
      <c r="AQ2253" s="6"/>
    </row>
    <row r="2254" spans="1:43" x14ac:dyDescent="0.3">
      <c r="A2254" s="6">
        <v>35945</v>
      </c>
      <c r="B2254" s="5" t="s">
        <v>230</v>
      </c>
      <c r="C2254" s="5" t="s">
        <v>231</v>
      </c>
      <c r="D2254" s="2">
        <f t="shared" si="130"/>
        <v>2014</v>
      </c>
      <c r="E2254" s="2">
        <f t="shared" si="131"/>
        <v>10</v>
      </c>
      <c r="F2254" s="3" t="s">
        <v>180</v>
      </c>
      <c r="G2254" s="7">
        <v>41932</v>
      </c>
      <c r="H2254" s="6">
        <v>6593820</v>
      </c>
      <c r="I2254" s="6">
        <v>1624215</v>
      </c>
      <c r="J2254" s="5" t="s">
        <v>189</v>
      </c>
      <c r="K2254" s="1"/>
      <c r="L2254" s="1" t="str">
        <f t="shared" si="132"/>
        <v xml:space="preserve">Rösjön </v>
      </c>
      <c r="M2254" s="5" t="s">
        <v>211</v>
      </c>
      <c r="N2254" s="6">
        <v>1</v>
      </c>
      <c r="O2254" s="6">
        <v>1</v>
      </c>
      <c r="Q2254" s="6">
        <v>10.6</v>
      </c>
      <c r="R2254" s="6">
        <v>8.8000000000000007</v>
      </c>
      <c r="S2254" s="6">
        <v>80</v>
      </c>
    </row>
    <row r="2255" spans="1:43" x14ac:dyDescent="0.3">
      <c r="A2255" s="6">
        <v>35946</v>
      </c>
      <c r="B2255" s="5" t="s">
        <v>230</v>
      </c>
      <c r="C2255" s="5" t="s">
        <v>231</v>
      </c>
      <c r="D2255" s="2">
        <f t="shared" si="130"/>
        <v>2014</v>
      </c>
      <c r="E2255" s="2">
        <f t="shared" si="131"/>
        <v>10</v>
      </c>
      <c r="F2255" s="3" t="s">
        <v>180</v>
      </c>
      <c r="G2255" s="7">
        <v>41932</v>
      </c>
      <c r="H2255" s="6">
        <v>6593820</v>
      </c>
      <c r="I2255" s="6">
        <v>1624215</v>
      </c>
      <c r="J2255" s="5" t="s">
        <v>189</v>
      </c>
      <c r="K2255" s="1"/>
      <c r="L2255" s="1" t="str">
        <f t="shared" si="132"/>
        <v xml:space="preserve">Rösjön </v>
      </c>
      <c r="M2255" s="5" t="s">
        <v>212</v>
      </c>
      <c r="N2255" s="6">
        <v>2</v>
      </c>
      <c r="O2255" s="6">
        <v>2</v>
      </c>
      <c r="Q2255" s="6">
        <v>10.6</v>
      </c>
      <c r="R2255" s="6">
        <v>8.8000000000000007</v>
      </c>
      <c r="S2255" s="6">
        <v>80</v>
      </c>
    </row>
    <row r="2256" spans="1:43" x14ac:dyDescent="0.3">
      <c r="A2256" s="6">
        <v>35947</v>
      </c>
      <c r="B2256" s="5" t="s">
        <v>230</v>
      </c>
      <c r="C2256" s="5" t="s">
        <v>231</v>
      </c>
      <c r="D2256" s="2">
        <f t="shared" si="130"/>
        <v>2014</v>
      </c>
      <c r="E2256" s="2">
        <f t="shared" si="131"/>
        <v>10</v>
      </c>
      <c r="F2256" s="3" t="s">
        <v>180</v>
      </c>
      <c r="G2256" s="7">
        <v>41932</v>
      </c>
      <c r="H2256" s="6">
        <v>6593820</v>
      </c>
      <c r="I2256" s="6">
        <v>1624215</v>
      </c>
      <c r="J2256" s="5" t="s">
        <v>189</v>
      </c>
      <c r="K2256" s="1"/>
      <c r="L2256" s="1" t="str">
        <f t="shared" si="132"/>
        <v xml:space="preserve">Rösjön </v>
      </c>
      <c r="M2256" s="5" t="s">
        <v>213</v>
      </c>
      <c r="N2256" s="6">
        <v>3</v>
      </c>
      <c r="O2256" s="6">
        <v>3</v>
      </c>
      <c r="Q2256" s="6">
        <v>10.5</v>
      </c>
      <c r="R2256" s="6">
        <v>8.6999999999999993</v>
      </c>
      <c r="S2256" s="6">
        <v>80</v>
      </c>
    </row>
    <row r="2257" spans="1:43" x14ac:dyDescent="0.3">
      <c r="A2257" s="6">
        <v>35948</v>
      </c>
      <c r="B2257" s="5" t="s">
        <v>230</v>
      </c>
      <c r="C2257" s="5" t="s">
        <v>231</v>
      </c>
      <c r="D2257" s="2">
        <f t="shared" si="130"/>
        <v>2014</v>
      </c>
      <c r="E2257" s="2">
        <f t="shared" si="131"/>
        <v>10</v>
      </c>
      <c r="F2257" s="3" t="s">
        <v>180</v>
      </c>
      <c r="G2257" s="7">
        <v>41932</v>
      </c>
      <c r="H2257" s="6">
        <v>6593820</v>
      </c>
      <c r="I2257" s="6">
        <v>1624215</v>
      </c>
      <c r="J2257" s="5" t="s">
        <v>189</v>
      </c>
      <c r="K2257" s="1"/>
      <c r="L2257" s="1" t="str">
        <f t="shared" si="132"/>
        <v xml:space="preserve">Rösjön </v>
      </c>
      <c r="M2257" s="5" t="s">
        <v>214</v>
      </c>
      <c r="N2257" s="6">
        <v>4</v>
      </c>
      <c r="O2257" s="6">
        <v>4</v>
      </c>
      <c r="Q2257" s="6">
        <v>10.4</v>
      </c>
      <c r="R2257" s="6">
        <v>8.5</v>
      </c>
      <c r="S2257" s="6">
        <v>77</v>
      </c>
    </row>
    <row r="2258" spans="1:43" x14ac:dyDescent="0.3">
      <c r="A2258" s="6">
        <v>35949</v>
      </c>
      <c r="B2258" s="5" t="s">
        <v>230</v>
      </c>
      <c r="C2258" s="5" t="s">
        <v>231</v>
      </c>
      <c r="D2258" s="2">
        <f t="shared" si="130"/>
        <v>2014</v>
      </c>
      <c r="E2258" s="2">
        <f t="shared" si="131"/>
        <v>10</v>
      </c>
      <c r="F2258" s="3" t="s">
        <v>180</v>
      </c>
      <c r="G2258" s="7">
        <v>41932</v>
      </c>
      <c r="H2258" s="6">
        <v>6593820</v>
      </c>
      <c r="I2258" s="6">
        <v>1624215</v>
      </c>
      <c r="J2258" s="5" t="s">
        <v>189</v>
      </c>
      <c r="K2258" s="1"/>
      <c r="L2258" s="1" t="str">
        <f t="shared" si="132"/>
        <v xml:space="preserve">Rösjön </v>
      </c>
      <c r="M2258" s="5" t="s">
        <v>217</v>
      </c>
      <c r="N2258" s="6">
        <v>5</v>
      </c>
      <c r="O2258" s="6">
        <v>5</v>
      </c>
      <c r="Q2258" s="6">
        <v>10.4</v>
      </c>
      <c r="R2258" s="6">
        <v>8.4</v>
      </c>
      <c r="S2258" s="6">
        <v>77</v>
      </c>
    </row>
    <row r="2259" spans="1:43" x14ac:dyDescent="0.3">
      <c r="A2259" s="6">
        <v>35950</v>
      </c>
      <c r="B2259" s="5" t="s">
        <v>230</v>
      </c>
      <c r="C2259" s="5" t="s">
        <v>231</v>
      </c>
      <c r="D2259" s="2">
        <f t="shared" si="130"/>
        <v>2014</v>
      </c>
      <c r="E2259" s="2">
        <f t="shared" si="131"/>
        <v>10</v>
      </c>
      <c r="F2259" s="3" t="s">
        <v>180</v>
      </c>
      <c r="G2259" s="7">
        <v>41932</v>
      </c>
      <c r="H2259" s="6">
        <v>6593820</v>
      </c>
      <c r="I2259" s="6">
        <v>1624215</v>
      </c>
      <c r="J2259" s="5" t="s">
        <v>189</v>
      </c>
      <c r="K2259" s="1"/>
      <c r="L2259" s="1" t="str">
        <f t="shared" si="132"/>
        <v xml:space="preserve">Rösjön </v>
      </c>
      <c r="M2259" s="5" t="s">
        <v>218</v>
      </c>
      <c r="N2259" s="6">
        <v>6</v>
      </c>
      <c r="O2259" s="6">
        <v>6</v>
      </c>
      <c r="Q2259" s="6">
        <v>10.4</v>
      </c>
      <c r="R2259" s="6">
        <v>8.1</v>
      </c>
      <c r="S2259" s="6">
        <v>74</v>
      </c>
    </row>
    <row r="2260" spans="1:43" x14ac:dyDescent="0.3">
      <c r="A2260" s="6">
        <v>35951</v>
      </c>
      <c r="B2260" s="5" t="s">
        <v>230</v>
      </c>
      <c r="C2260" s="5" t="s">
        <v>231</v>
      </c>
      <c r="D2260" s="2">
        <f t="shared" si="130"/>
        <v>2014</v>
      </c>
      <c r="E2260" s="2">
        <f t="shared" si="131"/>
        <v>10</v>
      </c>
      <c r="F2260" s="3" t="s">
        <v>180</v>
      </c>
      <c r="G2260" s="7">
        <v>41932</v>
      </c>
      <c r="H2260" s="6">
        <v>6593820</v>
      </c>
      <c r="I2260" s="6">
        <v>1624215</v>
      </c>
      <c r="J2260" s="5" t="s">
        <v>189</v>
      </c>
      <c r="K2260" s="1"/>
      <c r="L2260" s="1" t="str">
        <f t="shared" si="132"/>
        <v xml:space="preserve">Rösjön </v>
      </c>
      <c r="M2260" s="1" t="s">
        <v>184</v>
      </c>
      <c r="N2260" s="6">
        <v>6.7</v>
      </c>
      <c r="O2260" s="6">
        <v>6.7</v>
      </c>
      <c r="Q2260" s="6">
        <v>10.4</v>
      </c>
      <c r="R2260" s="6">
        <v>8</v>
      </c>
      <c r="S2260" s="6">
        <v>73</v>
      </c>
    </row>
    <row r="2261" spans="1:43" x14ac:dyDescent="0.3">
      <c r="A2261" s="6">
        <v>35952</v>
      </c>
      <c r="B2261" s="5" t="s">
        <v>230</v>
      </c>
      <c r="C2261" s="5" t="s">
        <v>231</v>
      </c>
      <c r="D2261" s="2">
        <f t="shared" si="130"/>
        <v>2014</v>
      </c>
      <c r="E2261" s="2">
        <f t="shared" si="131"/>
        <v>10</v>
      </c>
      <c r="F2261" s="3" t="s">
        <v>180</v>
      </c>
      <c r="G2261" s="7">
        <v>41932</v>
      </c>
      <c r="H2261" s="6">
        <v>6594980</v>
      </c>
      <c r="I2261" s="6">
        <v>1622960</v>
      </c>
      <c r="J2261" s="5" t="s">
        <v>192</v>
      </c>
      <c r="K2261" s="1"/>
      <c r="L2261" s="1" t="str">
        <f t="shared" si="132"/>
        <v xml:space="preserve">Väsjön </v>
      </c>
      <c r="M2261" s="1" t="s">
        <v>177</v>
      </c>
      <c r="N2261" s="6">
        <v>0.5</v>
      </c>
      <c r="O2261" s="6">
        <v>0.5</v>
      </c>
      <c r="P2261" s="6">
        <v>2.9</v>
      </c>
      <c r="Q2261" s="6">
        <v>9.6999999999999993</v>
      </c>
      <c r="R2261" s="6">
        <v>7.4</v>
      </c>
      <c r="S2261" s="6">
        <v>68</v>
      </c>
      <c r="V2261" s="6">
        <v>1.3466352940999999</v>
      </c>
      <c r="W2261" s="6">
        <v>5.1936999999999998</v>
      </c>
      <c r="X2261" s="1">
        <f>W2261 * (1/((10^((0.0901821 + (2729.92 /(273.15 + Q2261)))-AE2261)+1)))</f>
        <v>5.0073880165723554E-2</v>
      </c>
      <c r="Y2261" s="6">
        <v>6.2E-2</v>
      </c>
      <c r="Z2261" s="6">
        <v>0</v>
      </c>
      <c r="AA2261" s="6">
        <v>0.8</v>
      </c>
      <c r="AD2261" s="6">
        <v>2.71</v>
      </c>
      <c r="AE2261" s="6">
        <v>7.73</v>
      </c>
      <c r="AK2261" s="6">
        <v>20.61</v>
      </c>
      <c r="AL2261" s="6">
        <v>675.55</v>
      </c>
      <c r="AM2261" s="6"/>
      <c r="AN2261" s="6"/>
      <c r="AO2261" s="6"/>
      <c r="AP2261" s="6"/>
      <c r="AQ2261" s="6"/>
    </row>
    <row r="2262" spans="1:43" x14ac:dyDescent="0.3">
      <c r="A2262" s="6">
        <v>35953</v>
      </c>
      <c r="B2262" s="5" t="s">
        <v>230</v>
      </c>
      <c r="C2262" s="5" t="s">
        <v>231</v>
      </c>
      <c r="D2262" s="2">
        <f t="shared" si="130"/>
        <v>2014</v>
      </c>
      <c r="E2262" s="2">
        <f t="shared" si="131"/>
        <v>10</v>
      </c>
      <c r="F2262" s="3" t="s">
        <v>180</v>
      </c>
      <c r="G2262" s="7">
        <v>41932</v>
      </c>
      <c r="H2262" s="6">
        <v>6594980</v>
      </c>
      <c r="I2262" s="6">
        <v>1622960</v>
      </c>
      <c r="J2262" s="5" t="s">
        <v>192</v>
      </c>
      <c r="K2262" s="1"/>
      <c r="L2262" s="1" t="str">
        <f t="shared" si="132"/>
        <v xml:space="preserve">Väsjön </v>
      </c>
      <c r="M2262" s="5" t="s">
        <v>211</v>
      </c>
      <c r="N2262" s="6">
        <v>1</v>
      </c>
      <c r="O2262" s="6">
        <v>1</v>
      </c>
      <c r="Q2262" s="6">
        <v>9.6</v>
      </c>
      <c r="R2262" s="6">
        <v>7.4</v>
      </c>
      <c r="S2262" s="6">
        <v>66</v>
      </c>
    </row>
    <row r="2263" spans="1:43" x14ac:dyDescent="0.3">
      <c r="A2263" s="6">
        <v>35954</v>
      </c>
      <c r="B2263" s="5" t="s">
        <v>230</v>
      </c>
      <c r="C2263" s="5" t="s">
        <v>231</v>
      </c>
      <c r="D2263" s="2">
        <f t="shared" si="130"/>
        <v>2014</v>
      </c>
      <c r="E2263" s="2">
        <f t="shared" si="131"/>
        <v>10</v>
      </c>
      <c r="F2263" s="3" t="s">
        <v>180</v>
      </c>
      <c r="G2263" s="7">
        <v>41932</v>
      </c>
      <c r="H2263" s="6">
        <v>6594980</v>
      </c>
      <c r="I2263" s="6">
        <v>1622960</v>
      </c>
      <c r="J2263" s="5" t="s">
        <v>192</v>
      </c>
      <c r="K2263" s="1"/>
      <c r="L2263" s="1" t="str">
        <f t="shared" si="132"/>
        <v xml:space="preserve">Väsjön </v>
      </c>
      <c r="M2263" s="5" t="s">
        <v>212</v>
      </c>
      <c r="N2263" s="6">
        <v>2</v>
      </c>
      <c r="O2263" s="6">
        <v>2</v>
      </c>
      <c r="Q2263" s="6">
        <v>9.5</v>
      </c>
      <c r="R2263" s="6">
        <v>7.2</v>
      </c>
      <c r="S2263" s="6">
        <v>64</v>
      </c>
    </row>
    <row r="2264" spans="1:43" x14ac:dyDescent="0.3">
      <c r="A2264" s="6">
        <v>35955</v>
      </c>
      <c r="B2264" s="5" t="s">
        <v>230</v>
      </c>
      <c r="C2264" s="5" t="s">
        <v>231</v>
      </c>
      <c r="D2264" s="2">
        <f t="shared" si="130"/>
        <v>2014</v>
      </c>
      <c r="E2264" s="2">
        <f t="shared" si="131"/>
        <v>10</v>
      </c>
      <c r="F2264" s="3" t="s">
        <v>180</v>
      </c>
      <c r="G2264" s="7">
        <v>41932</v>
      </c>
      <c r="H2264" s="6">
        <v>6594980</v>
      </c>
      <c r="I2264" s="6">
        <v>1622960</v>
      </c>
      <c r="J2264" s="5" t="s">
        <v>192</v>
      </c>
      <c r="K2264" s="1"/>
      <c r="L2264" s="1" t="str">
        <f t="shared" si="132"/>
        <v xml:space="preserve">Väsjön </v>
      </c>
      <c r="M2264" s="1" t="s">
        <v>184</v>
      </c>
      <c r="N2264" s="6">
        <v>2.9</v>
      </c>
      <c r="O2264" s="6">
        <v>2.9</v>
      </c>
      <c r="Q2264" s="6">
        <v>9.1999999999999993</v>
      </c>
      <c r="R2264" s="6">
        <v>6</v>
      </c>
      <c r="S2264" s="6">
        <v>53</v>
      </c>
    </row>
    <row r="2265" spans="1:43" x14ac:dyDescent="0.3">
      <c r="A2265" s="6">
        <v>35956</v>
      </c>
      <c r="B2265" s="5" t="s">
        <v>230</v>
      </c>
      <c r="C2265" s="5" t="s">
        <v>231</v>
      </c>
      <c r="D2265" s="2">
        <f t="shared" si="130"/>
        <v>2014</v>
      </c>
      <c r="E2265" s="2">
        <f t="shared" si="131"/>
        <v>10</v>
      </c>
      <c r="F2265" s="3" t="s">
        <v>180</v>
      </c>
      <c r="G2265" s="7">
        <v>41932</v>
      </c>
      <c r="H2265" s="6">
        <v>6597555</v>
      </c>
      <c r="I2265" s="6">
        <v>1629125</v>
      </c>
      <c r="J2265" s="5" t="s">
        <v>185</v>
      </c>
      <c r="K2265" s="1"/>
      <c r="L2265" s="1" t="str">
        <f t="shared" si="132"/>
        <v xml:space="preserve">Gullsjön </v>
      </c>
      <c r="M2265" s="1" t="s">
        <v>177</v>
      </c>
      <c r="N2265" s="6">
        <v>0.5</v>
      </c>
      <c r="O2265" s="6">
        <v>0.5</v>
      </c>
      <c r="P2265" s="6">
        <v>1.9</v>
      </c>
      <c r="Q2265" s="6">
        <v>10.1</v>
      </c>
      <c r="R2265" s="6">
        <v>7.2</v>
      </c>
      <c r="S2265" s="6">
        <v>65</v>
      </c>
      <c r="V2265" s="6">
        <v>1.4620611765</v>
      </c>
      <c r="W2265" s="6">
        <v>18.950500000000002</v>
      </c>
      <c r="X2265" s="1">
        <f>W2265 * (1/((10^((0.0901821 + (2729.92 /(273.15 + Q2265)))-AE2265)+1)))</f>
        <v>9.4931665827054007E-2</v>
      </c>
      <c r="Y2265" s="6">
        <v>0.11600000000000001</v>
      </c>
      <c r="Z2265" s="6">
        <v>0</v>
      </c>
      <c r="AA2265" s="6">
        <v>0.92</v>
      </c>
      <c r="AD2265" s="6">
        <v>4.0999999999999996</v>
      </c>
      <c r="AE2265" s="6">
        <v>7.43</v>
      </c>
      <c r="AK2265" s="6">
        <v>21.73</v>
      </c>
      <c r="AL2265" s="6">
        <v>667.85</v>
      </c>
      <c r="AM2265" s="6"/>
      <c r="AN2265" s="6"/>
      <c r="AO2265" s="6"/>
      <c r="AP2265" s="6"/>
      <c r="AQ2265" s="6"/>
    </row>
    <row r="2266" spans="1:43" x14ac:dyDescent="0.3">
      <c r="A2266" s="6">
        <v>35957</v>
      </c>
      <c r="B2266" s="5" t="s">
        <v>230</v>
      </c>
      <c r="C2266" s="5" t="s">
        <v>231</v>
      </c>
      <c r="D2266" s="2">
        <f t="shared" si="130"/>
        <v>2014</v>
      </c>
      <c r="E2266" s="2">
        <f t="shared" si="131"/>
        <v>10</v>
      </c>
      <c r="F2266" s="3" t="s">
        <v>180</v>
      </c>
      <c r="G2266" s="7">
        <v>41932</v>
      </c>
      <c r="H2266" s="6">
        <v>6597555</v>
      </c>
      <c r="I2266" s="6">
        <v>1629125</v>
      </c>
      <c r="J2266" s="5" t="s">
        <v>185</v>
      </c>
      <c r="K2266" s="1"/>
      <c r="L2266" s="1" t="str">
        <f t="shared" si="132"/>
        <v xml:space="preserve">Gullsjön </v>
      </c>
      <c r="M2266" s="5" t="s">
        <v>211</v>
      </c>
      <c r="N2266" s="6">
        <v>1</v>
      </c>
      <c r="O2266" s="6">
        <v>1</v>
      </c>
      <c r="Q2266" s="6">
        <v>8.9</v>
      </c>
      <c r="R2266" s="6">
        <v>4.7</v>
      </c>
      <c r="S2266" s="6">
        <v>42</v>
      </c>
    </row>
    <row r="2267" spans="1:43" x14ac:dyDescent="0.3">
      <c r="A2267" s="6">
        <v>35958</v>
      </c>
      <c r="B2267" s="5" t="s">
        <v>230</v>
      </c>
      <c r="C2267" s="5" t="s">
        <v>231</v>
      </c>
      <c r="D2267" s="2">
        <f t="shared" si="130"/>
        <v>2014</v>
      </c>
      <c r="E2267" s="2">
        <f t="shared" si="131"/>
        <v>10</v>
      </c>
      <c r="F2267" s="3" t="s">
        <v>180</v>
      </c>
      <c r="G2267" s="7">
        <v>41932</v>
      </c>
      <c r="H2267" s="6">
        <v>6597555</v>
      </c>
      <c r="I2267" s="6">
        <v>1629125</v>
      </c>
      <c r="J2267" s="5" t="s">
        <v>185</v>
      </c>
      <c r="K2267" s="1"/>
      <c r="L2267" s="1" t="str">
        <f t="shared" si="132"/>
        <v xml:space="preserve">Gullsjön </v>
      </c>
      <c r="M2267" s="1" t="s">
        <v>184</v>
      </c>
      <c r="N2267" s="6">
        <v>1.9</v>
      </c>
      <c r="O2267" s="6">
        <v>1.9</v>
      </c>
      <c r="Q2267" s="6">
        <v>8.9</v>
      </c>
      <c r="R2267" s="6">
        <v>3.7</v>
      </c>
      <c r="S2267" s="6">
        <v>33</v>
      </c>
    </row>
    <row r="2268" spans="1:43" x14ac:dyDescent="0.3">
      <c r="A2268" s="6">
        <v>35959</v>
      </c>
      <c r="B2268" s="5" t="s">
        <v>230</v>
      </c>
      <c r="C2268" s="5" t="s">
        <v>231</v>
      </c>
      <c r="D2268" s="2">
        <f t="shared" si="130"/>
        <v>2014</v>
      </c>
      <c r="E2268" s="2">
        <f t="shared" si="131"/>
        <v>10</v>
      </c>
      <c r="F2268" s="3" t="s">
        <v>180</v>
      </c>
      <c r="G2268" s="7">
        <v>41932</v>
      </c>
      <c r="H2268" s="6">
        <v>6599695</v>
      </c>
      <c r="I2268" s="6">
        <v>1617290</v>
      </c>
      <c r="J2268" s="5" t="s">
        <v>182</v>
      </c>
      <c r="K2268" s="1"/>
      <c r="L2268" s="1" t="str">
        <f t="shared" si="132"/>
        <v xml:space="preserve">Edssjön </v>
      </c>
      <c r="M2268" s="1" t="s">
        <v>177</v>
      </c>
      <c r="N2268" s="6">
        <v>0.5</v>
      </c>
      <c r="O2268" s="6">
        <v>0.5</v>
      </c>
      <c r="P2268" s="6">
        <v>2.5</v>
      </c>
      <c r="Q2268" s="6">
        <v>9.9</v>
      </c>
      <c r="R2268" s="6">
        <v>8.1999999999999993</v>
      </c>
      <c r="S2268" s="6">
        <v>74</v>
      </c>
      <c r="V2268" s="6">
        <v>2.6932705882999999</v>
      </c>
      <c r="W2268" s="6">
        <v>158.48400000000001</v>
      </c>
      <c r="X2268" s="1">
        <f>W2268 * (1/((10^((0.0901821 + (2729.92 /(273.15 + Q2268)))-AE2268)+1)))</f>
        <v>2.1833445584582263</v>
      </c>
      <c r="Y2268" s="6">
        <v>5.6000000000000001E-2</v>
      </c>
      <c r="Z2268" s="6">
        <v>63.59</v>
      </c>
      <c r="AA2268" s="6">
        <v>3.7</v>
      </c>
      <c r="AD2268" s="6">
        <v>134.37</v>
      </c>
      <c r="AE2268" s="6">
        <v>7.88</v>
      </c>
      <c r="AK2268" s="6">
        <v>92.69</v>
      </c>
      <c r="AL2268" s="6">
        <v>1051.8699999999999</v>
      </c>
      <c r="AM2268" s="6"/>
      <c r="AN2268" s="6"/>
      <c r="AO2268" s="6"/>
      <c r="AP2268" s="6"/>
      <c r="AQ2268" s="6"/>
    </row>
    <row r="2269" spans="1:43" x14ac:dyDescent="0.3">
      <c r="A2269" s="6">
        <v>35960</v>
      </c>
      <c r="B2269" s="5" t="s">
        <v>230</v>
      </c>
      <c r="C2269" s="5" t="s">
        <v>231</v>
      </c>
      <c r="D2269" s="2">
        <f t="shared" si="130"/>
        <v>2014</v>
      </c>
      <c r="E2269" s="2">
        <f t="shared" si="131"/>
        <v>10</v>
      </c>
      <c r="F2269" s="3" t="s">
        <v>180</v>
      </c>
      <c r="G2269" s="7">
        <v>41932</v>
      </c>
      <c r="H2269" s="6">
        <v>6599695</v>
      </c>
      <c r="I2269" s="6">
        <v>1617290</v>
      </c>
      <c r="J2269" s="5" t="s">
        <v>182</v>
      </c>
      <c r="K2269" s="1"/>
      <c r="L2269" s="1" t="str">
        <f t="shared" si="132"/>
        <v xml:space="preserve">Edssjön </v>
      </c>
      <c r="M2269" s="5" t="s">
        <v>211</v>
      </c>
      <c r="N2269" s="6">
        <v>1</v>
      </c>
      <c r="O2269" s="6">
        <v>1</v>
      </c>
      <c r="Q2269" s="6">
        <v>9.8000000000000007</v>
      </c>
      <c r="R2269" s="6">
        <v>8.1</v>
      </c>
      <c r="S2269" s="6">
        <v>73</v>
      </c>
    </row>
    <row r="2270" spans="1:43" x14ac:dyDescent="0.3">
      <c r="A2270" s="6">
        <v>35961</v>
      </c>
      <c r="B2270" s="5" t="s">
        <v>230</v>
      </c>
      <c r="C2270" s="5" t="s">
        <v>231</v>
      </c>
      <c r="D2270" s="2">
        <f t="shared" si="130"/>
        <v>2014</v>
      </c>
      <c r="E2270" s="2">
        <f t="shared" si="131"/>
        <v>10</v>
      </c>
      <c r="F2270" s="3" t="s">
        <v>180</v>
      </c>
      <c r="G2270" s="7">
        <v>41932</v>
      </c>
      <c r="H2270" s="6">
        <v>6599695</v>
      </c>
      <c r="I2270" s="6">
        <v>1617290</v>
      </c>
      <c r="J2270" s="5" t="s">
        <v>182</v>
      </c>
      <c r="K2270" s="1"/>
      <c r="L2270" s="1" t="str">
        <f t="shared" si="132"/>
        <v xml:space="preserve">Edssjön </v>
      </c>
      <c r="M2270" s="5" t="s">
        <v>212</v>
      </c>
      <c r="N2270" s="6">
        <v>2</v>
      </c>
      <c r="O2270" s="6">
        <v>2</v>
      </c>
      <c r="Q2270" s="6">
        <v>9.6999999999999993</v>
      </c>
      <c r="R2270" s="6">
        <v>8.1</v>
      </c>
      <c r="S2270" s="6">
        <v>72</v>
      </c>
    </row>
    <row r="2271" spans="1:43" x14ac:dyDescent="0.3">
      <c r="A2271" s="6">
        <v>35962</v>
      </c>
      <c r="B2271" s="5" t="s">
        <v>230</v>
      </c>
      <c r="C2271" s="5" t="s">
        <v>231</v>
      </c>
      <c r="D2271" s="2">
        <f t="shared" si="130"/>
        <v>2014</v>
      </c>
      <c r="E2271" s="2">
        <f t="shared" si="131"/>
        <v>10</v>
      </c>
      <c r="F2271" s="3" t="s">
        <v>180</v>
      </c>
      <c r="G2271" s="7">
        <v>41932</v>
      </c>
      <c r="H2271" s="6">
        <v>6599695</v>
      </c>
      <c r="I2271" s="6">
        <v>1617290</v>
      </c>
      <c r="J2271" s="5" t="s">
        <v>182</v>
      </c>
      <c r="K2271" s="1"/>
      <c r="L2271" s="1" t="str">
        <f t="shared" si="132"/>
        <v xml:space="preserve">Edssjön </v>
      </c>
      <c r="M2271" s="5" t="s">
        <v>213</v>
      </c>
      <c r="N2271" s="6">
        <v>3</v>
      </c>
      <c r="O2271" s="6">
        <v>3</v>
      </c>
      <c r="Q2271" s="6">
        <v>9.6999999999999993</v>
      </c>
      <c r="R2271" s="6">
        <v>8.1</v>
      </c>
      <c r="S2271" s="6">
        <v>72</v>
      </c>
    </row>
    <row r="2272" spans="1:43" x14ac:dyDescent="0.3">
      <c r="A2272" s="6">
        <v>35963</v>
      </c>
      <c r="B2272" s="5" t="s">
        <v>230</v>
      </c>
      <c r="C2272" s="5" t="s">
        <v>231</v>
      </c>
      <c r="D2272" s="2">
        <f t="shared" si="130"/>
        <v>2014</v>
      </c>
      <c r="E2272" s="2">
        <f t="shared" si="131"/>
        <v>10</v>
      </c>
      <c r="F2272" s="3" t="s">
        <v>180</v>
      </c>
      <c r="G2272" s="7">
        <v>41932</v>
      </c>
      <c r="H2272" s="6">
        <v>6599695</v>
      </c>
      <c r="I2272" s="6">
        <v>1617290</v>
      </c>
      <c r="J2272" s="5" t="s">
        <v>182</v>
      </c>
      <c r="K2272" s="1"/>
      <c r="L2272" s="1" t="str">
        <f t="shared" si="132"/>
        <v xml:space="preserve">Edssjön </v>
      </c>
      <c r="M2272" s="5" t="s">
        <v>214</v>
      </c>
      <c r="N2272" s="6">
        <v>4</v>
      </c>
      <c r="O2272" s="6">
        <v>4</v>
      </c>
      <c r="Q2272" s="6">
        <v>9.6</v>
      </c>
      <c r="R2272" s="6">
        <v>7.7</v>
      </c>
      <c r="S2272" s="6">
        <v>69</v>
      </c>
    </row>
    <row r="2273" spans="1:43" x14ac:dyDescent="0.3">
      <c r="A2273" s="6">
        <v>35964</v>
      </c>
      <c r="B2273" s="5" t="s">
        <v>230</v>
      </c>
      <c r="C2273" s="5" t="s">
        <v>231</v>
      </c>
      <c r="D2273" s="2">
        <f t="shared" si="130"/>
        <v>2014</v>
      </c>
      <c r="E2273" s="2">
        <f t="shared" si="131"/>
        <v>10</v>
      </c>
      <c r="F2273" s="3" t="s">
        <v>180</v>
      </c>
      <c r="G2273" s="7">
        <v>41932</v>
      </c>
      <c r="H2273" s="6">
        <v>6599695</v>
      </c>
      <c r="I2273" s="6">
        <v>1617290</v>
      </c>
      <c r="J2273" s="5" t="s">
        <v>182</v>
      </c>
      <c r="K2273" s="1"/>
      <c r="L2273" s="1" t="str">
        <f t="shared" si="132"/>
        <v xml:space="preserve">Edssjön </v>
      </c>
      <c r="M2273" s="1" t="s">
        <v>184</v>
      </c>
      <c r="N2273" s="6">
        <v>5</v>
      </c>
      <c r="O2273" s="6">
        <v>5</v>
      </c>
      <c r="Q2273" s="6">
        <v>9.5</v>
      </c>
      <c r="R2273" s="6">
        <v>7</v>
      </c>
      <c r="S2273" s="6">
        <v>62</v>
      </c>
    </row>
    <row r="2274" spans="1:43" x14ac:dyDescent="0.3">
      <c r="A2274" s="6">
        <v>35965</v>
      </c>
      <c r="B2274" s="5" t="s">
        <v>230</v>
      </c>
      <c r="C2274" s="5" t="s">
        <v>231</v>
      </c>
      <c r="D2274" s="2">
        <f t="shared" si="130"/>
        <v>2014</v>
      </c>
      <c r="E2274" s="2">
        <f t="shared" si="131"/>
        <v>10</v>
      </c>
      <c r="F2274" s="3" t="s">
        <v>180</v>
      </c>
      <c r="G2274" s="7">
        <v>41932</v>
      </c>
      <c r="H2274" s="6">
        <v>6593820</v>
      </c>
      <c r="I2274" s="6">
        <v>1619360</v>
      </c>
      <c r="J2274" s="5" t="s">
        <v>188</v>
      </c>
      <c r="K2274" s="1"/>
      <c r="L2274" s="1" t="str">
        <f t="shared" si="132"/>
        <v xml:space="preserve">Ravalen </v>
      </c>
      <c r="M2274" s="1" t="s">
        <v>177</v>
      </c>
      <c r="N2274" s="6">
        <v>0.5</v>
      </c>
      <c r="O2274" s="6">
        <v>0.5</v>
      </c>
      <c r="P2274" s="6">
        <v>1.7</v>
      </c>
      <c r="Q2274" s="6">
        <v>9.4</v>
      </c>
      <c r="R2274" s="6">
        <v>8.3000000000000007</v>
      </c>
      <c r="S2274" s="6">
        <v>74</v>
      </c>
      <c r="V2274" s="6">
        <v>2.3854682352999999</v>
      </c>
      <c r="W2274" s="6">
        <v>13.713699999999999</v>
      </c>
      <c r="X2274" s="1">
        <f>W2274 * (1/((10^((0.0901821 + (2729.92 /(273.15 + Q2274)))-AE2274)+1)))</f>
        <v>0.16221137887258413</v>
      </c>
      <c r="Y2274" s="6">
        <v>7.8E-2</v>
      </c>
      <c r="Z2274" s="6">
        <v>0</v>
      </c>
      <c r="AA2274" s="6">
        <v>1.78</v>
      </c>
      <c r="AD2274" s="6">
        <v>11.3</v>
      </c>
      <c r="AE2274" s="6">
        <v>7.83</v>
      </c>
      <c r="AK2274" s="6">
        <v>42.25</v>
      </c>
      <c r="AL2274" s="6">
        <v>930.73</v>
      </c>
      <c r="AM2274" s="6"/>
      <c r="AN2274" s="6"/>
      <c r="AO2274" s="6"/>
      <c r="AP2274" s="6"/>
      <c r="AQ2274" s="6"/>
    </row>
    <row r="2275" spans="1:43" x14ac:dyDescent="0.3">
      <c r="A2275" s="6">
        <v>35966</v>
      </c>
      <c r="B2275" s="5" t="s">
        <v>230</v>
      </c>
      <c r="C2275" s="5" t="s">
        <v>231</v>
      </c>
      <c r="D2275" s="2">
        <f t="shared" si="130"/>
        <v>2014</v>
      </c>
      <c r="E2275" s="2">
        <f t="shared" si="131"/>
        <v>10</v>
      </c>
      <c r="F2275" s="3" t="s">
        <v>180</v>
      </c>
      <c r="G2275" s="7">
        <v>41932</v>
      </c>
      <c r="H2275" s="6">
        <v>6593820</v>
      </c>
      <c r="I2275" s="6">
        <v>1619360</v>
      </c>
      <c r="J2275" s="5" t="s">
        <v>188</v>
      </c>
      <c r="K2275" s="1"/>
      <c r="L2275" s="1" t="str">
        <f t="shared" si="132"/>
        <v xml:space="preserve">Ravalen </v>
      </c>
      <c r="M2275" s="5" t="s">
        <v>211</v>
      </c>
      <c r="N2275" s="6">
        <v>1</v>
      </c>
      <c r="O2275" s="6">
        <v>1</v>
      </c>
      <c r="Q2275" s="6">
        <v>9.3000000000000007</v>
      </c>
      <c r="R2275" s="6">
        <v>8.1</v>
      </c>
      <c r="S2275" s="6">
        <v>72</v>
      </c>
    </row>
    <row r="2276" spans="1:43" x14ac:dyDescent="0.3">
      <c r="A2276" s="6">
        <v>35967</v>
      </c>
      <c r="B2276" s="5" t="s">
        <v>230</v>
      </c>
      <c r="C2276" s="5" t="s">
        <v>231</v>
      </c>
      <c r="D2276" s="2">
        <f t="shared" si="130"/>
        <v>2014</v>
      </c>
      <c r="E2276" s="2">
        <f t="shared" si="131"/>
        <v>10</v>
      </c>
      <c r="F2276" s="3" t="s">
        <v>180</v>
      </c>
      <c r="G2276" s="7">
        <v>41932</v>
      </c>
      <c r="H2276" s="6">
        <v>6593820</v>
      </c>
      <c r="I2276" s="6">
        <v>1619360</v>
      </c>
      <c r="J2276" s="5" t="s">
        <v>188</v>
      </c>
      <c r="K2276" s="1"/>
      <c r="L2276" s="1" t="str">
        <f t="shared" si="132"/>
        <v xml:space="preserve">Ravalen </v>
      </c>
      <c r="M2276" s="1" t="s">
        <v>184</v>
      </c>
      <c r="N2276" s="6">
        <v>1.7</v>
      </c>
      <c r="O2276" s="6">
        <v>1.7</v>
      </c>
      <c r="Q2276" s="6">
        <v>9.1999999999999993</v>
      </c>
      <c r="R2276" s="6">
        <v>7.6</v>
      </c>
      <c r="S2276" s="6">
        <v>67</v>
      </c>
    </row>
    <row r="2277" spans="1:43" x14ac:dyDescent="0.3">
      <c r="A2277" s="6">
        <v>35968</v>
      </c>
      <c r="B2277" s="5" t="s">
        <v>230</v>
      </c>
      <c r="C2277" s="5" t="s">
        <v>231</v>
      </c>
      <c r="D2277" s="2">
        <f t="shared" si="130"/>
        <v>2014</v>
      </c>
      <c r="E2277" s="2">
        <f t="shared" si="131"/>
        <v>10</v>
      </c>
      <c r="F2277" s="3" t="s">
        <v>180</v>
      </c>
      <c r="G2277" s="7">
        <v>41932</v>
      </c>
      <c r="H2277" s="6">
        <v>6594420</v>
      </c>
      <c r="I2277" s="6">
        <v>1615795</v>
      </c>
      <c r="J2277" s="5" t="s">
        <v>193</v>
      </c>
      <c r="K2277" s="1"/>
      <c r="L2277" s="1" t="str">
        <f t="shared" si="132"/>
        <v xml:space="preserve">Översjön </v>
      </c>
      <c r="M2277" s="1" t="s">
        <v>177</v>
      </c>
      <c r="N2277" s="6">
        <v>0.5</v>
      </c>
      <c r="O2277" s="6">
        <v>0.5</v>
      </c>
      <c r="P2277" s="6">
        <v>2.5</v>
      </c>
      <c r="Q2277" s="6">
        <v>9.8000000000000007</v>
      </c>
      <c r="R2277" s="6">
        <v>8.8000000000000007</v>
      </c>
      <c r="S2277" s="6">
        <v>79</v>
      </c>
      <c r="V2277" s="6">
        <v>1.8083388235</v>
      </c>
      <c r="W2277" s="6">
        <v>13.582100000000001</v>
      </c>
      <c r="X2277" s="1">
        <f>W2277 * (1/((10^((0.0901821 + (2729.92 /(273.15 + Q2277)))-AE2277)+1)))</f>
        <v>0.16199764422853782</v>
      </c>
      <c r="Y2277" s="6">
        <v>4.5999999999999999E-2</v>
      </c>
      <c r="Z2277" s="6">
        <v>0</v>
      </c>
      <c r="AA2277" s="6">
        <v>3.5</v>
      </c>
      <c r="AD2277" s="6">
        <v>9.94</v>
      </c>
      <c r="AE2277" s="6">
        <v>7.82</v>
      </c>
      <c r="AK2277" s="6">
        <v>27.49</v>
      </c>
      <c r="AL2277" s="6">
        <v>806.88</v>
      </c>
      <c r="AM2277" s="6"/>
      <c r="AN2277" s="6"/>
      <c r="AO2277" s="6"/>
      <c r="AP2277" s="6"/>
      <c r="AQ2277" s="6"/>
    </row>
    <row r="2278" spans="1:43" x14ac:dyDescent="0.3">
      <c r="A2278" s="6">
        <v>35969</v>
      </c>
      <c r="B2278" s="5" t="s">
        <v>230</v>
      </c>
      <c r="C2278" s="5" t="s">
        <v>231</v>
      </c>
      <c r="D2278" s="2">
        <f t="shared" si="130"/>
        <v>2014</v>
      </c>
      <c r="E2278" s="2">
        <f t="shared" si="131"/>
        <v>10</v>
      </c>
      <c r="F2278" s="3" t="s">
        <v>180</v>
      </c>
      <c r="G2278" s="7">
        <v>41932</v>
      </c>
      <c r="H2278" s="6">
        <v>6594420</v>
      </c>
      <c r="I2278" s="6">
        <v>1615795</v>
      </c>
      <c r="J2278" s="5" t="s">
        <v>193</v>
      </c>
      <c r="K2278" s="1"/>
      <c r="L2278" s="1" t="str">
        <f t="shared" si="132"/>
        <v xml:space="preserve">Översjön </v>
      </c>
      <c r="M2278" s="5" t="s">
        <v>211</v>
      </c>
      <c r="N2278" s="6">
        <v>1</v>
      </c>
      <c r="O2278" s="6">
        <v>1</v>
      </c>
      <c r="Q2278" s="6">
        <v>9.8000000000000007</v>
      </c>
      <c r="R2278" s="6">
        <v>8.6999999999999993</v>
      </c>
      <c r="S2278" s="6">
        <v>78</v>
      </c>
    </row>
    <row r="2279" spans="1:43" x14ac:dyDescent="0.3">
      <c r="A2279" s="6">
        <v>35970</v>
      </c>
      <c r="B2279" s="5" t="s">
        <v>230</v>
      </c>
      <c r="C2279" s="5" t="s">
        <v>231</v>
      </c>
      <c r="D2279" s="2">
        <f t="shared" si="130"/>
        <v>2014</v>
      </c>
      <c r="E2279" s="2">
        <f t="shared" si="131"/>
        <v>10</v>
      </c>
      <c r="F2279" s="3" t="s">
        <v>180</v>
      </c>
      <c r="G2279" s="7">
        <v>41932</v>
      </c>
      <c r="H2279" s="6">
        <v>6594420</v>
      </c>
      <c r="I2279" s="6">
        <v>1615795</v>
      </c>
      <c r="J2279" s="5" t="s">
        <v>193</v>
      </c>
      <c r="K2279" s="1"/>
      <c r="L2279" s="1" t="str">
        <f t="shared" si="132"/>
        <v xml:space="preserve">Översjön </v>
      </c>
      <c r="M2279" s="5" t="s">
        <v>212</v>
      </c>
      <c r="N2279" s="6">
        <v>2</v>
      </c>
      <c r="O2279" s="6">
        <v>2</v>
      </c>
      <c r="Q2279" s="6">
        <v>9.6999999999999993</v>
      </c>
      <c r="R2279" s="6">
        <v>8.6</v>
      </c>
      <c r="S2279" s="6">
        <v>77</v>
      </c>
    </row>
    <row r="2280" spans="1:43" x14ac:dyDescent="0.3">
      <c r="A2280" s="6">
        <v>35971</v>
      </c>
      <c r="B2280" s="5" t="s">
        <v>230</v>
      </c>
      <c r="C2280" s="5" t="s">
        <v>231</v>
      </c>
      <c r="D2280" s="2">
        <f t="shared" si="130"/>
        <v>2014</v>
      </c>
      <c r="E2280" s="2">
        <f t="shared" si="131"/>
        <v>10</v>
      </c>
      <c r="F2280" s="3" t="s">
        <v>180</v>
      </c>
      <c r="G2280" s="7">
        <v>41932</v>
      </c>
      <c r="H2280" s="6">
        <v>6594420</v>
      </c>
      <c r="I2280" s="6">
        <v>1615795</v>
      </c>
      <c r="J2280" s="5" t="s">
        <v>193</v>
      </c>
      <c r="K2280" s="1"/>
      <c r="L2280" s="1" t="str">
        <f t="shared" si="132"/>
        <v xml:space="preserve">Översjön </v>
      </c>
      <c r="M2280" s="5" t="s">
        <v>213</v>
      </c>
      <c r="N2280" s="6">
        <v>3</v>
      </c>
      <c r="O2280" s="6">
        <v>3</v>
      </c>
      <c r="Q2280" s="6">
        <v>9.6</v>
      </c>
      <c r="R2280" s="6">
        <v>8.1999999999999993</v>
      </c>
      <c r="S2280" s="6">
        <v>74</v>
      </c>
    </row>
    <row r="2281" spans="1:43" x14ac:dyDescent="0.3">
      <c r="A2281" s="6">
        <v>35972</v>
      </c>
      <c r="B2281" s="5" t="s">
        <v>230</v>
      </c>
      <c r="C2281" s="5" t="s">
        <v>231</v>
      </c>
      <c r="D2281" s="2">
        <f t="shared" si="130"/>
        <v>2014</v>
      </c>
      <c r="E2281" s="2">
        <f t="shared" si="131"/>
        <v>10</v>
      </c>
      <c r="F2281" s="3" t="s">
        <v>180</v>
      </c>
      <c r="G2281" s="7">
        <v>41932</v>
      </c>
      <c r="H2281" s="6">
        <v>6594420</v>
      </c>
      <c r="I2281" s="6">
        <v>1615795</v>
      </c>
      <c r="J2281" s="5" t="s">
        <v>193</v>
      </c>
      <c r="K2281" s="1"/>
      <c r="L2281" s="1" t="str">
        <f t="shared" si="132"/>
        <v xml:space="preserve">Översjön </v>
      </c>
      <c r="M2281" s="1" t="s">
        <v>184</v>
      </c>
      <c r="N2281" s="6">
        <v>3.7</v>
      </c>
      <c r="O2281" s="6">
        <v>3.7</v>
      </c>
      <c r="Q2281" s="6">
        <v>9.5</v>
      </c>
      <c r="R2281" s="6">
        <v>7.9</v>
      </c>
      <c r="S2281" s="6">
        <v>71</v>
      </c>
    </row>
    <row r="2282" spans="1:43" x14ac:dyDescent="0.3">
      <c r="A2282" s="6">
        <v>35988</v>
      </c>
      <c r="B2282" s="5" t="s">
        <v>230</v>
      </c>
      <c r="C2282" s="5" t="s">
        <v>231</v>
      </c>
      <c r="D2282" s="2">
        <f t="shared" si="130"/>
        <v>2014</v>
      </c>
      <c r="E2282" s="2">
        <f t="shared" si="131"/>
        <v>10</v>
      </c>
      <c r="F2282" s="3" t="s">
        <v>180</v>
      </c>
      <c r="G2282" s="7">
        <v>41932</v>
      </c>
      <c r="H2282" s="6">
        <v>6606035</v>
      </c>
      <c r="I2282" s="6">
        <v>1615620</v>
      </c>
      <c r="J2282" s="5" t="s">
        <v>187</v>
      </c>
      <c r="K2282" s="1"/>
      <c r="L2282" s="1" t="str">
        <f t="shared" si="132"/>
        <v xml:space="preserve">Oxundasjön </v>
      </c>
      <c r="M2282" s="1" t="s">
        <v>177</v>
      </c>
      <c r="N2282" s="6">
        <v>0.5</v>
      </c>
      <c r="O2282" s="6">
        <v>0.5</v>
      </c>
      <c r="P2282" s="6">
        <v>2.4</v>
      </c>
      <c r="Q2282" s="6">
        <v>10</v>
      </c>
      <c r="R2282" s="6">
        <v>8.1</v>
      </c>
      <c r="S2282" s="6">
        <v>73</v>
      </c>
      <c r="V2282" s="6">
        <v>2.4239435293999998</v>
      </c>
      <c r="W2282" s="6">
        <v>101.65900000000001</v>
      </c>
      <c r="X2282" s="1">
        <f>W2282 * (1/((10^((0.0901821 + (2729.92 /(273.15 + Q2282)))-AE2282)+1)))</f>
        <v>1.4769225202261387</v>
      </c>
      <c r="Y2282" s="6">
        <v>4.8000000000000001E-2</v>
      </c>
      <c r="Z2282" s="6">
        <v>56.39</v>
      </c>
      <c r="AA2282" s="6">
        <v>4</v>
      </c>
      <c r="AD2282" s="6">
        <v>115.12</v>
      </c>
      <c r="AE2282" s="6">
        <v>7.9</v>
      </c>
      <c r="AK2282" s="6">
        <v>77.56</v>
      </c>
      <c r="AL2282" s="6">
        <v>791.3</v>
      </c>
      <c r="AM2282" s="6"/>
      <c r="AN2282" s="6"/>
      <c r="AO2282" s="6"/>
      <c r="AP2282" s="6"/>
      <c r="AQ2282" s="6"/>
    </row>
    <row r="2283" spans="1:43" x14ac:dyDescent="0.3">
      <c r="A2283" s="6">
        <v>35989</v>
      </c>
      <c r="B2283" s="5" t="s">
        <v>230</v>
      </c>
      <c r="C2283" s="5" t="s">
        <v>231</v>
      </c>
      <c r="D2283" s="2">
        <f t="shared" si="130"/>
        <v>2014</v>
      </c>
      <c r="E2283" s="2">
        <f t="shared" si="131"/>
        <v>10</v>
      </c>
      <c r="F2283" s="3" t="s">
        <v>180</v>
      </c>
      <c r="G2283" s="7">
        <v>41932</v>
      </c>
      <c r="H2283" s="6">
        <v>6606035</v>
      </c>
      <c r="I2283" s="6">
        <v>1615620</v>
      </c>
      <c r="J2283" s="5" t="s">
        <v>187</v>
      </c>
      <c r="K2283" s="1"/>
      <c r="L2283" s="1" t="str">
        <f t="shared" si="132"/>
        <v xml:space="preserve">Oxundasjön </v>
      </c>
      <c r="M2283" s="5" t="s">
        <v>211</v>
      </c>
      <c r="N2283" s="6">
        <v>1</v>
      </c>
      <c r="O2283" s="6">
        <v>1</v>
      </c>
      <c r="Q2283" s="6">
        <v>10</v>
      </c>
      <c r="R2283" s="6">
        <v>8.1</v>
      </c>
      <c r="S2283" s="6">
        <v>73</v>
      </c>
    </row>
    <row r="2284" spans="1:43" x14ac:dyDescent="0.3">
      <c r="A2284" s="6">
        <v>35990</v>
      </c>
      <c r="B2284" s="5" t="s">
        <v>230</v>
      </c>
      <c r="C2284" s="5" t="s">
        <v>231</v>
      </c>
      <c r="D2284" s="2">
        <f t="shared" si="130"/>
        <v>2014</v>
      </c>
      <c r="E2284" s="2">
        <f t="shared" si="131"/>
        <v>10</v>
      </c>
      <c r="F2284" s="3" t="s">
        <v>180</v>
      </c>
      <c r="G2284" s="7">
        <v>41932</v>
      </c>
      <c r="H2284" s="6">
        <v>6606035</v>
      </c>
      <c r="I2284" s="6">
        <v>1615620</v>
      </c>
      <c r="J2284" s="5" t="s">
        <v>187</v>
      </c>
      <c r="K2284" s="1"/>
      <c r="L2284" s="1" t="str">
        <f t="shared" si="132"/>
        <v xml:space="preserve">Oxundasjön </v>
      </c>
      <c r="M2284" s="5" t="s">
        <v>212</v>
      </c>
      <c r="N2284" s="6">
        <v>2</v>
      </c>
      <c r="O2284" s="6">
        <v>2</v>
      </c>
      <c r="Q2284" s="6">
        <v>9.9</v>
      </c>
      <c r="R2284" s="6">
        <v>8.1</v>
      </c>
      <c r="S2284" s="6">
        <v>72</v>
      </c>
    </row>
    <row r="2285" spans="1:43" x14ac:dyDescent="0.3">
      <c r="A2285" s="6">
        <v>35991</v>
      </c>
      <c r="B2285" s="5" t="s">
        <v>230</v>
      </c>
      <c r="C2285" s="5" t="s">
        <v>231</v>
      </c>
      <c r="D2285" s="2">
        <f t="shared" si="130"/>
        <v>2014</v>
      </c>
      <c r="E2285" s="2">
        <f t="shared" si="131"/>
        <v>10</v>
      </c>
      <c r="F2285" s="3" t="s">
        <v>180</v>
      </c>
      <c r="G2285" s="7">
        <v>41932</v>
      </c>
      <c r="H2285" s="6">
        <v>6606035</v>
      </c>
      <c r="I2285" s="6">
        <v>1615620</v>
      </c>
      <c r="J2285" s="5" t="s">
        <v>187</v>
      </c>
      <c r="K2285" s="1"/>
      <c r="L2285" s="1" t="str">
        <f t="shared" si="132"/>
        <v xml:space="preserve">Oxundasjön </v>
      </c>
      <c r="M2285" s="5" t="s">
        <v>213</v>
      </c>
      <c r="N2285" s="6">
        <v>3</v>
      </c>
      <c r="O2285" s="6">
        <v>3</v>
      </c>
      <c r="Q2285" s="6">
        <v>9.9</v>
      </c>
      <c r="R2285" s="6">
        <v>8</v>
      </c>
      <c r="S2285" s="6">
        <v>72</v>
      </c>
    </row>
    <row r="2286" spans="1:43" x14ac:dyDescent="0.3">
      <c r="A2286" s="6">
        <v>35992</v>
      </c>
      <c r="B2286" s="5" t="s">
        <v>230</v>
      </c>
      <c r="C2286" s="5" t="s">
        <v>231</v>
      </c>
      <c r="D2286" s="2">
        <f t="shared" si="130"/>
        <v>2014</v>
      </c>
      <c r="E2286" s="2">
        <f t="shared" si="131"/>
        <v>10</v>
      </c>
      <c r="F2286" s="3" t="s">
        <v>180</v>
      </c>
      <c r="G2286" s="7">
        <v>41932</v>
      </c>
      <c r="H2286" s="6">
        <v>6606035</v>
      </c>
      <c r="I2286" s="6">
        <v>1615620</v>
      </c>
      <c r="J2286" s="5" t="s">
        <v>187</v>
      </c>
      <c r="K2286" s="1"/>
      <c r="L2286" s="1" t="str">
        <f t="shared" si="132"/>
        <v xml:space="preserve">Oxundasjön </v>
      </c>
      <c r="M2286" s="5" t="s">
        <v>214</v>
      </c>
      <c r="N2286" s="6">
        <v>4</v>
      </c>
      <c r="O2286" s="6">
        <v>4</v>
      </c>
      <c r="Q2286" s="6">
        <v>9.9</v>
      </c>
      <c r="R2286" s="6">
        <v>8</v>
      </c>
      <c r="S2286" s="6">
        <v>72</v>
      </c>
    </row>
    <row r="2287" spans="1:43" x14ac:dyDescent="0.3">
      <c r="A2287" s="6">
        <v>35993</v>
      </c>
      <c r="B2287" s="5" t="s">
        <v>230</v>
      </c>
      <c r="C2287" s="5" t="s">
        <v>231</v>
      </c>
      <c r="D2287" s="2">
        <f t="shared" si="130"/>
        <v>2014</v>
      </c>
      <c r="E2287" s="2">
        <f t="shared" si="131"/>
        <v>10</v>
      </c>
      <c r="F2287" s="3" t="s">
        <v>180</v>
      </c>
      <c r="G2287" s="7">
        <v>41932</v>
      </c>
      <c r="H2287" s="6">
        <v>6606035</v>
      </c>
      <c r="I2287" s="6">
        <v>1615620</v>
      </c>
      <c r="J2287" s="5" t="s">
        <v>187</v>
      </c>
      <c r="K2287" s="1"/>
      <c r="L2287" s="1" t="str">
        <f t="shared" si="132"/>
        <v xml:space="preserve">Oxundasjön </v>
      </c>
      <c r="M2287" s="5" t="s">
        <v>217</v>
      </c>
      <c r="N2287" s="6">
        <v>5</v>
      </c>
      <c r="O2287" s="6">
        <v>5</v>
      </c>
      <c r="Q2287" s="6">
        <v>9.8000000000000007</v>
      </c>
      <c r="R2287" s="6">
        <v>7.9</v>
      </c>
      <c r="S2287" s="6">
        <v>71</v>
      </c>
    </row>
    <row r="2288" spans="1:43" x14ac:dyDescent="0.3">
      <c r="A2288" s="6">
        <v>35994</v>
      </c>
      <c r="B2288" s="5" t="s">
        <v>230</v>
      </c>
      <c r="C2288" s="5" t="s">
        <v>231</v>
      </c>
      <c r="D2288" s="2">
        <f t="shared" si="130"/>
        <v>2014</v>
      </c>
      <c r="E2288" s="2">
        <f t="shared" si="131"/>
        <v>10</v>
      </c>
      <c r="F2288" s="3" t="s">
        <v>180</v>
      </c>
      <c r="G2288" s="7">
        <v>41932</v>
      </c>
      <c r="H2288" s="6">
        <v>6606035</v>
      </c>
      <c r="I2288" s="6">
        <v>1615620</v>
      </c>
      <c r="J2288" s="5" t="s">
        <v>187</v>
      </c>
      <c r="K2288" s="1"/>
      <c r="L2288" s="1" t="str">
        <f t="shared" si="132"/>
        <v xml:space="preserve">Oxundasjön </v>
      </c>
      <c r="M2288" s="1" t="s">
        <v>184</v>
      </c>
      <c r="N2288" s="6">
        <v>5.9</v>
      </c>
      <c r="O2288" s="6">
        <v>5.9</v>
      </c>
      <c r="Q2288" s="6">
        <v>9.6</v>
      </c>
      <c r="R2288" s="6">
        <v>6.8</v>
      </c>
      <c r="S2288" s="6">
        <v>61</v>
      </c>
    </row>
    <row r="2289" spans="1:43" x14ac:dyDescent="0.3">
      <c r="A2289" s="6">
        <v>35973</v>
      </c>
      <c r="B2289" s="5" t="s">
        <v>230</v>
      </c>
      <c r="C2289" s="5" t="s">
        <v>231</v>
      </c>
      <c r="D2289" s="2">
        <f t="shared" si="130"/>
        <v>2014</v>
      </c>
      <c r="E2289" s="2">
        <f t="shared" si="131"/>
        <v>10</v>
      </c>
      <c r="F2289" s="3" t="s">
        <v>180</v>
      </c>
      <c r="G2289" s="7">
        <v>41933</v>
      </c>
      <c r="H2289" s="6">
        <v>6595515</v>
      </c>
      <c r="I2289" s="6">
        <v>1624630</v>
      </c>
      <c r="J2289" s="5" t="s">
        <v>207</v>
      </c>
      <c r="K2289" s="1"/>
      <c r="L2289" s="1" t="str">
        <f t="shared" si="132"/>
        <v xml:space="preserve">Käringsjön </v>
      </c>
      <c r="M2289" s="1" t="s">
        <v>177</v>
      </c>
      <c r="N2289" s="6">
        <v>0.5</v>
      </c>
      <c r="O2289" s="6">
        <v>1</v>
      </c>
      <c r="P2289" s="6">
        <v>1</v>
      </c>
      <c r="Q2289" s="6">
        <v>9.1999999999999993</v>
      </c>
      <c r="R2289" s="6">
        <v>6.8</v>
      </c>
      <c r="S2289" s="6">
        <v>59</v>
      </c>
      <c r="V2289" s="6">
        <v>0.60330967740999997</v>
      </c>
      <c r="W2289" s="6">
        <v>32.448599999999999</v>
      </c>
      <c r="X2289" s="1">
        <f>W2289 * (1/((10^((0.0901821 + (2729.92 /(273.15 + Q2289)))-AE2289)+1)))</f>
        <v>4.9179912983677104E-2</v>
      </c>
      <c r="Y2289" s="6">
        <v>0.497</v>
      </c>
      <c r="Z2289" s="6">
        <v>10.36</v>
      </c>
      <c r="AA2289" s="6">
        <v>4.5</v>
      </c>
      <c r="AD2289" s="6">
        <v>43.07</v>
      </c>
      <c r="AE2289" s="6">
        <v>6.9399999999999995</v>
      </c>
      <c r="AK2289" s="6">
        <v>29.43</v>
      </c>
      <c r="AL2289" s="6">
        <v>974.37</v>
      </c>
      <c r="AM2289" s="6"/>
      <c r="AN2289" s="6"/>
      <c r="AO2289" s="6"/>
      <c r="AP2289" s="6"/>
      <c r="AQ2289" s="6"/>
    </row>
    <row r="2290" spans="1:43" x14ac:dyDescent="0.3">
      <c r="A2290" s="6">
        <v>35974</v>
      </c>
      <c r="B2290" s="5" t="s">
        <v>230</v>
      </c>
      <c r="C2290" s="5" t="s">
        <v>231</v>
      </c>
      <c r="D2290" s="2">
        <f t="shared" si="130"/>
        <v>2014</v>
      </c>
      <c r="E2290" s="2">
        <f t="shared" si="131"/>
        <v>10</v>
      </c>
      <c r="F2290" s="3" t="s">
        <v>180</v>
      </c>
      <c r="G2290" s="7">
        <v>41933</v>
      </c>
      <c r="H2290" s="6">
        <v>6595515</v>
      </c>
      <c r="I2290" s="6">
        <v>1624630</v>
      </c>
      <c r="J2290" s="5" t="s">
        <v>207</v>
      </c>
      <c r="K2290" s="1"/>
      <c r="L2290" s="1" t="str">
        <f t="shared" si="132"/>
        <v xml:space="preserve">Käringsjön </v>
      </c>
      <c r="M2290" s="5" t="s">
        <v>211</v>
      </c>
      <c r="N2290" s="6">
        <v>1</v>
      </c>
      <c r="O2290" s="6">
        <v>1</v>
      </c>
      <c r="Q2290" s="6">
        <v>9</v>
      </c>
      <c r="R2290" s="6">
        <v>6.5</v>
      </c>
      <c r="S2290" s="6">
        <v>57</v>
      </c>
    </row>
    <row r="2291" spans="1:43" x14ac:dyDescent="0.3">
      <c r="A2291" s="6">
        <v>35975</v>
      </c>
      <c r="B2291" s="5" t="s">
        <v>230</v>
      </c>
      <c r="C2291" s="5" t="s">
        <v>231</v>
      </c>
      <c r="D2291" s="2">
        <f t="shared" si="130"/>
        <v>2014</v>
      </c>
      <c r="E2291" s="2">
        <f t="shared" si="131"/>
        <v>10</v>
      </c>
      <c r="F2291" s="3" t="s">
        <v>180</v>
      </c>
      <c r="G2291" s="7">
        <v>41933</v>
      </c>
      <c r="H2291" s="6">
        <v>6595515</v>
      </c>
      <c r="I2291" s="6">
        <v>1624630</v>
      </c>
      <c r="J2291" s="5" t="s">
        <v>207</v>
      </c>
      <c r="K2291" s="1"/>
      <c r="L2291" s="1" t="str">
        <f t="shared" si="132"/>
        <v xml:space="preserve">Käringsjön </v>
      </c>
      <c r="M2291" s="5" t="s">
        <v>212</v>
      </c>
      <c r="N2291" s="6">
        <v>2</v>
      </c>
      <c r="O2291" s="6">
        <v>2</v>
      </c>
      <c r="Q2291" s="6">
        <v>8.9</v>
      </c>
      <c r="R2291" s="6">
        <v>5.6</v>
      </c>
      <c r="S2291" s="6">
        <v>48</v>
      </c>
    </row>
    <row r="2292" spans="1:43" x14ac:dyDescent="0.3">
      <c r="A2292" s="6">
        <v>35976</v>
      </c>
      <c r="B2292" s="5" t="s">
        <v>230</v>
      </c>
      <c r="C2292" s="5" t="s">
        <v>231</v>
      </c>
      <c r="D2292" s="2">
        <f t="shared" si="130"/>
        <v>2014</v>
      </c>
      <c r="E2292" s="2">
        <f t="shared" si="131"/>
        <v>10</v>
      </c>
      <c r="F2292" s="3" t="s">
        <v>180</v>
      </c>
      <c r="G2292" s="7">
        <v>41933</v>
      </c>
      <c r="H2292" s="6">
        <v>6595515</v>
      </c>
      <c r="I2292" s="6">
        <v>1624630</v>
      </c>
      <c r="J2292" s="5" t="s">
        <v>207</v>
      </c>
      <c r="K2292" s="1"/>
      <c r="L2292" s="1" t="str">
        <f t="shared" si="132"/>
        <v xml:space="preserve">Käringsjön </v>
      </c>
      <c r="M2292" s="5" t="s">
        <v>213</v>
      </c>
      <c r="N2292" s="6">
        <v>3</v>
      </c>
      <c r="O2292" s="6">
        <v>3</v>
      </c>
      <c r="Q2292" s="6">
        <v>8.8000000000000007</v>
      </c>
      <c r="R2292" s="6">
        <v>5.6</v>
      </c>
      <c r="S2292" s="6">
        <v>48</v>
      </c>
    </row>
    <row r="2293" spans="1:43" x14ac:dyDescent="0.3">
      <c r="A2293" s="6">
        <v>35977</v>
      </c>
      <c r="B2293" s="5" t="s">
        <v>230</v>
      </c>
      <c r="C2293" s="5" t="s">
        <v>231</v>
      </c>
      <c r="D2293" s="2">
        <f t="shared" si="130"/>
        <v>2014</v>
      </c>
      <c r="E2293" s="2">
        <f t="shared" si="131"/>
        <v>10</v>
      </c>
      <c r="F2293" s="3" t="s">
        <v>180</v>
      </c>
      <c r="G2293" s="7">
        <v>41933</v>
      </c>
      <c r="H2293" s="6">
        <v>6595515</v>
      </c>
      <c r="I2293" s="6">
        <v>1624630</v>
      </c>
      <c r="J2293" s="5" t="s">
        <v>207</v>
      </c>
      <c r="K2293" s="1"/>
      <c r="L2293" s="1" t="str">
        <f t="shared" si="132"/>
        <v xml:space="preserve">Käringsjön </v>
      </c>
      <c r="M2293" s="1" t="s">
        <v>184</v>
      </c>
      <c r="N2293" s="6">
        <v>3.6</v>
      </c>
      <c r="O2293" s="6">
        <v>3.6</v>
      </c>
      <c r="Q2293" s="6">
        <v>8.8000000000000007</v>
      </c>
      <c r="R2293" s="6">
        <v>4.7</v>
      </c>
      <c r="S2293" s="6">
        <v>41</v>
      </c>
    </row>
    <row r="2294" spans="1:43" x14ac:dyDescent="0.3">
      <c r="A2294" s="6">
        <v>35978</v>
      </c>
      <c r="B2294" s="5" t="s">
        <v>230</v>
      </c>
      <c r="C2294" s="5" t="s">
        <v>231</v>
      </c>
      <c r="D2294" s="2">
        <f t="shared" si="130"/>
        <v>2014</v>
      </c>
      <c r="E2294" s="2">
        <f t="shared" si="131"/>
        <v>10</v>
      </c>
      <c r="F2294" s="3" t="s">
        <v>180</v>
      </c>
      <c r="G2294" s="7">
        <v>41933</v>
      </c>
      <c r="H2294" s="6">
        <v>6595470</v>
      </c>
      <c r="I2294" s="6">
        <v>1622370</v>
      </c>
      <c r="J2294" s="5" t="s">
        <v>190</v>
      </c>
      <c r="K2294" s="1"/>
      <c r="L2294" s="1" t="str">
        <f t="shared" si="132"/>
        <v xml:space="preserve">Snuggan </v>
      </c>
      <c r="M2294" s="1" t="s">
        <v>177</v>
      </c>
      <c r="N2294" s="6">
        <v>0.5</v>
      </c>
      <c r="O2294" s="6">
        <v>0.5</v>
      </c>
      <c r="P2294" s="6">
        <v>0.7</v>
      </c>
      <c r="Q2294" s="6">
        <v>9.5</v>
      </c>
      <c r="R2294" s="6">
        <v>8.6</v>
      </c>
      <c r="S2294" s="6">
        <v>76</v>
      </c>
      <c r="V2294" s="6">
        <v>9.3958064514999995E-2</v>
      </c>
      <c r="W2294" s="6">
        <v>57.744799999999998</v>
      </c>
      <c r="X2294" s="1">
        <f>W2294 * (1/((10^((0.0901821 + (2729.92 /(273.15 + Q2294)))-AE2294)+1)))</f>
        <v>6.9658330930706374E-3</v>
      </c>
      <c r="Y2294" s="6">
        <v>0.52600000000000002</v>
      </c>
      <c r="Z2294" s="6">
        <v>1.1299999999999999</v>
      </c>
      <c r="AA2294" s="6">
        <v>3.7</v>
      </c>
      <c r="AD2294" s="6">
        <v>20.52</v>
      </c>
      <c r="AE2294" s="6">
        <v>5.83</v>
      </c>
      <c r="AK2294" s="6">
        <v>36.06</v>
      </c>
      <c r="AL2294" s="6">
        <v>1071.1199999999999</v>
      </c>
      <c r="AM2294" s="6"/>
      <c r="AN2294" s="6"/>
      <c r="AO2294" s="6"/>
      <c r="AP2294" s="6"/>
      <c r="AQ2294" s="6"/>
    </row>
    <row r="2295" spans="1:43" x14ac:dyDescent="0.3">
      <c r="A2295" s="6">
        <v>35979</v>
      </c>
      <c r="B2295" s="5" t="s">
        <v>230</v>
      </c>
      <c r="C2295" s="5" t="s">
        <v>231</v>
      </c>
      <c r="D2295" s="2">
        <f t="shared" si="130"/>
        <v>2014</v>
      </c>
      <c r="E2295" s="2">
        <f t="shared" si="131"/>
        <v>10</v>
      </c>
      <c r="F2295" s="3" t="s">
        <v>180</v>
      </c>
      <c r="G2295" s="7">
        <v>41933</v>
      </c>
      <c r="H2295" s="6">
        <v>6595470</v>
      </c>
      <c r="I2295" s="6">
        <v>1622370</v>
      </c>
      <c r="J2295" s="5" t="s">
        <v>190</v>
      </c>
      <c r="K2295" s="1"/>
      <c r="L2295" s="1" t="str">
        <f t="shared" si="132"/>
        <v xml:space="preserve">Snuggan </v>
      </c>
      <c r="M2295" s="5" t="s">
        <v>211</v>
      </c>
      <c r="N2295" s="6">
        <v>1</v>
      </c>
      <c r="O2295" s="6">
        <v>1</v>
      </c>
      <c r="Q2295" s="6">
        <v>9.3000000000000007</v>
      </c>
      <c r="R2295" s="6">
        <v>8.4</v>
      </c>
      <c r="S2295" s="6">
        <v>74</v>
      </c>
    </row>
    <row r="2296" spans="1:43" x14ac:dyDescent="0.3">
      <c r="A2296" s="6">
        <v>35980</v>
      </c>
      <c r="B2296" s="5" t="s">
        <v>230</v>
      </c>
      <c r="C2296" s="5" t="s">
        <v>231</v>
      </c>
      <c r="D2296" s="2">
        <f t="shared" si="130"/>
        <v>2014</v>
      </c>
      <c r="E2296" s="2">
        <f t="shared" si="131"/>
        <v>10</v>
      </c>
      <c r="F2296" s="3" t="s">
        <v>180</v>
      </c>
      <c r="G2296" s="7">
        <v>41933</v>
      </c>
      <c r="H2296" s="6">
        <v>6595470</v>
      </c>
      <c r="I2296" s="6">
        <v>1622370</v>
      </c>
      <c r="J2296" s="5" t="s">
        <v>190</v>
      </c>
      <c r="K2296" s="1"/>
      <c r="L2296" s="1" t="str">
        <f t="shared" si="132"/>
        <v xml:space="preserve">Snuggan </v>
      </c>
      <c r="M2296" s="5" t="s">
        <v>212</v>
      </c>
      <c r="N2296" s="6">
        <v>2</v>
      </c>
      <c r="O2296" s="6">
        <v>2</v>
      </c>
      <c r="Q2296" s="6">
        <v>9</v>
      </c>
      <c r="R2296" s="6">
        <v>7.7</v>
      </c>
      <c r="S2296" s="6">
        <v>68</v>
      </c>
    </row>
    <row r="2297" spans="1:43" x14ac:dyDescent="0.3">
      <c r="A2297" s="6">
        <v>35981</v>
      </c>
      <c r="B2297" s="5" t="s">
        <v>230</v>
      </c>
      <c r="C2297" s="5" t="s">
        <v>231</v>
      </c>
      <c r="D2297" s="2">
        <f t="shared" si="130"/>
        <v>2014</v>
      </c>
      <c r="E2297" s="2">
        <f t="shared" si="131"/>
        <v>10</v>
      </c>
      <c r="F2297" s="3" t="s">
        <v>180</v>
      </c>
      <c r="G2297" s="7">
        <v>41933</v>
      </c>
      <c r="H2297" s="6">
        <v>6595470</v>
      </c>
      <c r="I2297" s="6">
        <v>1622370</v>
      </c>
      <c r="J2297" s="5" t="s">
        <v>190</v>
      </c>
      <c r="K2297" s="1"/>
      <c r="L2297" s="1" t="str">
        <f t="shared" si="132"/>
        <v xml:space="preserve">Snuggan </v>
      </c>
      <c r="M2297" s="1" t="s">
        <v>184</v>
      </c>
      <c r="N2297" s="6">
        <v>2.9</v>
      </c>
      <c r="O2297" s="6">
        <v>2.9</v>
      </c>
      <c r="Q2297" s="6">
        <v>8.9</v>
      </c>
      <c r="R2297" s="6">
        <v>6.7</v>
      </c>
      <c r="S2297" s="6">
        <v>59</v>
      </c>
    </row>
    <row r="2298" spans="1:43" x14ac:dyDescent="0.3">
      <c r="A2298" s="6">
        <v>35982</v>
      </c>
      <c r="B2298" s="5" t="s">
        <v>230</v>
      </c>
      <c r="C2298" s="5" t="s">
        <v>231</v>
      </c>
      <c r="D2298" s="2">
        <f t="shared" si="130"/>
        <v>2014</v>
      </c>
      <c r="E2298" s="2">
        <f t="shared" si="131"/>
        <v>10</v>
      </c>
      <c r="F2298" s="3" t="s">
        <v>180</v>
      </c>
      <c r="G2298" s="7">
        <v>41933</v>
      </c>
      <c r="H2298" s="6">
        <v>6594430</v>
      </c>
      <c r="I2298" s="6">
        <v>1625370</v>
      </c>
      <c r="J2298" s="5" t="s">
        <v>201</v>
      </c>
      <c r="K2298" s="1"/>
      <c r="L2298" s="1" t="str">
        <f t="shared" si="132"/>
        <v xml:space="preserve">Mörtsjön </v>
      </c>
      <c r="M2298" s="1" t="s">
        <v>177</v>
      </c>
      <c r="N2298" s="6">
        <v>0.5</v>
      </c>
      <c r="O2298" s="6">
        <v>0.5</v>
      </c>
      <c r="P2298" s="6">
        <v>1.8</v>
      </c>
      <c r="Q2298" s="6">
        <v>9.8000000000000007</v>
      </c>
      <c r="R2298" s="6">
        <v>7.9</v>
      </c>
      <c r="S2298" s="6">
        <v>71</v>
      </c>
      <c r="V2298" s="6">
        <v>1.6417935483999999</v>
      </c>
      <c r="W2298" s="6">
        <v>21.823</v>
      </c>
      <c r="X2298" s="1">
        <f>W2298 * (1/((10^((0.0901821 + (2729.92 /(273.15 + Q2298)))-AE2298)+1)))</f>
        <v>0.12252427055506601</v>
      </c>
      <c r="Y2298" s="6">
        <v>0.109</v>
      </c>
      <c r="Z2298" s="6">
        <v>0.47</v>
      </c>
      <c r="AA2298" s="6">
        <v>5.2</v>
      </c>
      <c r="AD2298" s="6">
        <v>157.30000000000001</v>
      </c>
      <c r="AE2298" s="6">
        <v>7.49</v>
      </c>
      <c r="AK2298" s="6">
        <v>30.9</v>
      </c>
      <c r="AL2298" s="6">
        <v>903.49</v>
      </c>
      <c r="AM2298" s="6"/>
      <c r="AN2298" s="6"/>
      <c r="AO2298" s="6"/>
      <c r="AP2298" s="6"/>
      <c r="AQ2298" s="6"/>
    </row>
    <row r="2299" spans="1:43" x14ac:dyDescent="0.3">
      <c r="A2299" s="6">
        <v>35983</v>
      </c>
      <c r="B2299" s="5" t="s">
        <v>230</v>
      </c>
      <c r="C2299" s="5" t="s">
        <v>231</v>
      </c>
      <c r="D2299" s="2">
        <f t="shared" si="130"/>
        <v>2014</v>
      </c>
      <c r="E2299" s="2">
        <f t="shared" si="131"/>
        <v>10</v>
      </c>
      <c r="F2299" s="3" t="s">
        <v>180</v>
      </c>
      <c r="G2299" s="7">
        <v>41933</v>
      </c>
      <c r="H2299" s="6">
        <v>6594430</v>
      </c>
      <c r="I2299" s="6">
        <v>1625370</v>
      </c>
      <c r="J2299" s="5" t="s">
        <v>201</v>
      </c>
      <c r="K2299" s="1"/>
      <c r="L2299" s="1" t="str">
        <f t="shared" si="132"/>
        <v xml:space="preserve">Mörtsjön </v>
      </c>
      <c r="M2299" s="5" t="s">
        <v>211</v>
      </c>
      <c r="N2299" s="6">
        <v>1</v>
      </c>
      <c r="O2299" s="6">
        <v>1</v>
      </c>
      <c r="Q2299" s="6">
        <v>9.6999999999999993</v>
      </c>
      <c r="R2299" s="6">
        <v>7.7</v>
      </c>
      <c r="S2299" s="6">
        <v>68</v>
      </c>
    </row>
    <row r="2300" spans="1:43" x14ac:dyDescent="0.3">
      <c r="A2300" s="6">
        <v>35984</v>
      </c>
      <c r="B2300" s="5" t="s">
        <v>230</v>
      </c>
      <c r="C2300" s="5" t="s">
        <v>231</v>
      </c>
      <c r="D2300" s="2">
        <f t="shared" si="130"/>
        <v>2014</v>
      </c>
      <c r="E2300" s="2">
        <f t="shared" si="131"/>
        <v>10</v>
      </c>
      <c r="F2300" s="3" t="s">
        <v>180</v>
      </c>
      <c r="G2300" s="7">
        <v>41933</v>
      </c>
      <c r="H2300" s="6">
        <v>6594430</v>
      </c>
      <c r="I2300" s="6">
        <v>1625370</v>
      </c>
      <c r="J2300" s="5" t="s">
        <v>201</v>
      </c>
      <c r="K2300" s="1"/>
      <c r="L2300" s="1" t="str">
        <f t="shared" si="132"/>
        <v xml:space="preserve">Mörtsjön </v>
      </c>
      <c r="M2300" s="5" t="s">
        <v>212</v>
      </c>
      <c r="N2300" s="6">
        <v>2</v>
      </c>
      <c r="O2300" s="6">
        <v>2</v>
      </c>
      <c r="Q2300" s="6">
        <v>9.6</v>
      </c>
      <c r="R2300" s="6">
        <v>6.7</v>
      </c>
      <c r="S2300" s="6">
        <v>59</v>
      </c>
    </row>
    <row r="2301" spans="1:43" x14ac:dyDescent="0.3">
      <c r="A2301" s="6">
        <v>35985</v>
      </c>
      <c r="B2301" s="5" t="s">
        <v>230</v>
      </c>
      <c r="C2301" s="5" t="s">
        <v>231</v>
      </c>
      <c r="D2301" s="2">
        <f t="shared" si="130"/>
        <v>2014</v>
      </c>
      <c r="E2301" s="2">
        <f t="shared" si="131"/>
        <v>10</v>
      </c>
      <c r="F2301" s="3" t="s">
        <v>180</v>
      </c>
      <c r="G2301" s="7">
        <v>41933</v>
      </c>
      <c r="H2301" s="6">
        <v>6594430</v>
      </c>
      <c r="I2301" s="6">
        <v>1625370</v>
      </c>
      <c r="J2301" s="5" t="s">
        <v>201</v>
      </c>
      <c r="K2301" s="1"/>
      <c r="L2301" s="1" t="str">
        <f t="shared" si="132"/>
        <v xml:space="preserve">Mörtsjön </v>
      </c>
      <c r="M2301" s="5" t="s">
        <v>213</v>
      </c>
      <c r="N2301" s="6">
        <v>3</v>
      </c>
      <c r="O2301" s="6">
        <v>3</v>
      </c>
      <c r="Q2301" s="6">
        <v>9.5</v>
      </c>
      <c r="R2301" s="6">
        <v>6.2</v>
      </c>
      <c r="S2301" s="6">
        <v>55</v>
      </c>
    </row>
    <row r="2302" spans="1:43" x14ac:dyDescent="0.3">
      <c r="A2302" s="6">
        <v>35986</v>
      </c>
      <c r="B2302" s="5" t="s">
        <v>230</v>
      </c>
      <c r="C2302" s="5" t="s">
        <v>231</v>
      </c>
      <c r="D2302" s="2">
        <f t="shared" si="130"/>
        <v>2014</v>
      </c>
      <c r="E2302" s="2">
        <f t="shared" si="131"/>
        <v>10</v>
      </c>
      <c r="F2302" s="3" t="s">
        <v>180</v>
      </c>
      <c r="G2302" s="7">
        <v>41933</v>
      </c>
      <c r="H2302" s="6">
        <v>6594430</v>
      </c>
      <c r="I2302" s="6">
        <v>1625370</v>
      </c>
      <c r="J2302" s="5" t="s">
        <v>201</v>
      </c>
      <c r="K2302" s="1"/>
      <c r="L2302" s="1" t="str">
        <f t="shared" si="132"/>
        <v xml:space="preserve">Mörtsjön </v>
      </c>
      <c r="M2302" s="5" t="s">
        <v>214</v>
      </c>
      <c r="N2302" s="6">
        <v>4</v>
      </c>
      <c r="O2302" s="6">
        <v>4</v>
      </c>
      <c r="Q2302" s="6">
        <v>9.5</v>
      </c>
      <c r="R2302" s="6">
        <v>6.2</v>
      </c>
      <c r="S2302" s="6">
        <v>55</v>
      </c>
    </row>
    <row r="2303" spans="1:43" x14ac:dyDescent="0.3">
      <c r="A2303" s="6">
        <v>35987</v>
      </c>
      <c r="B2303" s="5" t="s">
        <v>230</v>
      </c>
      <c r="C2303" s="5" t="s">
        <v>231</v>
      </c>
      <c r="D2303" s="2">
        <f t="shared" si="130"/>
        <v>2014</v>
      </c>
      <c r="E2303" s="2">
        <f t="shared" si="131"/>
        <v>10</v>
      </c>
      <c r="F2303" s="3" t="s">
        <v>180</v>
      </c>
      <c r="G2303" s="7">
        <v>41933</v>
      </c>
      <c r="H2303" s="6">
        <v>6594430</v>
      </c>
      <c r="I2303" s="6">
        <v>1625370</v>
      </c>
      <c r="J2303" s="5" t="s">
        <v>201</v>
      </c>
      <c r="K2303" s="1"/>
      <c r="L2303" s="1" t="str">
        <f t="shared" si="132"/>
        <v xml:space="preserve">Mörtsjön </v>
      </c>
      <c r="M2303" s="1" t="s">
        <v>184</v>
      </c>
      <c r="N2303" s="6">
        <v>4.3</v>
      </c>
      <c r="O2303" s="6">
        <v>4.3</v>
      </c>
      <c r="Q2303" s="6">
        <v>9.5</v>
      </c>
      <c r="R2303" s="6">
        <v>6.2</v>
      </c>
      <c r="S2303" s="6">
        <v>54</v>
      </c>
    </row>
    <row r="2304" spans="1:43" x14ac:dyDescent="0.3">
      <c r="A2304" s="1">
        <v>36025</v>
      </c>
      <c r="B2304" s="1" t="s">
        <v>232</v>
      </c>
      <c r="C2304" s="1" t="s">
        <v>209</v>
      </c>
      <c r="D2304" s="2">
        <f t="shared" si="130"/>
        <v>2014</v>
      </c>
      <c r="E2304" s="2">
        <f t="shared" si="131"/>
        <v>10</v>
      </c>
      <c r="F2304" s="3" t="s">
        <v>180</v>
      </c>
      <c r="G2304" s="4">
        <v>41933</v>
      </c>
      <c r="H2304" s="1">
        <v>6600935</v>
      </c>
      <c r="I2304" s="1">
        <v>1626764</v>
      </c>
      <c r="J2304" s="1" t="s">
        <v>191</v>
      </c>
      <c r="K2304" s="1" t="s">
        <v>210</v>
      </c>
      <c r="L2304" s="1" t="str">
        <f t="shared" si="132"/>
        <v>Vallentunasjön Va2</v>
      </c>
      <c r="M2304" s="1" t="s">
        <v>177</v>
      </c>
      <c r="N2304" s="1">
        <v>0.5</v>
      </c>
      <c r="O2304" s="1">
        <v>0.5</v>
      </c>
      <c r="P2304" s="1">
        <v>0.9</v>
      </c>
      <c r="Q2304" s="1">
        <v>9.6999999999999993</v>
      </c>
      <c r="R2304" s="1">
        <v>9.8000000000000007</v>
      </c>
      <c r="S2304" s="1">
        <v>87</v>
      </c>
    </row>
    <row r="2305" spans="1:51" x14ac:dyDescent="0.3">
      <c r="A2305" s="1">
        <v>36026</v>
      </c>
      <c r="B2305" s="1" t="s">
        <v>232</v>
      </c>
      <c r="C2305" s="1" t="s">
        <v>209</v>
      </c>
      <c r="D2305" s="2">
        <f t="shared" si="130"/>
        <v>2014</v>
      </c>
      <c r="E2305" s="2">
        <f t="shared" si="131"/>
        <v>10</v>
      </c>
      <c r="F2305" s="3" t="s">
        <v>180</v>
      </c>
      <c r="G2305" s="4">
        <v>41933</v>
      </c>
      <c r="H2305" s="1">
        <v>6600935</v>
      </c>
      <c r="I2305" s="1">
        <v>1626764</v>
      </c>
      <c r="J2305" s="1" t="s">
        <v>191</v>
      </c>
      <c r="K2305" s="1" t="s">
        <v>210</v>
      </c>
      <c r="L2305" s="1" t="str">
        <f t="shared" si="132"/>
        <v>Vallentunasjön Va2</v>
      </c>
      <c r="M2305" s="1" t="s">
        <v>211</v>
      </c>
      <c r="N2305" s="1">
        <v>1</v>
      </c>
      <c r="O2305" s="1">
        <v>1</v>
      </c>
      <c r="Q2305" s="1">
        <v>9.6</v>
      </c>
      <c r="R2305" s="1">
        <v>9.9</v>
      </c>
      <c r="S2305" s="1">
        <v>87</v>
      </c>
    </row>
    <row r="2306" spans="1:51" x14ac:dyDescent="0.3">
      <c r="A2306" s="1">
        <v>36027</v>
      </c>
      <c r="B2306" s="1" t="s">
        <v>232</v>
      </c>
      <c r="C2306" s="1" t="s">
        <v>209</v>
      </c>
      <c r="D2306" s="2">
        <f t="shared" ref="D2306:D2369" si="133">YEAR(G2306)</f>
        <v>2014</v>
      </c>
      <c r="E2306" s="2">
        <f t="shared" ref="E2306:E2369" si="134">MONTH(G2306)</f>
        <v>10</v>
      </c>
      <c r="F2306" s="3" t="s">
        <v>180</v>
      </c>
      <c r="G2306" s="4">
        <v>41933</v>
      </c>
      <c r="H2306" s="1">
        <v>6600935</v>
      </c>
      <c r="I2306" s="1">
        <v>1626764</v>
      </c>
      <c r="J2306" s="1" t="s">
        <v>191</v>
      </c>
      <c r="K2306" s="1" t="s">
        <v>210</v>
      </c>
      <c r="L2306" s="1" t="str">
        <f t="shared" ref="L2306:L2369" si="135">CONCATENATE(J2306," ",K2306)</f>
        <v>Vallentunasjön Va2</v>
      </c>
      <c r="M2306" s="1" t="s">
        <v>212</v>
      </c>
      <c r="N2306" s="1">
        <v>2</v>
      </c>
      <c r="O2306" s="1">
        <v>2</v>
      </c>
      <c r="Q2306" s="1">
        <v>9.6</v>
      </c>
      <c r="R2306" s="1">
        <v>9.8000000000000007</v>
      </c>
      <c r="S2306" s="1">
        <v>87</v>
      </c>
    </row>
    <row r="2307" spans="1:51" x14ac:dyDescent="0.3">
      <c r="A2307" s="1">
        <v>36028</v>
      </c>
      <c r="B2307" s="1" t="s">
        <v>232</v>
      </c>
      <c r="C2307" s="1" t="s">
        <v>209</v>
      </c>
      <c r="D2307" s="2">
        <f t="shared" si="133"/>
        <v>2014</v>
      </c>
      <c r="E2307" s="2">
        <f t="shared" si="134"/>
        <v>10</v>
      </c>
      <c r="F2307" s="3" t="s">
        <v>180</v>
      </c>
      <c r="G2307" s="4">
        <v>41933</v>
      </c>
      <c r="H2307" s="1">
        <v>6600935</v>
      </c>
      <c r="I2307" s="1">
        <v>1626764</v>
      </c>
      <c r="J2307" s="1" t="s">
        <v>191</v>
      </c>
      <c r="K2307" s="1" t="s">
        <v>210</v>
      </c>
      <c r="L2307" s="1" t="str">
        <f t="shared" si="135"/>
        <v>Vallentunasjön Va2</v>
      </c>
      <c r="M2307" s="1" t="s">
        <v>213</v>
      </c>
      <c r="N2307" s="1">
        <v>3</v>
      </c>
      <c r="O2307" s="1">
        <v>3</v>
      </c>
      <c r="Q2307" s="1">
        <v>9.5</v>
      </c>
      <c r="R2307" s="1">
        <v>9.8000000000000007</v>
      </c>
      <c r="S2307" s="1">
        <v>86</v>
      </c>
    </row>
    <row r="2308" spans="1:51" x14ac:dyDescent="0.3">
      <c r="A2308" s="1">
        <v>36029</v>
      </c>
      <c r="B2308" s="1" t="s">
        <v>232</v>
      </c>
      <c r="C2308" s="1" t="s">
        <v>209</v>
      </c>
      <c r="D2308" s="2">
        <f t="shared" si="133"/>
        <v>2014</v>
      </c>
      <c r="E2308" s="2">
        <f t="shared" si="134"/>
        <v>10</v>
      </c>
      <c r="F2308" s="3" t="s">
        <v>180</v>
      </c>
      <c r="G2308" s="4">
        <v>41933</v>
      </c>
      <c r="H2308" s="1">
        <v>6600935</v>
      </c>
      <c r="I2308" s="1">
        <v>1626764</v>
      </c>
      <c r="J2308" s="1" t="s">
        <v>191</v>
      </c>
      <c r="K2308" s="1" t="s">
        <v>210</v>
      </c>
      <c r="L2308" s="1" t="str">
        <f t="shared" si="135"/>
        <v>Vallentunasjön Va2</v>
      </c>
      <c r="M2308" s="1" t="s">
        <v>214</v>
      </c>
      <c r="N2308" s="1">
        <v>4</v>
      </c>
      <c r="O2308" s="1">
        <v>4</v>
      </c>
      <c r="Q2308" s="1">
        <v>9.4</v>
      </c>
      <c r="R2308" s="1">
        <v>9.5</v>
      </c>
      <c r="S2308" s="1">
        <v>84</v>
      </c>
    </row>
    <row r="2309" spans="1:51" x14ac:dyDescent="0.3">
      <c r="A2309" s="1">
        <v>36030</v>
      </c>
      <c r="B2309" s="1" t="s">
        <v>232</v>
      </c>
      <c r="C2309" s="1" t="s">
        <v>209</v>
      </c>
      <c r="D2309" s="2">
        <f t="shared" si="133"/>
        <v>2014</v>
      </c>
      <c r="E2309" s="2">
        <f t="shared" si="134"/>
        <v>10</v>
      </c>
      <c r="F2309" s="3" t="s">
        <v>180</v>
      </c>
      <c r="G2309" s="4">
        <v>41933</v>
      </c>
      <c r="H2309" s="1">
        <v>6600935</v>
      </c>
      <c r="I2309" s="1">
        <v>1626764</v>
      </c>
      <c r="J2309" s="1" t="s">
        <v>191</v>
      </c>
      <c r="K2309" s="1" t="s">
        <v>210</v>
      </c>
      <c r="L2309" s="1" t="str">
        <f t="shared" si="135"/>
        <v>Vallentunasjön Va2</v>
      </c>
      <c r="M2309" s="1" t="s">
        <v>184</v>
      </c>
      <c r="N2309" s="1">
        <v>4.5</v>
      </c>
      <c r="O2309" s="1">
        <v>4.5</v>
      </c>
      <c r="Q2309" s="1">
        <v>9.4</v>
      </c>
      <c r="R2309" s="1">
        <v>9.5</v>
      </c>
      <c r="S2309" s="1">
        <v>84</v>
      </c>
    </row>
    <row r="2310" spans="1:51" x14ac:dyDescent="0.3">
      <c r="A2310" s="1">
        <v>36031</v>
      </c>
      <c r="B2310" s="1" t="s">
        <v>232</v>
      </c>
      <c r="C2310" s="1" t="s">
        <v>209</v>
      </c>
      <c r="D2310" s="2">
        <f t="shared" si="133"/>
        <v>2014</v>
      </c>
      <c r="E2310" s="2">
        <f t="shared" si="134"/>
        <v>10</v>
      </c>
      <c r="F2310" s="3" t="s">
        <v>180</v>
      </c>
      <c r="G2310" s="4">
        <v>41933</v>
      </c>
      <c r="J2310" s="1" t="s">
        <v>191</v>
      </c>
      <c r="K2310" s="1" t="s">
        <v>206</v>
      </c>
      <c r="L2310" s="1" t="str">
        <f t="shared" si="135"/>
        <v>Vallentunasjön Blandprov</v>
      </c>
      <c r="M2310" s="1" t="s">
        <v>177</v>
      </c>
      <c r="N2310" s="1">
        <v>4</v>
      </c>
      <c r="O2310" s="1">
        <v>0</v>
      </c>
      <c r="W2310" s="1">
        <v>51.154699999999998</v>
      </c>
      <c r="Z2310" s="1">
        <v>2.2800000000000002</v>
      </c>
      <c r="AB2310" s="1">
        <v>48.397500000000001</v>
      </c>
      <c r="AD2310" s="1">
        <v>30.67</v>
      </c>
      <c r="AG2310" s="1">
        <v>14.5</v>
      </c>
      <c r="AK2310" s="1">
        <v>57.52</v>
      </c>
      <c r="AL2310" s="1">
        <v>1345.3</v>
      </c>
    </row>
    <row r="2311" spans="1:51" x14ac:dyDescent="0.3">
      <c r="A2311" s="1">
        <v>36549</v>
      </c>
      <c r="B2311" s="1" t="s">
        <v>232</v>
      </c>
      <c r="C2311" s="1" t="s">
        <v>209</v>
      </c>
      <c r="D2311" s="2">
        <f t="shared" si="133"/>
        <v>2014</v>
      </c>
      <c r="E2311" s="2">
        <f t="shared" si="134"/>
        <v>11</v>
      </c>
      <c r="F2311" s="3" t="s">
        <v>180</v>
      </c>
      <c r="G2311" s="4">
        <v>41954</v>
      </c>
      <c r="H2311" s="1">
        <v>6600935</v>
      </c>
      <c r="I2311" s="1">
        <v>1626764</v>
      </c>
      <c r="J2311" s="1" t="s">
        <v>191</v>
      </c>
      <c r="K2311" s="1" t="s">
        <v>210</v>
      </c>
      <c r="L2311" s="1" t="str">
        <f t="shared" si="135"/>
        <v>Vallentunasjön Va2</v>
      </c>
      <c r="M2311" s="1" t="s">
        <v>177</v>
      </c>
      <c r="N2311" s="1">
        <v>0.5</v>
      </c>
      <c r="O2311" s="1">
        <v>0.5</v>
      </c>
      <c r="P2311" s="1">
        <v>0.8</v>
      </c>
      <c r="Q2311" s="1">
        <v>6.8</v>
      </c>
      <c r="R2311" s="1">
        <v>10.6</v>
      </c>
      <c r="S2311" s="1">
        <v>87</v>
      </c>
    </row>
    <row r="2312" spans="1:51" x14ac:dyDescent="0.3">
      <c r="A2312" s="1">
        <v>36550</v>
      </c>
      <c r="B2312" s="1" t="s">
        <v>232</v>
      </c>
      <c r="C2312" s="1" t="s">
        <v>209</v>
      </c>
      <c r="D2312" s="2">
        <f t="shared" si="133"/>
        <v>2014</v>
      </c>
      <c r="E2312" s="2">
        <f t="shared" si="134"/>
        <v>11</v>
      </c>
      <c r="F2312" s="3" t="s">
        <v>180</v>
      </c>
      <c r="G2312" s="4">
        <v>41954</v>
      </c>
      <c r="H2312" s="1">
        <v>6600935</v>
      </c>
      <c r="I2312" s="1">
        <v>1626764</v>
      </c>
      <c r="J2312" s="1" t="s">
        <v>191</v>
      </c>
      <c r="K2312" s="1" t="s">
        <v>210</v>
      </c>
      <c r="L2312" s="1" t="str">
        <f t="shared" si="135"/>
        <v>Vallentunasjön Va2</v>
      </c>
      <c r="M2312" s="1" t="s">
        <v>211</v>
      </c>
      <c r="N2312" s="1">
        <v>1</v>
      </c>
      <c r="O2312" s="1">
        <v>1</v>
      </c>
      <c r="Q2312" s="1">
        <v>6.6</v>
      </c>
      <c r="R2312" s="1">
        <v>10.7</v>
      </c>
      <c r="S2312" s="1">
        <v>88</v>
      </c>
    </row>
    <row r="2313" spans="1:51" x14ac:dyDescent="0.3">
      <c r="A2313" s="1">
        <v>36551</v>
      </c>
      <c r="B2313" s="1" t="s">
        <v>232</v>
      </c>
      <c r="C2313" s="1" t="s">
        <v>209</v>
      </c>
      <c r="D2313" s="2">
        <f t="shared" si="133"/>
        <v>2014</v>
      </c>
      <c r="E2313" s="2">
        <f t="shared" si="134"/>
        <v>11</v>
      </c>
      <c r="F2313" s="3" t="s">
        <v>180</v>
      </c>
      <c r="G2313" s="4">
        <v>41954</v>
      </c>
      <c r="H2313" s="1">
        <v>6600935</v>
      </c>
      <c r="I2313" s="1">
        <v>1626764</v>
      </c>
      <c r="J2313" s="1" t="s">
        <v>191</v>
      </c>
      <c r="K2313" s="1" t="s">
        <v>210</v>
      </c>
      <c r="L2313" s="1" t="str">
        <f t="shared" si="135"/>
        <v>Vallentunasjön Va2</v>
      </c>
      <c r="M2313" s="1" t="s">
        <v>212</v>
      </c>
      <c r="N2313" s="1">
        <v>2</v>
      </c>
      <c r="O2313" s="1">
        <v>2</v>
      </c>
      <c r="Q2313" s="1">
        <v>6.4</v>
      </c>
      <c r="R2313" s="1">
        <v>11</v>
      </c>
      <c r="S2313" s="1">
        <v>89</v>
      </c>
    </row>
    <row r="2314" spans="1:51" x14ac:dyDescent="0.3">
      <c r="A2314" s="1">
        <v>36552</v>
      </c>
      <c r="B2314" s="1" t="s">
        <v>232</v>
      </c>
      <c r="C2314" s="1" t="s">
        <v>209</v>
      </c>
      <c r="D2314" s="2">
        <f t="shared" si="133"/>
        <v>2014</v>
      </c>
      <c r="E2314" s="2">
        <f t="shared" si="134"/>
        <v>11</v>
      </c>
      <c r="F2314" s="3" t="s">
        <v>180</v>
      </c>
      <c r="G2314" s="4">
        <v>41954</v>
      </c>
      <c r="H2314" s="1">
        <v>6600935</v>
      </c>
      <c r="I2314" s="1">
        <v>1626764</v>
      </c>
      <c r="J2314" s="1" t="s">
        <v>191</v>
      </c>
      <c r="K2314" s="1" t="s">
        <v>210</v>
      </c>
      <c r="L2314" s="1" t="str">
        <f t="shared" si="135"/>
        <v>Vallentunasjön Va2</v>
      </c>
      <c r="M2314" s="1" t="s">
        <v>213</v>
      </c>
      <c r="N2314" s="1">
        <v>3</v>
      </c>
      <c r="O2314" s="1">
        <v>3</v>
      </c>
      <c r="Q2314" s="1">
        <v>6.4</v>
      </c>
      <c r="R2314" s="1">
        <v>11.2</v>
      </c>
      <c r="S2314" s="1">
        <v>91</v>
      </c>
    </row>
    <row r="2315" spans="1:51" x14ac:dyDescent="0.3">
      <c r="A2315" s="1">
        <v>36553</v>
      </c>
      <c r="B2315" s="1" t="s">
        <v>232</v>
      </c>
      <c r="C2315" s="1" t="s">
        <v>209</v>
      </c>
      <c r="D2315" s="2">
        <f t="shared" si="133"/>
        <v>2014</v>
      </c>
      <c r="E2315" s="2">
        <f t="shared" si="134"/>
        <v>11</v>
      </c>
      <c r="F2315" s="3" t="s">
        <v>180</v>
      </c>
      <c r="G2315" s="4">
        <v>41954</v>
      </c>
      <c r="H2315" s="1">
        <v>6600935</v>
      </c>
      <c r="I2315" s="1">
        <v>1626764</v>
      </c>
      <c r="J2315" s="1" t="s">
        <v>191</v>
      </c>
      <c r="K2315" s="1" t="s">
        <v>210</v>
      </c>
      <c r="L2315" s="1" t="str">
        <f t="shared" si="135"/>
        <v>Vallentunasjön Va2</v>
      </c>
      <c r="M2315" s="1" t="s">
        <v>214</v>
      </c>
      <c r="N2315" s="1">
        <v>4</v>
      </c>
      <c r="O2315" s="1">
        <v>4</v>
      </c>
      <c r="Q2315" s="1">
        <v>6.4</v>
      </c>
      <c r="R2315" s="1">
        <v>11.2</v>
      </c>
      <c r="S2315" s="1">
        <v>92</v>
      </c>
    </row>
    <row r="2316" spans="1:51" x14ac:dyDescent="0.3">
      <c r="A2316" s="1">
        <v>36554</v>
      </c>
      <c r="B2316" s="1" t="s">
        <v>232</v>
      </c>
      <c r="C2316" s="1" t="s">
        <v>209</v>
      </c>
      <c r="D2316" s="2">
        <f t="shared" si="133"/>
        <v>2014</v>
      </c>
      <c r="E2316" s="2">
        <f t="shared" si="134"/>
        <v>11</v>
      </c>
      <c r="F2316" s="3" t="s">
        <v>180</v>
      </c>
      <c r="G2316" s="4">
        <v>41954</v>
      </c>
      <c r="H2316" s="1">
        <v>6600935</v>
      </c>
      <c r="I2316" s="1">
        <v>1626764</v>
      </c>
      <c r="J2316" s="1" t="s">
        <v>191</v>
      </c>
      <c r="K2316" s="1" t="s">
        <v>210</v>
      </c>
      <c r="L2316" s="1" t="str">
        <f t="shared" si="135"/>
        <v>Vallentunasjön Va2</v>
      </c>
      <c r="M2316" s="1" t="s">
        <v>184</v>
      </c>
      <c r="N2316" s="1">
        <v>4.5</v>
      </c>
      <c r="O2316" s="1">
        <v>4.5</v>
      </c>
      <c r="Q2316" s="1">
        <v>6.5</v>
      </c>
      <c r="R2316" s="1">
        <v>11.2</v>
      </c>
      <c r="S2316" s="1">
        <v>92</v>
      </c>
    </row>
    <row r="2317" spans="1:51" x14ac:dyDescent="0.3">
      <c r="A2317" s="1">
        <v>36555</v>
      </c>
      <c r="B2317" s="1" t="s">
        <v>232</v>
      </c>
      <c r="C2317" s="1" t="s">
        <v>209</v>
      </c>
      <c r="D2317" s="2">
        <f t="shared" si="133"/>
        <v>2014</v>
      </c>
      <c r="E2317" s="2">
        <f t="shared" si="134"/>
        <v>11</v>
      </c>
      <c r="F2317" s="3" t="s">
        <v>180</v>
      </c>
      <c r="G2317" s="4">
        <v>41954</v>
      </c>
      <c r="J2317" s="1" t="s">
        <v>191</v>
      </c>
      <c r="K2317" s="1" t="s">
        <v>206</v>
      </c>
      <c r="L2317" s="1" t="str">
        <f t="shared" si="135"/>
        <v>Vallentunasjön Blandprov</v>
      </c>
      <c r="M2317" s="1" t="s">
        <v>177</v>
      </c>
      <c r="N2317" s="1">
        <v>4</v>
      </c>
      <c r="O2317" s="1">
        <v>0</v>
      </c>
      <c r="W2317" s="1">
        <v>189.4684</v>
      </c>
      <c r="Z2317" s="1">
        <v>7.24</v>
      </c>
      <c r="AB2317" s="1">
        <v>56.641500000000001</v>
      </c>
      <c r="AD2317" s="1">
        <v>44.64</v>
      </c>
      <c r="AG2317" s="1">
        <v>17</v>
      </c>
      <c r="AK2317" s="1">
        <v>53.4</v>
      </c>
      <c r="AL2317" s="1">
        <v>1400.05</v>
      </c>
    </row>
    <row r="2318" spans="1:51" x14ac:dyDescent="0.3">
      <c r="D2318" s="2">
        <f t="shared" si="133"/>
        <v>2014</v>
      </c>
      <c r="E2318" s="2">
        <f t="shared" si="134"/>
        <v>11</v>
      </c>
      <c r="F2318" s="3" t="s">
        <v>180</v>
      </c>
      <c r="G2318" s="4">
        <v>41961</v>
      </c>
      <c r="H2318" s="1">
        <v>6606238</v>
      </c>
      <c r="I2318" s="1">
        <v>661152</v>
      </c>
      <c r="J2318" s="5" t="s">
        <v>176</v>
      </c>
      <c r="K2318" s="1"/>
      <c r="L2318" s="1" t="str">
        <f t="shared" si="135"/>
        <v xml:space="preserve">Oxundaån </v>
      </c>
      <c r="M2318" s="1" t="s">
        <v>177</v>
      </c>
      <c r="N2318" s="1">
        <v>0.5</v>
      </c>
      <c r="O2318" s="1">
        <v>0.5</v>
      </c>
      <c r="Q2318" s="1">
        <v>5.7</v>
      </c>
      <c r="T2318" s="1">
        <v>48.7</v>
      </c>
      <c r="V2318" s="1">
        <v>2.5150000000000001</v>
      </c>
      <c r="W2318" s="1">
        <v>118</v>
      </c>
      <c r="X2318" s="1">
        <f>W2318 * (1/((10^((0.0901821 + (2729.92 /(273.15 + Q2318)))-AE2318)+1)))</f>
        <v>0.9731516238921053</v>
      </c>
      <c r="Y2318" s="1">
        <v>4.5999999999999999E-2</v>
      </c>
      <c r="Z2318" s="1">
        <v>54</v>
      </c>
      <c r="AA2318" s="1">
        <v>3.6</v>
      </c>
      <c r="AD2318" s="1">
        <v>306</v>
      </c>
      <c r="AE2318" s="1">
        <v>7.8</v>
      </c>
      <c r="AI2318" s="1">
        <v>10.6</v>
      </c>
      <c r="AK2318" s="1">
        <v>69.8</v>
      </c>
      <c r="AL2318" s="1">
        <v>943</v>
      </c>
      <c r="AR2318" s="1">
        <v>53.2</v>
      </c>
      <c r="AT2318" s="1">
        <v>5.5130999999999997</v>
      </c>
      <c r="AU2318" s="1">
        <v>9.1596999999999991</v>
      </c>
      <c r="AV2318" s="1">
        <v>38.073300000000003</v>
      </c>
      <c r="AW2318" s="1">
        <v>27.069199999999999</v>
      </c>
      <c r="AX2318" s="1">
        <v>49.731749999999991</v>
      </c>
      <c r="AY2318" s="1">
        <v>2.4</v>
      </c>
    </row>
    <row r="2319" spans="1:51" x14ac:dyDescent="0.3">
      <c r="A2319" s="1">
        <v>36803</v>
      </c>
      <c r="B2319" s="1" t="s">
        <v>232</v>
      </c>
      <c r="C2319" s="1" t="s">
        <v>209</v>
      </c>
      <c r="D2319" s="2">
        <f t="shared" si="133"/>
        <v>2014</v>
      </c>
      <c r="E2319" s="2">
        <f t="shared" si="134"/>
        <v>12</v>
      </c>
      <c r="F2319" s="3" t="s">
        <v>175</v>
      </c>
      <c r="G2319" s="4">
        <v>41982</v>
      </c>
      <c r="H2319" s="1">
        <v>6600935</v>
      </c>
      <c r="I2319" s="1">
        <v>1626764</v>
      </c>
      <c r="J2319" s="1" t="s">
        <v>191</v>
      </c>
      <c r="K2319" s="1" t="s">
        <v>210</v>
      </c>
      <c r="L2319" s="1" t="str">
        <f t="shared" si="135"/>
        <v>Vallentunasjön Va2</v>
      </c>
      <c r="M2319" s="1" t="s">
        <v>177</v>
      </c>
      <c r="N2319" s="1">
        <v>0.5</v>
      </c>
      <c r="O2319" s="1">
        <v>0.5</v>
      </c>
      <c r="P2319" s="1">
        <v>1.2</v>
      </c>
      <c r="Q2319" s="1">
        <v>2</v>
      </c>
      <c r="R2319" s="1">
        <v>12.9</v>
      </c>
      <c r="S2319" s="1">
        <v>93</v>
      </c>
    </row>
    <row r="2320" spans="1:51" x14ac:dyDescent="0.3">
      <c r="A2320" s="1">
        <v>36804</v>
      </c>
      <c r="B2320" s="1" t="s">
        <v>232</v>
      </c>
      <c r="C2320" s="1" t="s">
        <v>209</v>
      </c>
      <c r="D2320" s="2">
        <f t="shared" si="133"/>
        <v>2014</v>
      </c>
      <c r="E2320" s="2">
        <f t="shared" si="134"/>
        <v>12</v>
      </c>
      <c r="F2320" s="3" t="s">
        <v>175</v>
      </c>
      <c r="G2320" s="4">
        <v>41982</v>
      </c>
      <c r="H2320" s="1">
        <v>6600935</v>
      </c>
      <c r="I2320" s="1">
        <v>1626764</v>
      </c>
      <c r="J2320" s="1" t="s">
        <v>191</v>
      </c>
      <c r="K2320" s="1" t="s">
        <v>210</v>
      </c>
      <c r="L2320" s="1" t="str">
        <f t="shared" si="135"/>
        <v>Vallentunasjön Va2</v>
      </c>
      <c r="M2320" s="1" t="s">
        <v>211</v>
      </c>
      <c r="N2320" s="1">
        <v>1</v>
      </c>
      <c r="O2320" s="1">
        <v>1</v>
      </c>
      <c r="Q2320" s="1">
        <v>2</v>
      </c>
      <c r="R2320" s="1">
        <v>12.9</v>
      </c>
      <c r="S2320" s="1">
        <v>93</v>
      </c>
    </row>
    <row r="2321" spans="1:52" x14ac:dyDescent="0.3">
      <c r="A2321" s="1">
        <v>36805</v>
      </c>
      <c r="B2321" s="1" t="s">
        <v>232</v>
      </c>
      <c r="C2321" s="1" t="s">
        <v>209</v>
      </c>
      <c r="D2321" s="2">
        <f t="shared" si="133"/>
        <v>2014</v>
      </c>
      <c r="E2321" s="2">
        <f t="shared" si="134"/>
        <v>12</v>
      </c>
      <c r="F2321" s="3" t="s">
        <v>175</v>
      </c>
      <c r="G2321" s="4">
        <v>41982</v>
      </c>
      <c r="H2321" s="1">
        <v>6600935</v>
      </c>
      <c r="I2321" s="1">
        <v>1626764</v>
      </c>
      <c r="J2321" s="1" t="s">
        <v>191</v>
      </c>
      <c r="K2321" s="1" t="s">
        <v>210</v>
      </c>
      <c r="L2321" s="1" t="str">
        <f t="shared" si="135"/>
        <v>Vallentunasjön Va2</v>
      </c>
      <c r="M2321" s="1" t="s">
        <v>212</v>
      </c>
      <c r="N2321" s="1">
        <v>2</v>
      </c>
      <c r="O2321" s="1">
        <v>2</v>
      </c>
      <c r="Q2321" s="1">
        <v>2</v>
      </c>
      <c r="R2321" s="1">
        <v>12.9</v>
      </c>
      <c r="S2321" s="1">
        <v>93</v>
      </c>
    </row>
    <row r="2322" spans="1:52" x14ac:dyDescent="0.3">
      <c r="A2322" s="1">
        <v>36806</v>
      </c>
      <c r="B2322" s="1" t="s">
        <v>232</v>
      </c>
      <c r="C2322" s="1" t="s">
        <v>209</v>
      </c>
      <c r="D2322" s="2">
        <f t="shared" si="133"/>
        <v>2014</v>
      </c>
      <c r="E2322" s="2">
        <f t="shared" si="134"/>
        <v>12</v>
      </c>
      <c r="F2322" s="3" t="s">
        <v>175</v>
      </c>
      <c r="G2322" s="4">
        <v>41982</v>
      </c>
      <c r="H2322" s="1">
        <v>6600935</v>
      </c>
      <c r="I2322" s="1">
        <v>1626764</v>
      </c>
      <c r="J2322" s="1" t="s">
        <v>191</v>
      </c>
      <c r="K2322" s="1" t="s">
        <v>210</v>
      </c>
      <c r="L2322" s="1" t="str">
        <f t="shared" si="135"/>
        <v>Vallentunasjön Va2</v>
      </c>
      <c r="M2322" s="1" t="s">
        <v>213</v>
      </c>
      <c r="N2322" s="1">
        <v>3</v>
      </c>
      <c r="O2322" s="1">
        <v>3</v>
      </c>
      <c r="Q2322" s="1">
        <v>2</v>
      </c>
      <c r="R2322" s="1">
        <v>12.9</v>
      </c>
      <c r="S2322" s="1">
        <v>93</v>
      </c>
    </row>
    <row r="2323" spans="1:52" x14ac:dyDescent="0.3">
      <c r="A2323" s="1">
        <v>36807</v>
      </c>
      <c r="B2323" s="1" t="s">
        <v>232</v>
      </c>
      <c r="C2323" s="1" t="s">
        <v>209</v>
      </c>
      <c r="D2323" s="2">
        <f t="shared" si="133"/>
        <v>2014</v>
      </c>
      <c r="E2323" s="2">
        <f t="shared" si="134"/>
        <v>12</v>
      </c>
      <c r="F2323" s="3" t="s">
        <v>175</v>
      </c>
      <c r="G2323" s="4">
        <v>41982</v>
      </c>
      <c r="H2323" s="1">
        <v>6600935</v>
      </c>
      <c r="I2323" s="1">
        <v>1626764</v>
      </c>
      <c r="J2323" s="1" t="s">
        <v>191</v>
      </c>
      <c r="K2323" s="1" t="s">
        <v>210</v>
      </c>
      <c r="L2323" s="1" t="str">
        <f t="shared" si="135"/>
        <v>Vallentunasjön Va2</v>
      </c>
      <c r="M2323" s="1" t="s">
        <v>214</v>
      </c>
      <c r="N2323" s="1">
        <v>4</v>
      </c>
      <c r="O2323" s="1">
        <v>4</v>
      </c>
      <c r="Q2323" s="1">
        <v>2</v>
      </c>
      <c r="R2323" s="1">
        <v>12.9</v>
      </c>
      <c r="S2323" s="1">
        <v>93</v>
      </c>
    </row>
    <row r="2324" spans="1:52" x14ac:dyDescent="0.3">
      <c r="A2324" s="1">
        <v>36808</v>
      </c>
      <c r="B2324" s="1" t="s">
        <v>232</v>
      </c>
      <c r="C2324" s="1" t="s">
        <v>209</v>
      </c>
      <c r="D2324" s="2">
        <f t="shared" si="133"/>
        <v>2014</v>
      </c>
      <c r="E2324" s="2">
        <f t="shared" si="134"/>
        <v>12</v>
      </c>
      <c r="F2324" s="3" t="s">
        <v>175</v>
      </c>
      <c r="G2324" s="4">
        <v>41982</v>
      </c>
      <c r="H2324" s="1">
        <v>6600935</v>
      </c>
      <c r="I2324" s="1">
        <v>1626764</v>
      </c>
      <c r="J2324" s="1" t="s">
        <v>191</v>
      </c>
      <c r="K2324" s="1" t="s">
        <v>210</v>
      </c>
      <c r="L2324" s="1" t="str">
        <f t="shared" si="135"/>
        <v>Vallentunasjön Va2</v>
      </c>
      <c r="M2324" s="1" t="s">
        <v>184</v>
      </c>
      <c r="N2324" s="1">
        <v>4.5</v>
      </c>
      <c r="O2324" s="1">
        <v>4.5</v>
      </c>
      <c r="Q2324" s="1">
        <v>2</v>
      </c>
      <c r="R2324" s="1">
        <v>12.9</v>
      </c>
      <c r="S2324" s="1">
        <v>93</v>
      </c>
    </row>
    <row r="2325" spans="1:52" x14ac:dyDescent="0.3">
      <c r="A2325" s="1">
        <v>36809</v>
      </c>
      <c r="B2325" s="1" t="s">
        <v>232</v>
      </c>
      <c r="C2325" s="1" t="s">
        <v>209</v>
      </c>
      <c r="D2325" s="2">
        <f t="shared" si="133"/>
        <v>2014</v>
      </c>
      <c r="E2325" s="2">
        <f t="shared" si="134"/>
        <v>12</v>
      </c>
      <c r="F2325" s="3" t="s">
        <v>175</v>
      </c>
      <c r="G2325" s="4">
        <v>41982</v>
      </c>
      <c r="J2325" s="1" t="s">
        <v>191</v>
      </c>
      <c r="K2325" s="1" t="s">
        <v>206</v>
      </c>
      <c r="L2325" s="1" t="str">
        <f t="shared" si="135"/>
        <v>Vallentunasjön Blandprov</v>
      </c>
      <c r="M2325" s="1" t="s">
        <v>177</v>
      </c>
      <c r="N2325" s="1">
        <v>4</v>
      </c>
      <c r="O2325" s="1">
        <v>0</v>
      </c>
      <c r="W2325" s="1">
        <v>416.60469999999998</v>
      </c>
      <c r="Z2325" s="1">
        <v>1.0900000000000001</v>
      </c>
      <c r="AB2325" s="1">
        <v>30.996692308</v>
      </c>
      <c r="AD2325" s="1">
        <v>72.239999999999995</v>
      </c>
      <c r="AG2325" s="1">
        <v>8.4</v>
      </c>
      <c r="AK2325" s="1">
        <v>60.76</v>
      </c>
      <c r="AL2325" s="1">
        <v>1510.66</v>
      </c>
    </row>
    <row r="2326" spans="1:52" x14ac:dyDescent="0.3">
      <c r="D2326" s="2">
        <f t="shared" si="133"/>
        <v>2014</v>
      </c>
      <c r="E2326" s="2">
        <f t="shared" si="134"/>
        <v>12</v>
      </c>
      <c r="F2326" s="3" t="s">
        <v>175</v>
      </c>
      <c r="G2326" s="4">
        <v>41988</v>
      </c>
      <c r="H2326" s="1">
        <v>6606238</v>
      </c>
      <c r="I2326" s="1">
        <v>661152</v>
      </c>
      <c r="J2326" s="5" t="s">
        <v>176</v>
      </c>
      <c r="K2326" s="1"/>
      <c r="L2326" s="1" t="str">
        <f t="shared" si="135"/>
        <v xml:space="preserve">Oxundaån </v>
      </c>
      <c r="M2326" s="1" t="s">
        <v>177</v>
      </c>
      <c r="N2326" s="1">
        <v>0.5</v>
      </c>
      <c r="O2326" s="1">
        <v>0.5</v>
      </c>
      <c r="Q2326" s="1">
        <v>1.7</v>
      </c>
      <c r="T2326" s="1">
        <v>49.9</v>
      </c>
      <c r="V2326" s="1">
        <v>2.4609999999999999</v>
      </c>
      <c r="W2326" s="1">
        <v>94</v>
      </c>
      <c r="X2326" s="1">
        <f>W2326 * (1/((10^((0.0901821 + (2729.92 /(273.15 + Q2326)))-AE2326)+1)))</f>
        <v>0.59947040590037948</v>
      </c>
      <c r="Y2326" s="1">
        <v>4.9000000000000002E-2</v>
      </c>
      <c r="Z2326" s="1">
        <v>43</v>
      </c>
      <c r="AA2326" s="1">
        <v>3.3</v>
      </c>
      <c r="AD2326" s="1">
        <v>446</v>
      </c>
      <c r="AE2326" s="1">
        <v>7.83</v>
      </c>
      <c r="AI2326" s="1">
        <v>10.3</v>
      </c>
      <c r="AK2326" s="1">
        <v>57.8</v>
      </c>
      <c r="AL2326" s="1">
        <v>1140</v>
      </c>
      <c r="AR2326" s="1">
        <v>55</v>
      </c>
      <c r="AT2326" s="1">
        <v>5.7867999999999995</v>
      </c>
      <c r="AU2326" s="1">
        <v>9.752600000000001</v>
      </c>
      <c r="AV2326" s="1">
        <v>38.817750000000004</v>
      </c>
      <c r="AW2326" s="1">
        <v>27.757400000000001</v>
      </c>
      <c r="AX2326" s="1">
        <v>56.987299999999991</v>
      </c>
      <c r="AY2326" s="1">
        <v>3.2</v>
      </c>
    </row>
    <row r="2327" spans="1:52" x14ac:dyDescent="0.3">
      <c r="D2327" s="2">
        <f t="shared" si="133"/>
        <v>2015</v>
      </c>
      <c r="E2327" s="2">
        <f t="shared" si="134"/>
        <v>1</v>
      </c>
      <c r="F2327" s="3" t="s">
        <v>175</v>
      </c>
      <c r="G2327" s="4">
        <v>42017</v>
      </c>
      <c r="H2327" s="1">
        <v>6606238</v>
      </c>
      <c r="I2327" s="1">
        <v>661152</v>
      </c>
      <c r="J2327" s="5" t="s">
        <v>176</v>
      </c>
      <c r="K2327" s="1"/>
      <c r="L2327" s="1" t="str">
        <f t="shared" si="135"/>
        <v xml:space="preserve">Oxundaån </v>
      </c>
      <c r="M2327" s="1" t="s">
        <v>177</v>
      </c>
      <c r="N2327" s="1">
        <v>0.2</v>
      </c>
      <c r="O2327" s="1">
        <v>0.2</v>
      </c>
      <c r="Q2327" s="1">
        <v>0.5</v>
      </c>
      <c r="T2327" s="1">
        <v>53.7</v>
      </c>
      <c r="V2327" s="1">
        <v>2.6059999999999999</v>
      </c>
      <c r="W2327" s="1">
        <v>42</v>
      </c>
      <c r="X2327" s="1">
        <f>W2327 * (1/((10^((0.0901821 + (2729.92 /(273.15 + Q2327)))-AE2327)+1)))</f>
        <v>0.16802410544862437</v>
      </c>
      <c r="Y2327" s="1">
        <v>5.0999999999999997E-2</v>
      </c>
      <c r="Z2327" s="1">
        <v>39</v>
      </c>
      <c r="AA2327" s="1">
        <v>2.7</v>
      </c>
      <c r="AD2327" s="1">
        <v>673</v>
      </c>
      <c r="AE2327" s="1">
        <v>7.67</v>
      </c>
      <c r="AI2327" s="1">
        <v>11.2</v>
      </c>
      <c r="AK2327" s="1">
        <v>51.7</v>
      </c>
      <c r="AL2327" s="1">
        <v>1260</v>
      </c>
      <c r="AR2327" s="1">
        <v>58.6</v>
      </c>
      <c r="AT2327" s="1">
        <v>6.0213999999999999</v>
      </c>
      <c r="AU2327" s="1">
        <v>10.3818</v>
      </c>
      <c r="AV2327" s="1">
        <v>41.511950000000006</v>
      </c>
      <c r="AW2327" s="1">
        <v>29.133800000000001</v>
      </c>
      <c r="AX2327" s="1">
        <v>62.849399999999996</v>
      </c>
      <c r="AY2327" s="1">
        <v>3.9</v>
      </c>
    </row>
    <row r="2328" spans="1:52" x14ac:dyDescent="0.3">
      <c r="A2328" s="1">
        <v>37074</v>
      </c>
      <c r="B2328" s="1" t="s">
        <v>233</v>
      </c>
      <c r="C2328" s="1" t="s">
        <v>209</v>
      </c>
      <c r="D2328" s="2">
        <f t="shared" si="133"/>
        <v>2015</v>
      </c>
      <c r="E2328" s="2">
        <f t="shared" si="134"/>
        <v>1</v>
      </c>
      <c r="F2328" s="3" t="s">
        <v>175</v>
      </c>
      <c r="G2328" s="4">
        <v>42024</v>
      </c>
      <c r="H2328" s="1">
        <v>6600935</v>
      </c>
      <c r="I2328" s="1">
        <v>1626764</v>
      </c>
      <c r="J2328" s="1" t="s">
        <v>191</v>
      </c>
      <c r="K2328" s="1" t="s">
        <v>210</v>
      </c>
      <c r="L2328" s="1" t="str">
        <f t="shared" si="135"/>
        <v>Vallentunasjön Va2</v>
      </c>
      <c r="M2328" s="1" t="s">
        <v>177</v>
      </c>
      <c r="N2328" s="1">
        <v>0.5</v>
      </c>
      <c r="O2328" s="1">
        <v>0.5</v>
      </c>
      <c r="P2328" s="1">
        <v>1.9</v>
      </c>
      <c r="Q2328" s="1">
        <v>0.5</v>
      </c>
      <c r="R2328" s="1">
        <v>15</v>
      </c>
      <c r="S2328" s="1">
        <v>105</v>
      </c>
    </row>
    <row r="2329" spans="1:52" x14ac:dyDescent="0.3">
      <c r="A2329" s="1">
        <v>37075</v>
      </c>
      <c r="B2329" s="1" t="s">
        <v>233</v>
      </c>
      <c r="C2329" s="1" t="s">
        <v>209</v>
      </c>
      <c r="D2329" s="2">
        <f t="shared" si="133"/>
        <v>2015</v>
      </c>
      <c r="E2329" s="2">
        <f t="shared" si="134"/>
        <v>1</v>
      </c>
      <c r="F2329" s="3" t="s">
        <v>175</v>
      </c>
      <c r="G2329" s="4">
        <v>42024</v>
      </c>
      <c r="H2329" s="1">
        <v>6600935</v>
      </c>
      <c r="I2329" s="1">
        <v>1626764</v>
      </c>
      <c r="J2329" s="1" t="s">
        <v>191</v>
      </c>
      <c r="K2329" s="1" t="s">
        <v>210</v>
      </c>
      <c r="L2329" s="1" t="str">
        <f t="shared" si="135"/>
        <v>Vallentunasjön Va2</v>
      </c>
      <c r="M2329" s="1" t="s">
        <v>211</v>
      </c>
      <c r="N2329" s="1">
        <v>1</v>
      </c>
      <c r="O2329" s="1">
        <v>1</v>
      </c>
      <c r="Q2329" s="1">
        <v>1.3</v>
      </c>
      <c r="R2329" s="1">
        <v>15</v>
      </c>
      <c r="S2329" s="1">
        <v>106</v>
      </c>
    </row>
    <row r="2330" spans="1:52" x14ac:dyDescent="0.3">
      <c r="A2330" s="1">
        <v>37076</v>
      </c>
      <c r="B2330" s="1" t="s">
        <v>233</v>
      </c>
      <c r="C2330" s="1" t="s">
        <v>209</v>
      </c>
      <c r="D2330" s="2">
        <f t="shared" si="133"/>
        <v>2015</v>
      </c>
      <c r="E2330" s="2">
        <f t="shared" si="134"/>
        <v>1</v>
      </c>
      <c r="F2330" s="3" t="s">
        <v>175</v>
      </c>
      <c r="G2330" s="4">
        <v>42024</v>
      </c>
      <c r="H2330" s="1">
        <v>6600935</v>
      </c>
      <c r="I2330" s="1">
        <v>1626764</v>
      </c>
      <c r="J2330" s="1" t="s">
        <v>191</v>
      </c>
      <c r="K2330" s="1" t="s">
        <v>210</v>
      </c>
      <c r="L2330" s="1" t="str">
        <f t="shared" si="135"/>
        <v>Vallentunasjön Va2</v>
      </c>
      <c r="M2330" s="1" t="s">
        <v>212</v>
      </c>
      <c r="N2330" s="1">
        <v>2</v>
      </c>
      <c r="O2330" s="1">
        <v>2</v>
      </c>
      <c r="Q2330" s="1">
        <v>1.8</v>
      </c>
      <c r="R2330" s="1">
        <v>10.6</v>
      </c>
      <c r="S2330" s="1">
        <v>75</v>
      </c>
    </row>
    <row r="2331" spans="1:52" x14ac:dyDescent="0.3">
      <c r="A2331" s="1">
        <v>37077</v>
      </c>
      <c r="B2331" s="1" t="s">
        <v>233</v>
      </c>
      <c r="C2331" s="1" t="s">
        <v>209</v>
      </c>
      <c r="D2331" s="2">
        <f t="shared" si="133"/>
        <v>2015</v>
      </c>
      <c r="E2331" s="2">
        <f t="shared" si="134"/>
        <v>1</v>
      </c>
      <c r="F2331" s="3" t="s">
        <v>175</v>
      </c>
      <c r="G2331" s="4">
        <v>42024</v>
      </c>
      <c r="H2331" s="1">
        <v>6600935</v>
      </c>
      <c r="I2331" s="1">
        <v>1626764</v>
      </c>
      <c r="J2331" s="1" t="s">
        <v>191</v>
      </c>
      <c r="K2331" s="1" t="s">
        <v>210</v>
      </c>
      <c r="L2331" s="1" t="str">
        <f t="shared" si="135"/>
        <v>Vallentunasjön Va2</v>
      </c>
      <c r="M2331" s="1" t="s">
        <v>213</v>
      </c>
      <c r="N2331" s="1">
        <v>3</v>
      </c>
      <c r="O2331" s="1">
        <v>3</v>
      </c>
      <c r="Q2331" s="1">
        <v>2.5</v>
      </c>
      <c r="R2331" s="1">
        <v>3.6</v>
      </c>
      <c r="S2331" s="1">
        <v>26</v>
      </c>
    </row>
    <row r="2332" spans="1:52" x14ac:dyDescent="0.3">
      <c r="A2332" s="1">
        <v>37078</v>
      </c>
      <c r="B2332" s="1" t="s">
        <v>233</v>
      </c>
      <c r="C2332" s="1" t="s">
        <v>209</v>
      </c>
      <c r="D2332" s="2">
        <f t="shared" si="133"/>
        <v>2015</v>
      </c>
      <c r="E2332" s="2">
        <f t="shared" si="134"/>
        <v>1</v>
      </c>
      <c r="F2332" s="3" t="s">
        <v>175</v>
      </c>
      <c r="G2332" s="4">
        <v>42024</v>
      </c>
      <c r="H2332" s="1">
        <v>6600935</v>
      </c>
      <c r="I2332" s="1">
        <v>1626764</v>
      </c>
      <c r="J2332" s="1" t="s">
        <v>191</v>
      </c>
      <c r="K2332" s="1" t="s">
        <v>210</v>
      </c>
      <c r="L2332" s="1" t="str">
        <f t="shared" si="135"/>
        <v>Vallentunasjön Va2</v>
      </c>
      <c r="M2332" s="1" t="s">
        <v>214</v>
      </c>
      <c r="N2332" s="1">
        <v>4</v>
      </c>
      <c r="O2332" s="1">
        <v>4</v>
      </c>
      <c r="Q2332" s="1">
        <v>3.2</v>
      </c>
      <c r="R2332" s="1">
        <v>2.6</v>
      </c>
      <c r="S2332" s="1">
        <v>19</v>
      </c>
    </row>
    <row r="2333" spans="1:52" x14ac:dyDescent="0.3">
      <c r="A2333" s="1">
        <v>37079</v>
      </c>
      <c r="B2333" s="1" t="s">
        <v>233</v>
      </c>
      <c r="C2333" s="1" t="s">
        <v>209</v>
      </c>
      <c r="D2333" s="2">
        <f t="shared" si="133"/>
        <v>2015</v>
      </c>
      <c r="E2333" s="2">
        <f t="shared" si="134"/>
        <v>1</v>
      </c>
      <c r="F2333" s="3" t="s">
        <v>175</v>
      </c>
      <c r="G2333" s="4">
        <v>42024</v>
      </c>
      <c r="H2333" s="1">
        <v>6600935</v>
      </c>
      <c r="I2333" s="1">
        <v>1626764</v>
      </c>
      <c r="J2333" s="1" t="s">
        <v>191</v>
      </c>
      <c r="K2333" s="1" t="s">
        <v>210</v>
      </c>
      <c r="L2333" s="1" t="str">
        <f t="shared" si="135"/>
        <v>Vallentunasjön Va2</v>
      </c>
      <c r="M2333" s="1" t="s">
        <v>184</v>
      </c>
      <c r="Q2333" s="1">
        <v>3.3</v>
      </c>
      <c r="R2333" s="1">
        <v>0.9</v>
      </c>
      <c r="S2333" s="1">
        <v>7</v>
      </c>
    </row>
    <row r="2334" spans="1:52" x14ac:dyDescent="0.3">
      <c r="A2334" s="1">
        <v>37080</v>
      </c>
      <c r="B2334" s="1" t="s">
        <v>233</v>
      </c>
      <c r="C2334" s="1" t="s">
        <v>209</v>
      </c>
      <c r="D2334" s="2">
        <f t="shared" si="133"/>
        <v>2015</v>
      </c>
      <c r="E2334" s="2">
        <f t="shared" si="134"/>
        <v>1</v>
      </c>
      <c r="F2334" s="3" t="s">
        <v>175</v>
      </c>
      <c r="G2334" s="4">
        <v>42024</v>
      </c>
      <c r="J2334" s="1" t="s">
        <v>191</v>
      </c>
      <c r="K2334" s="1" t="s">
        <v>206</v>
      </c>
      <c r="L2334" s="1" t="str">
        <f t="shared" si="135"/>
        <v>Vallentunasjön Blandprov</v>
      </c>
      <c r="M2334" s="1" t="s">
        <v>177</v>
      </c>
      <c r="N2334" s="1">
        <v>4</v>
      </c>
      <c r="O2334" s="1">
        <v>0</v>
      </c>
      <c r="W2334" s="1">
        <v>534.19550000000004</v>
      </c>
      <c r="Z2334" s="1">
        <v>1.62</v>
      </c>
      <c r="AB2334" s="1">
        <v>22.721558823999999</v>
      </c>
      <c r="AD2334" s="1">
        <v>123.12</v>
      </c>
      <c r="AG2334" s="1">
        <v>6</v>
      </c>
      <c r="AK2334" s="1">
        <v>30.94</v>
      </c>
      <c r="AL2334" s="1">
        <v>1568.95</v>
      </c>
    </row>
    <row r="2335" spans="1:52" x14ac:dyDescent="0.3">
      <c r="D2335" s="2">
        <f t="shared" si="133"/>
        <v>2015</v>
      </c>
      <c r="E2335" s="2">
        <f t="shared" si="134"/>
        <v>2</v>
      </c>
      <c r="F2335" s="3" t="s">
        <v>175</v>
      </c>
      <c r="G2335" s="4">
        <v>42046</v>
      </c>
      <c r="J2335" s="1" t="s">
        <v>181</v>
      </c>
      <c r="K2335" s="1"/>
      <c r="L2335" s="1" t="str">
        <f t="shared" si="135"/>
        <v xml:space="preserve">Fysingen </v>
      </c>
      <c r="M2335" s="1" t="s">
        <v>177</v>
      </c>
      <c r="N2335" s="1">
        <v>0.5</v>
      </c>
      <c r="O2335" s="1">
        <v>0.5</v>
      </c>
      <c r="Q2335" s="1">
        <v>0.3</v>
      </c>
      <c r="V2335" s="1">
        <v>0.84799999999999998</v>
      </c>
      <c r="W2335" s="1">
        <v>128</v>
      </c>
      <c r="X2335" s="1">
        <f>W2335 * (1/((10^((0.0901821 + (2729.92 /(273.15 + Q2335)))-AE2335)+1)))</f>
        <v>8.384790874728644E-2</v>
      </c>
      <c r="Y2335" s="1">
        <v>0.115</v>
      </c>
      <c r="Z2335" s="1">
        <v>39</v>
      </c>
      <c r="AA2335" s="1">
        <v>24</v>
      </c>
      <c r="AB2335" s="1">
        <v>3.5</v>
      </c>
      <c r="AC2335" s="1">
        <v>28.8</v>
      </c>
      <c r="AD2335" s="1">
        <v>1560</v>
      </c>
      <c r="AE2335" s="1">
        <v>6.89</v>
      </c>
      <c r="AI2335" s="1">
        <v>11.9</v>
      </c>
      <c r="AK2335" s="1">
        <v>84.4</v>
      </c>
      <c r="AL2335" s="1">
        <v>2350</v>
      </c>
      <c r="AR2335" s="1">
        <v>28.2</v>
      </c>
      <c r="AS2335" s="1">
        <v>1</v>
      </c>
      <c r="AT2335" s="1">
        <v>4.4183000000000003</v>
      </c>
      <c r="AU2335" s="1">
        <v>6.4977</v>
      </c>
      <c r="AV2335" s="1">
        <v>18.150400000000001</v>
      </c>
      <c r="AW2335" s="1">
        <v>13.35108</v>
      </c>
      <c r="AX2335" s="1">
        <v>54.344549999999998</v>
      </c>
      <c r="AY2335" s="1">
        <v>7.3</v>
      </c>
      <c r="AZ2335" s="1">
        <v>1100</v>
      </c>
    </row>
    <row r="2336" spans="1:52" x14ac:dyDescent="0.3">
      <c r="A2336" s="6">
        <v>37519</v>
      </c>
      <c r="B2336" s="5" t="s">
        <v>234</v>
      </c>
      <c r="C2336" s="5" t="s">
        <v>231</v>
      </c>
      <c r="D2336" s="2">
        <f t="shared" si="133"/>
        <v>2015</v>
      </c>
      <c r="E2336" s="2">
        <f t="shared" si="134"/>
        <v>2</v>
      </c>
      <c r="F2336" s="3" t="s">
        <v>175</v>
      </c>
      <c r="G2336" s="7">
        <v>42052</v>
      </c>
      <c r="H2336" s="6">
        <v>6595400</v>
      </c>
      <c r="I2336" s="6">
        <v>1624045</v>
      </c>
      <c r="J2336" s="5" t="s">
        <v>183</v>
      </c>
      <c r="K2336" s="1"/>
      <c r="L2336" s="1" t="str">
        <f t="shared" si="135"/>
        <v xml:space="preserve">Fjäturen </v>
      </c>
      <c r="M2336" s="1" t="s">
        <v>177</v>
      </c>
      <c r="N2336" s="6">
        <v>0.5</v>
      </c>
      <c r="O2336" s="6">
        <v>0.5</v>
      </c>
      <c r="P2336" s="6">
        <v>3</v>
      </c>
      <c r="Q2336" s="6">
        <v>1.1000000000000001</v>
      </c>
      <c r="R2336" s="6">
        <v>10.7</v>
      </c>
      <c r="S2336" s="6">
        <v>74</v>
      </c>
      <c r="W2336" s="6">
        <v>34.0045</v>
      </c>
      <c r="Y2336" s="6">
        <v>0.192</v>
      </c>
      <c r="Z2336" s="6">
        <v>2.7199999999999998</v>
      </c>
      <c r="AA2336" s="6">
        <v>5</v>
      </c>
      <c r="AD2336" s="6">
        <v>299.94</v>
      </c>
      <c r="AK2336" s="6">
        <v>20.22</v>
      </c>
      <c r="AL2336" s="6">
        <v>958.59</v>
      </c>
      <c r="AM2336" s="6"/>
      <c r="AN2336" s="6"/>
      <c r="AO2336" s="6"/>
      <c r="AP2336" s="6"/>
      <c r="AQ2336" s="6"/>
    </row>
    <row r="2337" spans="1:43" x14ac:dyDescent="0.3">
      <c r="A2337" s="6">
        <v>37520</v>
      </c>
      <c r="B2337" s="5" t="s">
        <v>234</v>
      </c>
      <c r="C2337" s="5" t="s">
        <v>231</v>
      </c>
      <c r="D2337" s="2">
        <f t="shared" si="133"/>
        <v>2015</v>
      </c>
      <c r="E2337" s="2">
        <f t="shared" si="134"/>
        <v>2</v>
      </c>
      <c r="F2337" s="3" t="s">
        <v>175</v>
      </c>
      <c r="G2337" s="7">
        <v>42052</v>
      </c>
      <c r="H2337" s="6">
        <v>6595400</v>
      </c>
      <c r="I2337" s="6">
        <v>1624045</v>
      </c>
      <c r="J2337" s="5" t="s">
        <v>183</v>
      </c>
      <c r="K2337" s="1"/>
      <c r="L2337" s="1" t="str">
        <f t="shared" si="135"/>
        <v xml:space="preserve">Fjäturen </v>
      </c>
      <c r="M2337" s="5" t="s">
        <v>211</v>
      </c>
      <c r="N2337" s="6">
        <v>1</v>
      </c>
      <c r="O2337" s="6">
        <v>1</v>
      </c>
      <c r="Q2337" s="6">
        <v>1.3</v>
      </c>
      <c r="R2337" s="6">
        <v>9.8000000000000007</v>
      </c>
      <c r="S2337" s="6">
        <v>69</v>
      </c>
    </row>
    <row r="2338" spans="1:43" x14ac:dyDescent="0.3">
      <c r="A2338" s="6">
        <v>37521</v>
      </c>
      <c r="B2338" s="5" t="s">
        <v>234</v>
      </c>
      <c r="C2338" s="5" t="s">
        <v>231</v>
      </c>
      <c r="D2338" s="2">
        <f t="shared" si="133"/>
        <v>2015</v>
      </c>
      <c r="E2338" s="2">
        <f t="shared" si="134"/>
        <v>2</v>
      </c>
      <c r="F2338" s="3" t="s">
        <v>175</v>
      </c>
      <c r="G2338" s="7">
        <v>42052</v>
      </c>
      <c r="H2338" s="6">
        <v>6595400</v>
      </c>
      <c r="I2338" s="6">
        <v>1624045</v>
      </c>
      <c r="J2338" s="5" t="s">
        <v>183</v>
      </c>
      <c r="K2338" s="1"/>
      <c r="L2338" s="1" t="str">
        <f t="shared" si="135"/>
        <v xml:space="preserve">Fjäturen </v>
      </c>
      <c r="M2338" s="5" t="s">
        <v>212</v>
      </c>
      <c r="N2338" s="6">
        <v>2</v>
      </c>
      <c r="O2338" s="6">
        <v>2</v>
      </c>
      <c r="Q2338" s="6">
        <v>1.8</v>
      </c>
      <c r="R2338" s="6">
        <v>8.8000000000000007</v>
      </c>
      <c r="S2338" s="6">
        <v>62</v>
      </c>
    </row>
    <row r="2339" spans="1:43" x14ac:dyDescent="0.3">
      <c r="A2339" s="6">
        <v>37522</v>
      </c>
      <c r="B2339" s="5" t="s">
        <v>234</v>
      </c>
      <c r="C2339" s="5" t="s">
        <v>231</v>
      </c>
      <c r="D2339" s="2">
        <f t="shared" si="133"/>
        <v>2015</v>
      </c>
      <c r="E2339" s="2">
        <f t="shared" si="134"/>
        <v>2</v>
      </c>
      <c r="F2339" s="3" t="s">
        <v>175</v>
      </c>
      <c r="G2339" s="7">
        <v>42052</v>
      </c>
      <c r="H2339" s="6">
        <v>6595400</v>
      </c>
      <c r="I2339" s="6">
        <v>1624045</v>
      </c>
      <c r="J2339" s="5" t="s">
        <v>183</v>
      </c>
      <c r="K2339" s="1"/>
      <c r="L2339" s="1" t="str">
        <f t="shared" si="135"/>
        <v xml:space="preserve">Fjäturen </v>
      </c>
      <c r="M2339" s="5" t="s">
        <v>213</v>
      </c>
      <c r="N2339" s="6">
        <v>3</v>
      </c>
      <c r="O2339" s="6">
        <v>3</v>
      </c>
      <c r="Q2339" s="6">
        <v>2.1</v>
      </c>
      <c r="R2339" s="6">
        <v>7.8</v>
      </c>
      <c r="S2339" s="6">
        <v>55</v>
      </c>
    </row>
    <row r="2340" spans="1:43" x14ac:dyDescent="0.3">
      <c r="A2340" s="6">
        <v>37523</v>
      </c>
      <c r="B2340" s="5" t="s">
        <v>234</v>
      </c>
      <c r="C2340" s="5" t="s">
        <v>231</v>
      </c>
      <c r="D2340" s="2">
        <f t="shared" si="133"/>
        <v>2015</v>
      </c>
      <c r="E2340" s="2">
        <f t="shared" si="134"/>
        <v>2</v>
      </c>
      <c r="F2340" s="3" t="s">
        <v>175</v>
      </c>
      <c r="G2340" s="7">
        <v>42052</v>
      </c>
      <c r="H2340" s="6">
        <v>6595400</v>
      </c>
      <c r="I2340" s="6">
        <v>1624045</v>
      </c>
      <c r="J2340" s="5" t="s">
        <v>183</v>
      </c>
      <c r="K2340" s="1"/>
      <c r="L2340" s="1" t="str">
        <f t="shared" si="135"/>
        <v xml:space="preserve">Fjäturen </v>
      </c>
      <c r="M2340" s="5" t="s">
        <v>214</v>
      </c>
      <c r="N2340" s="6">
        <v>4</v>
      </c>
      <c r="O2340" s="6">
        <v>4</v>
      </c>
      <c r="Q2340" s="6">
        <v>2.4</v>
      </c>
      <c r="R2340" s="6">
        <v>6.8</v>
      </c>
      <c r="S2340" s="6">
        <v>49</v>
      </c>
    </row>
    <row r="2341" spans="1:43" x14ac:dyDescent="0.3">
      <c r="A2341" s="6">
        <v>37524</v>
      </c>
      <c r="B2341" s="5" t="s">
        <v>234</v>
      </c>
      <c r="C2341" s="5" t="s">
        <v>231</v>
      </c>
      <c r="D2341" s="2">
        <f t="shared" si="133"/>
        <v>2015</v>
      </c>
      <c r="E2341" s="2">
        <f t="shared" si="134"/>
        <v>2</v>
      </c>
      <c r="F2341" s="3" t="s">
        <v>175</v>
      </c>
      <c r="G2341" s="7">
        <v>42052</v>
      </c>
      <c r="H2341" s="6">
        <v>6595400</v>
      </c>
      <c r="I2341" s="6">
        <v>1624045</v>
      </c>
      <c r="J2341" s="5" t="s">
        <v>183</v>
      </c>
      <c r="K2341" s="1"/>
      <c r="L2341" s="1" t="str">
        <f t="shared" si="135"/>
        <v xml:space="preserve">Fjäturen </v>
      </c>
      <c r="M2341" s="5" t="s">
        <v>217</v>
      </c>
      <c r="N2341" s="6">
        <v>5</v>
      </c>
      <c r="O2341" s="6">
        <v>5</v>
      </c>
      <c r="Q2341" s="6">
        <v>2.8</v>
      </c>
      <c r="R2341" s="6">
        <v>5.8</v>
      </c>
      <c r="S2341" s="6">
        <v>42</v>
      </c>
    </row>
    <row r="2342" spans="1:43" x14ac:dyDescent="0.3">
      <c r="A2342" s="6">
        <v>37525</v>
      </c>
      <c r="B2342" s="5" t="s">
        <v>234</v>
      </c>
      <c r="C2342" s="5" t="s">
        <v>231</v>
      </c>
      <c r="D2342" s="2">
        <f t="shared" si="133"/>
        <v>2015</v>
      </c>
      <c r="E2342" s="2">
        <f t="shared" si="134"/>
        <v>2</v>
      </c>
      <c r="F2342" s="3" t="s">
        <v>175</v>
      </c>
      <c r="G2342" s="7">
        <v>42052</v>
      </c>
      <c r="H2342" s="6">
        <v>6595400</v>
      </c>
      <c r="I2342" s="6">
        <v>1624045</v>
      </c>
      <c r="J2342" s="5" t="s">
        <v>183</v>
      </c>
      <c r="K2342" s="1"/>
      <c r="L2342" s="1" t="str">
        <f t="shared" si="135"/>
        <v xml:space="preserve">Fjäturen </v>
      </c>
      <c r="M2342" s="5" t="s">
        <v>218</v>
      </c>
      <c r="N2342" s="6">
        <v>6</v>
      </c>
      <c r="O2342" s="6">
        <v>6</v>
      </c>
      <c r="Q2342" s="6">
        <v>2.9</v>
      </c>
      <c r="R2342" s="6">
        <v>4.5999999999999996</v>
      </c>
      <c r="S2342" s="6">
        <v>33</v>
      </c>
    </row>
    <row r="2343" spans="1:43" x14ac:dyDescent="0.3">
      <c r="A2343" s="6">
        <v>37526</v>
      </c>
      <c r="B2343" s="5" t="s">
        <v>234</v>
      </c>
      <c r="C2343" s="5" t="s">
        <v>231</v>
      </c>
      <c r="D2343" s="2">
        <f t="shared" si="133"/>
        <v>2015</v>
      </c>
      <c r="E2343" s="2">
        <f t="shared" si="134"/>
        <v>2</v>
      </c>
      <c r="F2343" s="3" t="s">
        <v>175</v>
      </c>
      <c r="G2343" s="7">
        <v>42052</v>
      </c>
      <c r="H2343" s="6">
        <v>6595400</v>
      </c>
      <c r="I2343" s="6">
        <v>1624045</v>
      </c>
      <c r="J2343" s="5" t="s">
        <v>183</v>
      </c>
      <c r="K2343" s="1"/>
      <c r="L2343" s="1" t="str">
        <f t="shared" si="135"/>
        <v xml:space="preserve">Fjäturen </v>
      </c>
      <c r="M2343" s="5" t="s">
        <v>219</v>
      </c>
      <c r="N2343" s="6">
        <v>7</v>
      </c>
      <c r="O2343" s="6">
        <v>7</v>
      </c>
      <c r="Q2343" s="6">
        <v>3.2</v>
      </c>
      <c r="R2343" s="6">
        <v>3.4</v>
      </c>
      <c r="S2343" s="6">
        <v>25</v>
      </c>
    </row>
    <row r="2344" spans="1:43" x14ac:dyDescent="0.3">
      <c r="A2344" s="6">
        <v>37527</v>
      </c>
      <c r="B2344" s="5" t="s">
        <v>234</v>
      </c>
      <c r="C2344" s="5" t="s">
        <v>231</v>
      </c>
      <c r="D2344" s="2">
        <f t="shared" si="133"/>
        <v>2015</v>
      </c>
      <c r="E2344" s="2">
        <f t="shared" si="134"/>
        <v>2</v>
      </c>
      <c r="F2344" s="3" t="s">
        <v>175</v>
      </c>
      <c r="G2344" s="7">
        <v>42052</v>
      </c>
      <c r="H2344" s="6">
        <v>6595400</v>
      </c>
      <c r="I2344" s="6">
        <v>1624045</v>
      </c>
      <c r="J2344" s="5" t="s">
        <v>183</v>
      </c>
      <c r="K2344" s="1"/>
      <c r="L2344" s="1" t="str">
        <f t="shared" si="135"/>
        <v xml:space="preserve">Fjäturen </v>
      </c>
      <c r="M2344" s="5" t="s">
        <v>220</v>
      </c>
      <c r="N2344" s="6">
        <v>8</v>
      </c>
      <c r="O2344" s="6">
        <v>8</v>
      </c>
      <c r="Q2344" s="6">
        <v>3.6</v>
      </c>
      <c r="R2344" s="6">
        <v>1.5</v>
      </c>
      <c r="S2344" s="6">
        <v>11</v>
      </c>
    </row>
    <row r="2345" spans="1:43" x14ac:dyDescent="0.3">
      <c r="A2345" s="6">
        <v>37528</v>
      </c>
      <c r="B2345" s="5" t="s">
        <v>234</v>
      </c>
      <c r="C2345" s="5" t="s">
        <v>231</v>
      </c>
      <c r="D2345" s="2">
        <f t="shared" si="133"/>
        <v>2015</v>
      </c>
      <c r="E2345" s="2">
        <f t="shared" si="134"/>
        <v>2</v>
      </c>
      <c r="F2345" s="3" t="s">
        <v>175</v>
      </c>
      <c r="G2345" s="7">
        <v>42052</v>
      </c>
      <c r="H2345" s="6">
        <v>6595400</v>
      </c>
      <c r="I2345" s="6">
        <v>1624045</v>
      </c>
      <c r="J2345" s="5" t="s">
        <v>183</v>
      </c>
      <c r="K2345" s="1"/>
      <c r="L2345" s="1" t="str">
        <f t="shared" si="135"/>
        <v xml:space="preserve">Fjäturen </v>
      </c>
      <c r="M2345" s="1" t="s">
        <v>184</v>
      </c>
      <c r="N2345" s="6">
        <v>8.9</v>
      </c>
      <c r="O2345" s="6">
        <v>8.9</v>
      </c>
      <c r="Q2345" s="6">
        <v>4.3</v>
      </c>
      <c r="R2345" s="6">
        <v>0.1</v>
      </c>
      <c r="S2345" s="6">
        <v>1</v>
      </c>
      <c r="W2345" s="6">
        <v>242.69839999999999</v>
      </c>
      <c r="Y2345" s="6">
        <v>0.11</v>
      </c>
      <c r="Z2345" s="6">
        <v>105.37</v>
      </c>
      <c r="AA2345" s="6">
        <v>6.4</v>
      </c>
      <c r="AD2345" s="6">
        <v>421.32</v>
      </c>
      <c r="AK2345" s="6">
        <v>132.74</v>
      </c>
      <c r="AL2345" s="6">
        <v>1250.26</v>
      </c>
      <c r="AM2345" s="6"/>
      <c r="AN2345" s="6"/>
      <c r="AO2345" s="6"/>
      <c r="AP2345" s="6"/>
      <c r="AQ2345" s="6"/>
    </row>
    <row r="2346" spans="1:43" x14ac:dyDescent="0.3">
      <c r="A2346" s="6">
        <v>37529</v>
      </c>
      <c r="B2346" s="5" t="s">
        <v>234</v>
      </c>
      <c r="C2346" s="5" t="s">
        <v>231</v>
      </c>
      <c r="D2346" s="2">
        <f t="shared" si="133"/>
        <v>2015</v>
      </c>
      <c r="E2346" s="2">
        <f t="shared" si="134"/>
        <v>2</v>
      </c>
      <c r="F2346" s="3" t="s">
        <v>175</v>
      </c>
      <c r="G2346" s="7">
        <v>42052</v>
      </c>
      <c r="H2346" s="6">
        <v>6593820</v>
      </c>
      <c r="I2346" s="6">
        <v>1624215</v>
      </c>
      <c r="J2346" s="5" t="s">
        <v>189</v>
      </c>
      <c r="K2346" s="1"/>
      <c r="L2346" s="1" t="str">
        <f t="shared" si="135"/>
        <v xml:space="preserve">Rösjön </v>
      </c>
      <c r="M2346" s="1" t="s">
        <v>177</v>
      </c>
      <c r="N2346" s="6">
        <v>0.5</v>
      </c>
      <c r="O2346" s="6">
        <v>0.5</v>
      </c>
      <c r="P2346" s="6">
        <v>4</v>
      </c>
      <c r="Q2346" s="6">
        <v>1.8</v>
      </c>
      <c r="R2346" s="6">
        <v>10.9</v>
      </c>
      <c r="S2346" s="6">
        <v>77</v>
      </c>
      <c r="W2346" s="6">
        <v>5.1970000000000001</v>
      </c>
      <c r="Y2346" s="6">
        <v>0.14899999999999999</v>
      </c>
      <c r="Z2346" s="6">
        <v>2.75</v>
      </c>
      <c r="AA2346" s="6">
        <v>8.6</v>
      </c>
      <c r="AD2346" s="6">
        <v>164.59</v>
      </c>
      <c r="AK2346" s="6">
        <v>19.440000000000001</v>
      </c>
      <c r="AL2346" s="6">
        <v>701.17</v>
      </c>
      <c r="AM2346" s="6"/>
      <c r="AN2346" s="6"/>
      <c r="AO2346" s="6"/>
      <c r="AP2346" s="6"/>
      <c r="AQ2346" s="6"/>
    </row>
    <row r="2347" spans="1:43" x14ac:dyDescent="0.3">
      <c r="A2347" s="6">
        <v>37530</v>
      </c>
      <c r="B2347" s="5" t="s">
        <v>234</v>
      </c>
      <c r="C2347" s="5" t="s">
        <v>231</v>
      </c>
      <c r="D2347" s="2">
        <f t="shared" si="133"/>
        <v>2015</v>
      </c>
      <c r="E2347" s="2">
        <f t="shared" si="134"/>
        <v>2</v>
      </c>
      <c r="F2347" s="3" t="s">
        <v>175</v>
      </c>
      <c r="G2347" s="7">
        <v>42052</v>
      </c>
      <c r="H2347" s="6">
        <v>6593820</v>
      </c>
      <c r="I2347" s="6">
        <v>1624215</v>
      </c>
      <c r="J2347" s="5" t="s">
        <v>189</v>
      </c>
      <c r="K2347" s="1"/>
      <c r="L2347" s="1" t="str">
        <f t="shared" si="135"/>
        <v xml:space="preserve">Rösjön </v>
      </c>
      <c r="M2347" s="5" t="s">
        <v>211</v>
      </c>
      <c r="N2347" s="6">
        <v>1</v>
      </c>
      <c r="O2347" s="6">
        <v>1</v>
      </c>
      <c r="Q2347" s="6">
        <v>2.1</v>
      </c>
      <c r="R2347" s="6">
        <v>10.6</v>
      </c>
      <c r="S2347" s="6">
        <v>76</v>
      </c>
    </row>
    <row r="2348" spans="1:43" x14ac:dyDescent="0.3">
      <c r="A2348" s="6">
        <v>37531</v>
      </c>
      <c r="B2348" s="5" t="s">
        <v>234</v>
      </c>
      <c r="C2348" s="5" t="s">
        <v>231</v>
      </c>
      <c r="D2348" s="2">
        <f t="shared" si="133"/>
        <v>2015</v>
      </c>
      <c r="E2348" s="2">
        <f t="shared" si="134"/>
        <v>2</v>
      </c>
      <c r="F2348" s="3" t="s">
        <v>175</v>
      </c>
      <c r="G2348" s="7">
        <v>42052</v>
      </c>
      <c r="H2348" s="6">
        <v>6593820</v>
      </c>
      <c r="I2348" s="6">
        <v>1624215</v>
      </c>
      <c r="J2348" s="5" t="s">
        <v>189</v>
      </c>
      <c r="K2348" s="1"/>
      <c r="L2348" s="1" t="str">
        <f t="shared" si="135"/>
        <v xml:space="preserve">Rösjön </v>
      </c>
      <c r="M2348" s="5" t="s">
        <v>212</v>
      </c>
      <c r="N2348" s="6">
        <v>2</v>
      </c>
      <c r="O2348" s="6">
        <v>2</v>
      </c>
      <c r="Q2348" s="6">
        <v>2.4</v>
      </c>
      <c r="R2348" s="6">
        <v>10.199999999999999</v>
      </c>
      <c r="S2348" s="6">
        <v>74</v>
      </c>
    </row>
    <row r="2349" spans="1:43" x14ac:dyDescent="0.3">
      <c r="A2349" s="6">
        <v>37532</v>
      </c>
      <c r="B2349" s="5" t="s">
        <v>234</v>
      </c>
      <c r="C2349" s="5" t="s">
        <v>231</v>
      </c>
      <c r="D2349" s="2">
        <f t="shared" si="133"/>
        <v>2015</v>
      </c>
      <c r="E2349" s="2">
        <f t="shared" si="134"/>
        <v>2</v>
      </c>
      <c r="F2349" s="3" t="s">
        <v>175</v>
      </c>
      <c r="G2349" s="7">
        <v>42052</v>
      </c>
      <c r="H2349" s="6">
        <v>6593820</v>
      </c>
      <c r="I2349" s="6">
        <v>1624215</v>
      </c>
      <c r="J2349" s="5" t="s">
        <v>189</v>
      </c>
      <c r="K2349" s="1"/>
      <c r="L2349" s="1" t="str">
        <f t="shared" si="135"/>
        <v xml:space="preserve">Rösjön </v>
      </c>
      <c r="M2349" s="5" t="s">
        <v>213</v>
      </c>
      <c r="N2349" s="6">
        <v>3</v>
      </c>
      <c r="O2349" s="6">
        <v>3</v>
      </c>
      <c r="Q2349" s="6">
        <v>3</v>
      </c>
      <c r="R2349" s="6">
        <v>8.4</v>
      </c>
      <c r="S2349" s="6">
        <v>62</v>
      </c>
    </row>
    <row r="2350" spans="1:43" x14ac:dyDescent="0.3">
      <c r="A2350" s="6">
        <v>37533</v>
      </c>
      <c r="B2350" s="5" t="s">
        <v>234</v>
      </c>
      <c r="C2350" s="5" t="s">
        <v>231</v>
      </c>
      <c r="D2350" s="2">
        <f t="shared" si="133"/>
        <v>2015</v>
      </c>
      <c r="E2350" s="2">
        <f t="shared" si="134"/>
        <v>2</v>
      </c>
      <c r="F2350" s="3" t="s">
        <v>175</v>
      </c>
      <c r="G2350" s="7">
        <v>42052</v>
      </c>
      <c r="H2350" s="6">
        <v>6593820</v>
      </c>
      <c r="I2350" s="6">
        <v>1624215</v>
      </c>
      <c r="J2350" s="5" t="s">
        <v>189</v>
      </c>
      <c r="K2350" s="1"/>
      <c r="L2350" s="1" t="str">
        <f t="shared" si="135"/>
        <v xml:space="preserve">Rösjön </v>
      </c>
      <c r="M2350" s="5" t="s">
        <v>214</v>
      </c>
      <c r="N2350" s="6">
        <v>4</v>
      </c>
      <c r="O2350" s="6">
        <v>4</v>
      </c>
      <c r="Q2350" s="6">
        <v>3.4</v>
      </c>
      <c r="R2350" s="6">
        <v>6.2</v>
      </c>
      <c r="S2350" s="6">
        <v>46</v>
      </c>
    </row>
    <row r="2351" spans="1:43" x14ac:dyDescent="0.3">
      <c r="A2351" s="6">
        <v>37534</v>
      </c>
      <c r="B2351" s="5" t="s">
        <v>234</v>
      </c>
      <c r="C2351" s="5" t="s">
        <v>231</v>
      </c>
      <c r="D2351" s="2">
        <f t="shared" si="133"/>
        <v>2015</v>
      </c>
      <c r="E2351" s="2">
        <f t="shared" si="134"/>
        <v>2</v>
      </c>
      <c r="F2351" s="3" t="s">
        <v>175</v>
      </c>
      <c r="G2351" s="7">
        <v>42052</v>
      </c>
      <c r="H2351" s="6">
        <v>6593820</v>
      </c>
      <c r="I2351" s="6">
        <v>1624215</v>
      </c>
      <c r="J2351" s="5" t="s">
        <v>189</v>
      </c>
      <c r="K2351" s="1"/>
      <c r="L2351" s="1" t="str">
        <f t="shared" si="135"/>
        <v xml:space="preserve">Rösjön </v>
      </c>
      <c r="M2351" s="5" t="s">
        <v>217</v>
      </c>
      <c r="N2351" s="6">
        <v>5</v>
      </c>
      <c r="O2351" s="6">
        <v>5</v>
      </c>
      <c r="Q2351" s="6">
        <v>4.0999999999999996</v>
      </c>
      <c r="R2351" s="6">
        <v>3.2</v>
      </c>
      <c r="S2351" s="6">
        <v>24</v>
      </c>
    </row>
    <row r="2352" spans="1:43" x14ac:dyDescent="0.3">
      <c r="A2352" s="6">
        <v>37535</v>
      </c>
      <c r="B2352" s="5" t="s">
        <v>234</v>
      </c>
      <c r="C2352" s="5" t="s">
        <v>231</v>
      </c>
      <c r="D2352" s="2">
        <f t="shared" si="133"/>
        <v>2015</v>
      </c>
      <c r="E2352" s="2">
        <f t="shared" si="134"/>
        <v>2</v>
      </c>
      <c r="F2352" s="3" t="s">
        <v>175</v>
      </c>
      <c r="G2352" s="7">
        <v>42052</v>
      </c>
      <c r="H2352" s="6">
        <v>6593820</v>
      </c>
      <c r="I2352" s="6">
        <v>1624215</v>
      </c>
      <c r="J2352" s="5" t="s">
        <v>189</v>
      </c>
      <c r="K2352" s="1"/>
      <c r="L2352" s="1" t="str">
        <f t="shared" si="135"/>
        <v xml:space="preserve">Rösjön </v>
      </c>
      <c r="M2352" s="5" t="s">
        <v>218</v>
      </c>
      <c r="N2352" s="6">
        <v>6</v>
      </c>
      <c r="O2352" s="6">
        <v>6</v>
      </c>
      <c r="Q2352" s="6">
        <v>4.4000000000000004</v>
      </c>
      <c r="R2352" s="6">
        <v>1.8</v>
      </c>
      <c r="S2352" s="6">
        <v>14</v>
      </c>
    </row>
    <row r="2353" spans="1:43" x14ac:dyDescent="0.3">
      <c r="A2353" s="6">
        <v>37536</v>
      </c>
      <c r="B2353" s="5" t="s">
        <v>234</v>
      </c>
      <c r="C2353" s="5" t="s">
        <v>231</v>
      </c>
      <c r="D2353" s="2">
        <f t="shared" si="133"/>
        <v>2015</v>
      </c>
      <c r="E2353" s="2">
        <f t="shared" si="134"/>
        <v>2</v>
      </c>
      <c r="F2353" s="3" t="s">
        <v>175</v>
      </c>
      <c r="G2353" s="7">
        <v>42052</v>
      </c>
      <c r="H2353" s="6">
        <v>6593820</v>
      </c>
      <c r="I2353" s="6">
        <v>1624215</v>
      </c>
      <c r="J2353" s="5" t="s">
        <v>189</v>
      </c>
      <c r="K2353" s="1"/>
      <c r="L2353" s="1" t="str">
        <f t="shared" si="135"/>
        <v xml:space="preserve">Rösjön </v>
      </c>
      <c r="M2353" s="1" t="s">
        <v>184</v>
      </c>
      <c r="N2353" s="6">
        <v>6.8</v>
      </c>
      <c r="O2353" s="6">
        <v>6.8</v>
      </c>
      <c r="Q2353" s="6">
        <v>4.5</v>
      </c>
      <c r="R2353" s="6">
        <v>1.4</v>
      </c>
      <c r="S2353" s="6">
        <v>11</v>
      </c>
      <c r="W2353" s="6">
        <v>12.598700000000001</v>
      </c>
      <c r="Y2353" s="6">
        <v>4.7E-2</v>
      </c>
      <c r="Z2353" s="6">
        <v>7.46</v>
      </c>
      <c r="AA2353" s="6">
        <v>2.7</v>
      </c>
      <c r="AD2353" s="6">
        <v>258.58999999999997</v>
      </c>
      <c r="AK2353" s="6">
        <v>14.74</v>
      </c>
      <c r="AL2353" s="6">
        <v>709.6</v>
      </c>
      <c r="AM2353" s="6"/>
      <c r="AN2353" s="6"/>
      <c r="AO2353" s="6"/>
      <c r="AP2353" s="6"/>
      <c r="AQ2353" s="6"/>
    </row>
    <row r="2354" spans="1:43" x14ac:dyDescent="0.3">
      <c r="A2354" s="6">
        <v>37537</v>
      </c>
      <c r="B2354" s="5" t="s">
        <v>234</v>
      </c>
      <c r="C2354" s="5" t="s">
        <v>231</v>
      </c>
      <c r="D2354" s="2">
        <f t="shared" si="133"/>
        <v>2015</v>
      </c>
      <c r="E2354" s="2">
        <f t="shared" si="134"/>
        <v>2</v>
      </c>
      <c r="F2354" s="3" t="s">
        <v>175</v>
      </c>
      <c r="G2354" s="7">
        <v>42052</v>
      </c>
      <c r="H2354" s="6">
        <v>6594980</v>
      </c>
      <c r="I2354" s="6">
        <v>1622960</v>
      </c>
      <c r="J2354" s="5" t="s">
        <v>192</v>
      </c>
      <c r="K2354" s="1"/>
      <c r="L2354" s="1" t="str">
        <f t="shared" si="135"/>
        <v xml:space="preserve">Väsjön </v>
      </c>
      <c r="M2354" s="1" t="s">
        <v>177</v>
      </c>
      <c r="N2354" s="6">
        <v>0.5</v>
      </c>
      <c r="O2354" s="6">
        <v>0.5</v>
      </c>
      <c r="P2354" s="6">
        <v>2.4</v>
      </c>
      <c r="Q2354" s="6">
        <v>1.3</v>
      </c>
      <c r="R2354" s="6">
        <v>7.1</v>
      </c>
      <c r="S2354" s="6">
        <v>50</v>
      </c>
      <c r="W2354" s="6">
        <v>64.936499999999995</v>
      </c>
      <c r="Y2354" s="6">
        <v>0.31900000000000001</v>
      </c>
      <c r="Z2354" s="6">
        <v>4.17</v>
      </c>
      <c r="AA2354" s="6">
        <v>7.3</v>
      </c>
      <c r="AD2354" s="6">
        <v>218.32</v>
      </c>
      <c r="AK2354" s="6">
        <v>30.72</v>
      </c>
      <c r="AL2354" s="6">
        <v>952.91</v>
      </c>
      <c r="AM2354" s="6"/>
      <c r="AN2354" s="6"/>
      <c r="AO2354" s="6"/>
      <c r="AP2354" s="6"/>
      <c r="AQ2354" s="6"/>
    </row>
    <row r="2355" spans="1:43" x14ac:dyDescent="0.3">
      <c r="A2355" s="6">
        <v>37538</v>
      </c>
      <c r="B2355" s="5" t="s">
        <v>234</v>
      </c>
      <c r="C2355" s="5" t="s">
        <v>231</v>
      </c>
      <c r="D2355" s="2">
        <f t="shared" si="133"/>
        <v>2015</v>
      </c>
      <c r="E2355" s="2">
        <f t="shared" si="134"/>
        <v>2</v>
      </c>
      <c r="F2355" s="3" t="s">
        <v>175</v>
      </c>
      <c r="G2355" s="7">
        <v>42052</v>
      </c>
      <c r="H2355" s="6">
        <v>6594980</v>
      </c>
      <c r="I2355" s="6">
        <v>1622960</v>
      </c>
      <c r="J2355" s="5" t="s">
        <v>192</v>
      </c>
      <c r="K2355" s="1"/>
      <c r="L2355" s="1" t="str">
        <f t="shared" si="135"/>
        <v xml:space="preserve">Väsjön </v>
      </c>
      <c r="M2355" s="5" t="s">
        <v>211</v>
      </c>
      <c r="N2355" s="6">
        <v>1</v>
      </c>
      <c r="O2355" s="6">
        <v>1</v>
      </c>
      <c r="Q2355" s="6">
        <v>1.9</v>
      </c>
      <c r="R2355" s="6">
        <v>2.7</v>
      </c>
      <c r="S2355" s="6">
        <v>19</v>
      </c>
    </row>
    <row r="2356" spans="1:43" x14ac:dyDescent="0.3">
      <c r="A2356" s="6">
        <v>37539</v>
      </c>
      <c r="B2356" s="5" t="s">
        <v>234</v>
      </c>
      <c r="C2356" s="5" t="s">
        <v>231</v>
      </c>
      <c r="D2356" s="2">
        <f t="shared" si="133"/>
        <v>2015</v>
      </c>
      <c r="E2356" s="2">
        <f t="shared" si="134"/>
        <v>2</v>
      </c>
      <c r="F2356" s="3" t="s">
        <v>175</v>
      </c>
      <c r="G2356" s="7">
        <v>42052</v>
      </c>
      <c r="H2356" s="6">
        <v>6594980</v>
      </c>
      <c r="I2356" s="6">
        <v>1622960</v>
      </c>
      <c r="J2356" s="5" t="s">
        <v>192</v>
      </c>
      <c r="K2356" s="1"/>
      <c r="L2356" s="1" t="str">
        <f t="shared" si="135"/>
        <v xml:space="preserve">Väsjön </v>
      </c>
      <c r="M2356" s="5" t="s">
        <v>212</v>
      </c>
      <c r="N2356" s="6">
        <v>2</v>
      </c>
      <c r="O2356" s="6">
        <v>2</v>
      </c>
      <c r="Q2356" s="6">
        <v>3.2</v>
      </c>
      <c r="R2356" s="6">
        <v>0.1</v>
      </c>
      <c r="S2356" s="6">
        <v>1</v>
      </c>
    </row>
    <row r="2357" spans="1:43" x14ac:dyDescent="0.3">
      <c r="A2357" s="6">
        <v>37540</v>
      </c>
      <c r="B2357" s="5" t="s">
        <v>234</v>
      </c>
      <c r="C2357" s="5" t="s">
        <v>231</v>
      </c>
      <c r="D2357" s="2">
        <f t="shared" si="133"/>
        <v>2015</v>
      </c>
      <c r="E2357" s="2">
        <f t="shared" si="134"/>
        <v>2</v>
      </c>
      <c r="F2357" s="3" t="s">
        <v>175</v>
      </c>
      <c r="G2357" s="7">
        <v>42052</v>
      </c>
      <c r="H2357" s="6">
        <v>6594980</v>
      </c>
      <c r="I2357" s="6">
        <v>1622960</v>
      </c>
      <c r="J2357" s="5" t="s">
        <v>192</v>
      </c>
      <c r="K2357" s="1"/>
      <c r="L2357" s="1" t="str">
        <f t="shared" si="135"/>
        <v xml:space="preserve">Väsjön </v>
      </c>
      <c r="M2357" s="1" t="s">
        <v>184</v>
      </c>
      <c r="N2357" s="6">
        <v>2.8</v>
      </c>
      <c r="O2357" s="6">
        <v>2.8</v>
      </c>
      <c r="Q2357" s="6">
        <v>4</v>
      </c>
      <c r="R2357" s="6">
        <v>0.1</v>
      </c>
      <c r="S2357" s="6">
        <v>1</v>
      </c>
      <c r="W2357" s="6">
        <v>230.85249999999999</v>
      </c>
      <c r="Y2357" s="6">
        <v>0.18099999999999999</v>
      </c>
      <c r="Z2357" s="6">
        <v>8.93</v>
      </c>
      <c r="AA2357" s="6">
        <v>6.7</v>
      </c>
      <c r="AD2357" s="6">
        <v>83.46</v>
      </c>
      <c r="AK2357" s="6">
        <v>31.59</v>
      </c>
      <c r="AL2357" s="6">
        <v>978.98</v>
      </c>
      <c r="AM2357" s="6"/>
      <c r="AN2357" s="6"/>
      <c r="AO2357" s="6"/>
      <c r="AP2357" s="6"/>
      <c r="AQ2357" s="6"/>
    </row>
    <row r="2358" spans="1:43" x14ac:dyDescent="0.3">
      <c r="A2358" s="6">
        <v>37541</v>
      </c>
      <c r="B2358" s="5" t="s">
        <v>234</v>
      </c>
      <c r="C2358" s="5" t="s">
        <v>231</v>
      </c>
      <c r="D2358" s="2">
        <f t="shared" si="133"/>
        <v>2015</v>
      </c>
      <c r="E2358" s="2">
        <f t="shared" si="134"/>
        <v>2</v>
      </c>
      <c r="F2358" s="3" t="s">
        <v>175</v>
      </c>
      <c r="G2358" s="7">
        <v>42052</v>
      </c>
      <c r="H2358" s="6">
        <v>6599695</v>
      </c>
      <c r="I2358" s="6">
        <v>1617290</v>
      </c>
      <c r="J2358" s="5" t="s">
        <v>182</v>
      </c>
      <c r="K2358" s="1"/>
      <c r="L2358" s="1" t="str">
        <f t="shared" si="135"/>
        <v xml:space="preserve">Edssjön </v>
      </c>
      <c r="M2358" s="1" t="s">
        <v>177</v>
      </c>
      <c r="N2358" s="6">
        <v>0.5</v>
      </c>
      <c r="O2358" s="6">
        <v>0.5</v>
      </c>
      <c r="P2358" s="6">
        <v>2</v>
      </c>
      <c r="Q2358" s="6">
        <v>0.8</v>
      </c>
      <c r="R2358" s="6">
        <v>9.6</v>
      </c>
      <c r="S2358" s="6">
        <v>66</v>
      </c>
      <c r="W2358" s="6">
        <v>61.395800000000001</v>
      </c>
      <c r="Y2358" s="6">
        <v>0.14299999999999999</v>
      </c>
      <c r="Z2358" s="6">
        <v>32.590000000000003</v>
      </c>
      <c r="AA2358" s="6">
        <v>6.9</v>
      </c>
      <c r="AD2358" s="6">
        <v>1184.43</v>
      </c>
      <c r="AK2358" s="6">
        <v>59.68</v>
      </c>
      <c r="AL2358" s="6">
        <v>1824.13</v>
      </c>
      <c r="AM2358" s="6"/>
      <c r="AN2358" s="6"/>
      <c r="AO2358" s="6"/>
      <c r="AP2358" s="6"/>
      <c r="AQ2358" s="6"/>
    </row>
    <row r="2359" spans="1:43" x14ac:dyDescent="0.3">
      <c r="A2359" s="6">
        <v>37542</v>
      </c>
      <c r="B2359" s="5" t="s">
        <v>234</v>
      </c>
      <c r="C2359" s="5" t="s">
        <v>231</v>
      </c>
      <c r="D2359" s="2">
        <f t="shared" si="133"/>
        <v>2015</v>
      </c>
      <c r="E2359" s="2">
        <f t="shared" si="134"/>
        <v>2</v>
      </c>
      <c r="F2359" s="3" t="s">
        <v>175</v>
      </c>
      <c r="G2359" s="7">
        <v>42052</v>
      </c>
      <c r="H2359" s="6">
        <v>6599695</v>
      </c>
      <c r="I2359" s="6">
        <v>1617290</v>
      </c>
      <c r="J2359" s="5" t="s">
        <v>182</v>
      </c>
      <c r="K2359" s="1"/>
      <c r="L2359" s="1" t="str">
        <f t="shared" si="135"/>
        <v xml:space="preserve">Edssjön </v>
      </c>
      <c r="M2359" s="5" t="s">
        <v>211</v>
      </c>
      <c r="N2359" s="6">
        <v>1</v>
      </c>
      <c r="O2359" s="6">
        <v>1</v>
      </c>
      <c r="Q2359" s="6">
        <v>0.9</v>
      </c>
      <c r="R2359" s="6">
        <v>9.3000000000000007</v>
      </c>
      <c r="S2359" s="6">
        <v>64</v>
      </c>
    </row>
    <row r="2360" spans="1:43" x14ac:dyDescent="0.3">
      <c r="A2360" s="6">
        <v>37543</v>
      </c>
      <c r="B2360" s="5" t="s">
        <v>234</v>
      </c>
      <c r="C2360" s="5" t="s">
        <v>231</v>
      </c>
      <c r="D2360" s="2">
        <f t="shared" si="133"/>
        <v>2015</v>
      </c>
      <c r="E2360" s="2">
        <f t="shared" si="134"/>
        <v>2</v>
      </c>
      <c r="F2360" s="3" t="s">
        <v>175</v>
      </c>
      <c r="G2360" s="7">
        <v>42052</v>
      </c>
      <c r="H2360" s="6">
        <v>6599695</v>
      </c>
      <c r="I2360" s="6">
        <v>1617290</v>
      </c>
      <c r="J2360" s="5" t="s">
        <v>182</v>
      </c>
      <c r="K2360" s="1"/>
      <c r="L2360" s="1" t="str">
        <f t="shared" si="135"/>
        <v xml:space="preserve">Edssjön </v>
      </c>
      <c r="M2360" s="5" t="s">
        <v>212</v>
      </c>
      <c r="N2360" s="6">
        <v>2</v>
      </c>
      <c r="O2360" s="6">
        <v>2</v>
      </c>
      <c r="Q2360" s="6">
        <v>1.3</v>
      </c>
      <c r="R2360" s="6">
        <v>8.5</v>
      </c>
      <c r="S2360" s="6">
        <v>59</v>
      </c>
    </row>
    <row r="2361" spans="1:43" x14ac:dyDescent="0.3">
      <c r="A2361" s="6">
        <v>37544</v>
      </c>
      <c r="B2361" s="5" t="s">
        <v>234</v>
      </c>
      <c r="C2361" s="5" t="s">
        <v>231</v>
      </c>
      <c r="D2361" s="2">
        <f t="shared" si="133"/>
        <v>2015</v>
      </c>
      <c r="E2361" s="2">
        <f t="shared" si="134"/>
        <v>2</v>
      </c>
      <c r="F2361" s="3" t="s">
        <v>175</v>
      </c>
      <c r="G2361" s="7">
        <v>42052</v>
      </c>
      <c r="H2361" s="6">
        <v>6599695</v>
      </c>
      <c r="I2361" s="6">
        <v>1617290</v>
      </c>
      <c r="J2361" s="5" t="s">
        <v>182</v>
      </c>
      <c r="K2361" s="1"/>
      <c r="L2361" s="1" t="str">
        <f t="shared" si="135"/>
        <v xml:space="preserve">Edssjön </v>
      </c>
      <c r="M2361" s="5" t="s">
        <v>213</v>
      </c>
      <c r="N2361" s="6">
        <v>3</v>
      </c>
      <c r="O2361" s="6">
        <v>3</v>
      </c>
      <c r="Q2361" s="6">
        <v>2.6</v>
      </c>
      <c r="R2361" s="6">
        <v>3</v>
      </c>
      <c r="S2361" s="6">
        <v>22</v>
      </c>
    </row>
    <row r="2362" spans="1:43" x14ac:dyDescent="0.3">
      <c r="A2362" s="6">
        <v>37545</v>
      </c>
      <c r="B2362" s="5" t="s">
        <v>234</v>
      </c>
      <c r="C2362" s="5" t="s">
        <v>231</v>
      </c>
      <c r="D2362" s="2">
        <f t="shared" si="133"/>
        <v>2015</v>
      </c>
      <c r="E2362" s="2">
        <f t="shared" si="134"/>
        <v>2</v>
      </c>
      <c r="F2362" s="3" t="s">
        <v>175</v>
      </c>
      <c r="G2362" s="7">
        <v>42052</v>
      </c>
      <c r="H2362" s="6">
        <v>6599695</v>
      </c>
      <c r="I2362" s="6">
        <v>1617290</v>
      </c>
      <c r="J2362" s="5" t="s">
        <v>182</v>
      </c>
      <c r="K2362" s="1"/>
      <c r="L2362" s="1" t="str">
        <f t="shared" si="135"/>
        <v xml:space="preserve">Edssjön </v>
      </c>
      <c r="M2362" s="5" t="s">
        <v>214</v>
      </c>
      <c r="N2362" s="6">
        <v>4</v>
      </c>
      <c r="O2362" s="6">
        <v>4</v>
      </c>
      <c r="Q2362" s="6">
        <v>3.1</v>
      </c>
      <c r="R2362" s="6">
        <v>1.3</v>
      </c>
      <c r="S2362" s="6">
        <v>10</v>
      </c>
    </row>
    <row r="2363" spans="1:43" x14ac:dyDescent="0.3">
      <c r="A2363" s="6">
        <v>37546</v>
      </c>
      <c r="B2363" s="5" t="s">
        <v>234</v>
      </c>
      <c r="C2363" s="5" t="s">
        <v>231</v>
      </c>
      <c r="D2363" s="2">
        <f t="shared" si="133"/>
        <v>2015</v>
      </c>
      <c r="E2363" s="2">
        <f t="shared" si="134"/>
        <v>2</v>
      </c>
      <c r="F2363" s="3" t="s">
        <v>175</v>
      </c>
      <c r="G2363" s="7">
        <v>42052</v>
      </c>
      <c r="H2363" s="6">
        <v>6599695</v>
      </c>
      <c r="I2363" s="6">
        <v>1617290</v>
      </c>
      <c r="J2363" s="5" t="s">
        <v>182</v>
      </c>
      <c r="K2363" s="1"/>
      <c r="L2363" s="1" t="str">
        <f t="shared" si="135"/>
        <v xml:space="preserve">Edssjön </v>
      </c>
      <c r="M2363" s="1" t="s">
        <v>184</v>
      </c>
      <c r="N2363" s="6">
        <v>5</v>
      </c>
      <c r="O2363" s="6">
        <v>5</v>
      </c>
      <c r="Q2363" s="6">
        <v>3.5</v>
      </c>
      <c r="R2363" s="6">
        <v>0.4</v>
      </c>
      <c r="S2363" s="6">
        <v>3</v>
      </c>
      <c r="W2363" s="6">
        <v>121.2424</v>
      </c>
      <c r="Y2363" s="6">
        <v>7.0999999999999994E-2</v>
      </c>
      <c r="Z2363" s="6">
        <v>68.52</v>
      </c>
      <c r="AA2363" s="6">
        <v>4.3</v>
      </c>
      <c r="AD2363" s="6">
        <v>657.56</v>
      </c>
      <c r="AK2363" s="6">
        <v>88.35</v>
      </c>
      <c r="AL2363" s="6">
        <v>1379.5</v>
      </c>
      <c r="AM2363" s="6"/>
      <c r="AN2363" s="6"/>
      <c r="AO2363" s="6"/>
      <c r="AP2363" s="6"/>
      <c r="AQ2363" s="6"/>
    </row>
    <row r="2364" spans="1:43" x14ac:dyDescent="0.3">
      <c r="A2364" s="6">
        <v>37547</v>
      </c>
      <c r="B2364" s="5" t="s">
        <v>234</v>
      </c>
      <c r="C2364" s="5" t="s">
        <v>231</v>
      </c>
      <c r="D2364" s="2">
        <f t="shared" si="133"/>
        <v>2015</v>
      </c>
      <c r="E2364" s="2">
        <f t="shared" si="134"/>
        <v>2</v>
      </c>
      <c r="F2364" s="3" t="s">
        <v>175</v>
      </c>
      <c r="G2364" s="7">
        <v>42052</v>
      </c>
      <c r="H2364" s="6">
        <v>6593820</v>
      </c>
      <c r="I2364" s="6">
        <v>1619360</v>
      </c>
      <c r="J2364" s="5" t="s">
        <v>188</v>
      </c>
      <c r="K2364" s="1"/>
      <c r="L2364" s="1" t="str">
        <f t="shared" si="135"/>
        <v xml:space="preserve">Ravalen </v>
      </c>
      <c r="M2364" s="1" t="s">
        <v>177</v>
      </c>
      <c r="N2364" s="6">
        <v>0.5</v>
      </c>
      <c r="O2364" s="6">
        <v>0.5</v>
      </c>
      <c r="P2364" s="6">
        <v>1.8</v>
      </c>
      <c r="Q2364" s="6">
        <v>1.4</v>
      </c>
      <c r="R2364" s="6">
        <v>4.3</v>
      </c>
      <c r="S2364" s="6">
        <v>30</v>
      </c>
      <c r="W2364" s="6">
        <v>221.68690000000001</v>
      </c>
      <c r="Y2364" s="6">
        <v>0.26</v>
      </c>
      <c r="Z2364" s="6">
        <v>51.12</v>
      </c>
      <c r="AA2364" s="6">
        <v>12.3</v>
      </c>
      <c r="AD2364" s="6">
        <v>266.17</v>
      </c>
      <c r="AK2364" s="6">
        <v>99.75</v>
      </c>
      <c r="AL2364" s="6">
        <v>1338</v>
      </c>
      <c r="AM2364" s="6"/>
      <c r="AN2364" s="6"/>
      <c r="AO2364" s="6"/>
      <c r="AP2364" s="6"/>
      <c r="AQ2364" s="6"/>
    </row>
    <row r="2365" spans="1:43" x14ac:dyDescent="0.3">
      <c r="A2365" s="6">
        <v>37548</v>
      </c>
      <c r="B2365" s="5" t="s">
        <v>234</v>
      </c>
      <c r="C2365" s="5" t="s">
        <v>231</v>
      </c>
      <c r="D2365" s="2">
        <f t="shared" si="133"/>
        <v>2015</v>
      </c>
      <c r="E2365" s="2">
        <f t="shared" si="134"/>
        <v>2</v>
      </c>
      <c r="F2365" s="3" t="s">
        <v>175</v>
      </c>
      <c r="G2365" s="7">
        <v>42052</v>
      </c>
      <c r="H2365" s="6">
        <v>6593820</v>
      </c>
      <c r="I2365" s="6">
        <v>1619360</v>
      </c>
      <c r="J2365" s="5" t="s">
        <v>188</v>
      </c>
      <c r="K2365" s="1"/>
      <c r="L2365" s="1" t="str">
        <f t="shared" si="135"/>
        <v xml:space="preserve">Ravalen </v>
      </c>
      <c r="M2365" s="5" t="s">
        <v>211</v>
      </c>
      <c r="N2365" s="6">
        <v>1</v>
      </c>
      <c r="O2365" s="6">
        <v>1</v>
      </c>
      <c r="Q2365" s="6">
        <v>2.1</v>
      </c>
      <c r="R2365" s="6">
        <v>0.4</v>
      </c>
      <c r="S2365" s="6">
        <v>3</v>
      </c>
    </row>
    <row r="2366" spans="1:43" x14ac:dyDescent="0.3">
      <c r="A2366" s="6">
        <v>37549</v>
      </c>
      <c r="B2366" s="5" t="s">
        <v>234</v>
      </c>
      <c r="C2366" s="5" t="s">
        <v>231</v>
      </c>
      <c r="D2366" s="2">
        <f t="shared" si="133"/>
        <v>2015</v>
      </c>
      <c r="E2366" s="2">
        <f t="shared" si="134"/>
        <v>2</v>
      </c>
      <c r="F2366" s="3" t="s">
        <v>175</v>
      </c>
      <c r="G2366" s="7">
        <v>42052</v>
      </c>
      <c r="H2366" s="6">
        <v>6593820</v>
      </c>
      <c r="I2366" s="6">
        <v>1619360</v>
      </c>
      <c r="J2366" s="5" t="s">
        <v>188</v>
      </c>
      <c r="K2366" s="1"/>
      <c r="L2366" s="1" t="str">
        <f t="shared" si="135"/>
        <v xml:space="preserve">Ravalen </v>
      </c>
      <c r="M2366" s="1" t="s">
        <v>184</v>
      </c>
      <c r="N2366" s="6">
        <v>1.8</v>
      </c>
      <c r="O2366" s="6">
        <v>1.8</v>
      </c>
      <c r="Q2366" s="6">
        <v>2.8</v>
      </c>
      <c r="R2366" s="6">
        <v>0.2</v>
      </c>
      <c r="S2366" s="6">
        <v>1</v>
      </c>
      <c r="W2366" s="6">
        <v>260.1771</v>
      </c>
      <c r="Y2366" s="6">
        <v>0.20200000000000001</v>
      </c>
      <c r="Z2366" s="6">
        <v>37.28</v>
      </c>
      <c r="AA2366" s="6">
        <v>12.1</v>
      </c>
      <c r="AD2366" s="6">
        <v>215.22</v>
      </c>
      <c r="AK2366" s="6">
        <v>81.14</v>
      </c>
      <c r="AL2366" s="6">
        <v>1280.8399999999999</v>
      </c>
      <c r="AM2366" s="6"/>
      <c r="AN2366" s="6"/>
      <c r="AO2366" s="6"/>
      <c r="AP2366" s="6"/>
      <c r="AQ2366" s="6"/>
    </row>
    <row r="2367" spans="1:43" x14ac:dyDescent="0.3">
      <c r="A2367" s="6">
        <v>37550</v>
      </c>
      <c r="B2367" s="5" t="s">
        <v>234</v>
      </c>
      <c r="C2367" s="5" t="s">
        <v>231</v>
      </c>
      <c r="D2367" s="2">
        <f t="shared" si="133"/>
        <v>2015</v>
      </c>
      <c r="E2367" s="2">
        <f t="shared" si="134"/>
        <v>2</v>
      </c>
      <c r="F2367" s="3" t="s">
        <v>175</v>
      </c>
      <c r="G2367" s="7">
        <v>42052</v>
      </c>
      <c r="H2367" s="6">
        <v>6594420</v>
      </c>
      <c r="I2367" s="6">
        <v>1615795</v>
      </c>
      <c r="J2367" s="5" t="s">
        <v>193</v>
      </c>
      <c r="K2367" s="1"/>
      <c r="L2367" s="1" t="str">
        <f t="shared" si="135"/>
        <v xml:space="preserve">Översjön </v>
      </c>
      <c r="M2367" s="1" t="s">
        <v>177</v>
      </c>
      <c r="N2367" s="6">
        <v>0.5</v>
      </c>
      <c r="O2367" s="6">
        <v>0.5</v>
      </c>
      <c r="P2367" s="6">
        <v>3.6</v>
      </c>
      <c r="Q2367" s="6">
        <v>1</v>
      </c>
      <c r="R2367" s="6">
        <v>10.6</v>
      </c>
      <c r="S2367" s="6">
        <v>74</v>
      </c>
      <c r="W2367" s="6">
        <v>110.23690000000001</v>
      </c>
      <c r="Y2367" s="6">
        <v>0.22</v>
      </c>
      <c r="Z2367" s="6">
        <v>1.5899999999999999</v>
      </c>
      <c r="AA2367" s="6">
        <v>10.6</v>
      </c>
      <c r="AD2367" s="6">
        <v>172.6</v>
      </c>
      <c r="AK2367" s="6">
        <v>24.51</v>
      </c>
      <c r="AL2367" s="6">
        <v>1068.4000000000001</v>
      </c>
      <c r="AM2367" s="6"/>
      <c r="AN2367" s="6"/>
      <c r="AO2367" s="6"/>
      <c r="AP2367" s="6"/>
      <c r="AQ2367" s="6"/>
    </row>
    <row r="2368" spans="1:43" x14ac:dyDescent="0.3">
      <c r="A2368" s="6">
        <v>37551</v>
      </c>
      <c r="B2368" s="5" t="s">
        <v>234</v>
      </c>
      <c r="C2368" s="5" t="s">
        <v>231</v>
      </c>
      <c r="D2368" s="2">
        <f t="shared" si="133"/>
        <v>2015</v>
      </c>
      <c r="E2368" s="2">
        <f t="shared" si="134"/>
        <v>2</v>
      </c>
      <c r="F2368" s="3" t="s">
        <v>175</v>
      </c>
      <c r="G2368" s="7">
        <v>42052</v>
      </c>
      <c r="H2368" s="6">
        <v>6594420</v>
      </c>
      <c r="I2368" s="6">
        <v>1615795</v>
      </c>
      <c r="J2368" s="5" t="s">
        <v>193</v>
      </c>
      <c r="K2368" s="1"/>
      <c r="L2368" s="1" t="str">
        <f t="shared" si="135"/>
        <v xml:space="preserve">Översjön </v>
      </c>
      <c r="M2368" s="5" t="s">
        <v>211</v>
      </c>
      <c r="N2368" s="6">
        <v>1</v>
      </c>
      <c r="O2368" s="6">
        <v>1</v>
      </c>
      <c r="Q2368" s="6">
        <v>1.4</v>
      </c>
      <c r="R2368" s="6">
        <v>10.7</v>
      </c>
      <c r="S2368" s="6">
        <v>75</v>
      </c>
    </row>
    <row r="2369" spans="1:43" x14ac:dyDescent="0.3">
      <c r="A2369" s="6">
        <v>37552</v>
      </c>
      <c r="B2369" s="5" t="s">
        <v>234</v>
      </c>
      <c r="C2369" s="5" t="s">
        <v>231</v>
      </c>
      <c r="D2369" s="2">
        <f t="shared" si="133"/>
        <v>2015</v>
      </c>
      <c r="E2369" s="2">
        <f t="shared" si="134"/>
        <v>2</v>
      </c>
      <c r="F2369" s="3" t="s">
        <v>175</v>
      </c>
      <c r="G2369" s="7">
        <v>42052</v>
      </c>
      <c r="H2369" s="6">
        <v>6594420</v>
      </c>
      <c r="I2369" s="6">
        <v>1615795</v>
      </c>
      <c r="J2369" s="5" t="s">
        <v>193</v>
      </c>
      <c r="K2369" s="1"/>
      <c r="L2369" s="1" t="str">
        <f t="shared" si="135"/>
        <v xml:space="preserve">Översjön </v>
      </c>
      <c r="M2369" s="5" t="s">
        <v>212</v>
      </c>
      <c r="N2369" s="6">
        <v>2</v>
      </c>
      <c r="O2369" s="6">
        <v>2</v>
      </c>
      <c r="Q2369" s="6">
        <v>2.5</v>
      </c>
      <c r="R2369" s="6">
        <v>5.2</v>
      </c>
      <c r="S2369" s="6">
        <v>38</v>
      </c>
    </row>
    <row r="2370" spans="1:43" x14ac:dyDescent="0.3">
      <c r="A2370" s="6">
        <v>37553</v>
      </c>
      <c r="B2370" s="5" t="s">
        <v>234</v>
      </c>
      <c r="C2370" s="5" t="s">
        <v>231</v>
      </c>
      <c r="D2370" s="2">
        <f t="shared" ref="D2370:D2433" si="136">YEAR(G2370)</f>
        <v>2015</v>
      </c>
      <c r="E2370" s="2">
        <f t="shared" ref="E2370:E2433" si="137">MONTH(G2370)</f>
        <v>2</v>
      </c>
      <c r="F2370" s="3" t="s">
        <v>175</v>
      </c>
      <c r="G2370" s="7">
        <v>42052</v>
      </c>
      <c r="H2370" s="6">
        <v>6594420</v>
      </c>
      <c r="I2370" s="6">
        <v>1615795</v>
      </c>
      <c r="J2370" s="5" t="s">
        <v>193</v>
      </c>
      <c r="K2370" s="1"/>
      <c r="L2370" s="1" t="str">
        <f t="shared" ref="L2370:L2433" si="138">CONCATENATE(J2370," ",K2370)</f>
        <v xml:space="preserve">Översjön </v>
      </c>
      <c r="M2370" s="5" t="s">
        <v>213</v>
      </c>
      <c r="N2370" s="6">
        <v>3</v>
      </c>
      <c r="O2370" s="6">
        <v>3</v>
      </c>
      <c r="Q2370" s="6">
        <v>3</v>
      </c>
      <c r="R2370" s="6">
        <v>3.9</v>
      </c>
      <c r="S2370" s="6">
        <v>28</v>
      </c>
    </row>
    <row r="2371" spans="1:43" x14ac:dyDescent="0.3">
      <c r="A2371" s="6">
        <v>37554</v>
      </c>
      <c r="B2371" s="5" t="s">
        <v>234</v>
      </c>
      <c r="C2371" s="5" t="s">
        <v>231</v>
      </c>
      <c r="D2371" s="2">
        <f t="shared" si="136"/>
        <v>2015</v>
      </c>
      <c r="E2371" s="2">
        <f t="shared" si="137"/>
        <v>2</v>
      </c>
      <c r="F2371" s="3" t="s">
        <v>175</v>
      </c>
      <c r="G2371" s="7">
        <v>42052</v>
      </c>
      <c r="H2371" s="6">
        <v>6594420</v>
      </c>
      <c r="I2371" s="6">
        <v>1615795</v>
      </c>
      <c r="J2371" s="5" t="s">
        <v>193</v>
      </c>
      <c r="K2371" s="1"/>
      <c r="L2371" s="1" t="str">
        <f t="shared" si="138"/>
        <v xml:space="preserve">Översjön </v>
      </c>
      <c r="M2371" s="1" t="s">
        <v>184</v>
      </c>
      <c r="N2371" s="6">
        <v>3.6</v>
      </c>
      <c r="O2371" s="6">
        <v>3.6</v>
      </c>
      <c r="Q2371" s="6">
        <v>3.4</v>
      </c>
      <c r="R2371" s="6">
        <v>2.6</v>
      </c>
      <c r="S2371" s="6">
        <v>19</v>
      </c>
      <c r="W2371" s="6">
        <v>294.28480000000002</v>
      </c>
      <c r="Y2371" s="6">
        <v>9.9000000000000005E-2</v>
      </c>
      <c r="Z2371" s="6">
        <v>6.03</v>
      </c>
      <c r="AA2371" s="6">
        <v>7.6</v>
      </c>
      <c r="AD2371" s="6">
        <v>134</v>
      </c>
      <c r="AK2371" s="6">
        <v>21.98</v>
      </c>
      <c r="AL2371" s="6">
        <v>1130.8399999999999</v>
      </c>
      <c r="AM2371" s="6"/>
      <c r="AN2371" s="6"/>
      <c r="AO2371" s="6"/>
      <c r="AP2371" s="6"/>
      <c r="AQ2371" s="6"/>
    </row>
    <row r="2372" spans="1:43" x14ac:dyDescent="0.3">
      <c r="A2372" s="6">
        <v>37555</v>
      </c>
      <c r="B2372" s="5" t="s">
        <v>234</v>
      </c>
      <c r="C2372" s="5" t="s">
        <v>231</v>
      </c>
      <c r="D2372" s="2">
        <f t="shared" si="136"/>
        <v>2015</v>
      </c>
      <c r="E2372" s="2">
        <f t="shared" si="137"/>
        <v>2</v>
      </c>
      <c r="F2372" s="3" t="s">
        <v>175</v>
      </c>
      <c r="G2372" s="7">
        <v>42052</v>
      </c>
      <c r="H2372" s="6">
        <v>6606035</v>
      </c>
      <c r="I2372" s="6">
        <v>1615620</v>
      </c>
      <c r="J2372" s="5" t="s">
        <v>187</v>
      </c>
      <c r="K2372" s="1"/>
      <c r="L2372" s="1" t="str">
        <f t="shared" si="138"/>
        <v xml:space="preserve">Oxundasjön </v>
      </c>
      <c r="M2372" s="1" t="s">
        <v>177</v>
      </c>
      <c r="N2372" s="6">
        <v>0.5</v>
      </c>
      <c r="O2372" s="6">
        <v>0.5</v>
      </c>
      <c r="P2372" s="6">
        <v>1.6</v>
      </c>
      <c r="Q2372" s="6">
        <v>0.6</v>
      </c>
      <c r="R2372" s="6">
        <v>9.9</v>
      </c>
      <c r="S2372" s="6">
        <v>67</v>
      </c>
      <c r="W2372" s="6">
        <v>29.126300000000001</v>
      </c>
      <c r="Y2372" s="6">
        <v>0.249</v>
      </c>
      <c r="Z2372" s="6">
        <v>25.26</v>
      </c>
      <c r="AA2372" s="6">
        <v>14.4</v>
      </c>
      <c r="AD2372" s="6">
        <v>684.5</v>
      </c>
      <c r="AK2372" s="6">
        <v>58.39</v>
      </c>
      <c r="AL2372" s="6">
        <v>1362.3</v>
      </c>
      <c r="AM2372" s="6"/>
      <c r="AN2372" s="6"/>
      <c r="AO2372" s="6"/>
      <c r="AP2372" s="6"/>
      <c r="AQ2372" s="6"/>
    </row>
    <row r="2373" spans="1:43" x14ac:dyDescent="0.3">
      <c r="A2373" s="6">
        <v>37556</v>
      </c>
      <c r="B2373" s="5" t="s">
        <v>234</v>
      </c>
      <c r="C2373" s="5" t="s">
        <v>231</v>
      </c>
      <c r="D2373" s="2">
        <f t="shared" si="136"/>
        <v>2015</v>
      </c>
      <c r="E2373" s="2">
        <f t="shared" si="137"/>
        <v>2</v>
      </c>
      <c r="F2373" s="3" t="s">
        <v>175</v>
      </c>
      <c r="G2373" s="7">
        <v>42052</v>
      </c>
      <c r="H2373" s="6">
        <v>6606035</v>
      </c>
      <c r="I2373" s="6">
        <v>1615620</v>
      </c>
      <c r="J2373" s="5" t="s">
        <v>187</v>
      </c>
      <c r="K2373" s="1"/>
      <c r="L2373" s="1" t="str">
        <f t="shared" si="138"/>
        <v xml:space="preserve">Oxundasjön </v>
      </c>
      <c r="M2373" s="5" t="s">
        <v>211</v>
      </c>
      <c r="N2373" s="6">
        <v>1</v>
      </c>
      <c r="O2373" s="6">
        <v>1</v>
      </c>
      <c r="Q2373" s="6">
        <v>0.8</v>
      </c>
      <c r="R2373" s="6">
        <v>9.6999999999999993</v>
      </c>
      <c r="S2373" s="6">
        <v>66</v>
      </c>
    </row>
    <row r="2374" spans="1:43" x14ac:dyDescent="0.3">
      <c r="A2374" s="6">
        <v>37557</v>
      </c>
      <c r="B2374" s="5" t="s">
        <v>234</v>
      </c>
      <c r="C2374" s="5" t="s">
        <v>231</v>
      </c>
      <c r="D2374" s="2">
        <f t="shared" si="136"/>
        <v>2015</v>
      </c>
      <c r="E2374" s="2">
        <f t="shared" si="137"/>
        <v>2</v>
      </c>
      <c r="F2374" s="3" t="s">
        <v>175</v>
      </c>
      <c r="G2374" s="7">
        <v>42052</v>
      </c>
      <c r="H2374" s="6">
        <v>6606035</v>
      </c>
      <c r="I2374" s="6">
        <v>1615620</v>
      </c>
      <c r="J2374" s="5" t="s">
        <v>187</v>
      </c>
      <c r="K2374" s="1"/>
      <c r="L2374" s="1" t="str">
        <f t="shared" si="138"/>
        <v xml:space="preserve">Oxundasjön </v>
      </c>
      <c r="M2374" s="5" t="s">
        <v>212</v>
      </c>
      <c r="N2374" s="6">
        <v>2</v>
      </c>
      <c r="O2374" s="6">
        <v>2</v>
      </c>
      <c r="Q2374" s="6">
        <v>1.1000000000000001</v>
      </c>
      <c r="R2374" s="6">
        <v>8.1</v>
      </c>
      <c r="S2374" s="6">
        <v>56</v>
      </c>
    </row>
    <row r="2375" spans="1:43" x14ac:dyDescent="0.3">
      <c r="A2375" s="6">
        <v>37558</v>
      </c>
      <c r="B2375" s="5" t="s">
        <v>234</v>
      </c>
      <c r="C2375" s="5" t="s">
        <v>231</v>
      </c>
      <c r="D2375" s="2">
        <f t="shared" si="136"/>
        <v>2015</v>
      </c>
      <c r="E2375" s="2">
        <f t="shared" si="137"/>
        <v>2</v>
      </c>
      <c r="F2375" s="3" t="s">
        <v>175</v>
      </c>
      <c r="G2375" s="7">
        <v>42052</v>
      </c>
      <c r="H2375" s="6">
        <v>6606035</v>
      </c>
      <c r="I2375" s="6">
        <v>1615620</v>
      </c>
      <c r="J2375" s="5" t="s">
        <v>187</v>
      </c>
      <c r="K2375" s="1"/>
      <c r="L2375" s="1" t="str">
        <f t="shared" si="138"/>
        <v xml:space="preserve">Oxundasjön </v>
      </c>
      <c r="M2375" s="5" t="s">
        <v>213</v>
      </c>
      <c r="N2375" s="6">
        <v>3</v>
      </c>
      <c r="O2375" s="6">
        <v>3</v>
      </c>
      <c r="Q2375" s="6">
        <v>1.5</v>
      </c>
      <c r="R2375" s="6">
        <v>8.1</v>
      </c>
      <c r="S2375" s="6">
        <v>56</v>
      </c>
    </row>
    <row r="2376" spans="1:43" x14ac:dyDescent="0.3">
      <c r="A2376" s="6">
        <v>37559</v>
      </c>
      <c r="B2376" s="5" t="s">
        <v>234</v>
      </c>
      <c r="C2376" s="5" t="s">
        <v>231</v>
      </c>
      <c r="D2376" s="2">
        <f t="shared" si="136"/>
        <v>2015</v>
      </c>
      <c r="E2376" s="2">
        <f t="shared" si="137"/>
        <v>2</v>
      </c>
      <c r="F2376" s="3" t="s">
        <v>175</v>
      </c>
      <c r="G2376" s="7">
        <v>42052</v>
      </c>
      <c r="H2376" s="6">
        <v>6606035</v>
      </c>
      <c r="I2376" s="6">
        <v>1615620</v>
      </c>
      <c r="J2376" s="5" t="s">
        <v>187</v>
      </c>
      <c r="K2376" s="1"/>
      <c r="L2376" s="1" t="str">
        <f t="shared" si="138"/>
        <v xml:space="preserve">Oxundasjön </v>
      </c>
      <c r="M2376" s="5" t="s">
        <v>214</v>
      </c>
      <c r="N2376" s="6">
        <v>4</v>
      </c>
      <c r="O2376" s="6">
        <v>4</v>
      </c>
      <c r="Q2376" s="6">
        <v>2.2999999999999998</v>
      </c>
      <c r="R2376" s="6">
        <v>6.8</v>
      </c>
      <c r="S2376" s="6">
        <v>49</v>
      </c>
    </row>
    <row r="2377" spans="1:43" x14ac:dyDescent="0.3">
      <c r="A2377" s="6">
        <v>37560</v>
      </c>
      <c r="B2377" s="5" t="s">
        <v>234</v>
      </c>
      <c r="C2377" s="5" t="s">
        <v>231</v>
      </c>
      <c r="D2377" s="2">
        <f t="shared" si="136"/>
        <v>2015</v>
      </c>
      <c r="E2377" s="2">
        <f t="shared" si="137"/>
        <v>2</v>
      </c>
      <c r="F2377" s="3" t="s">
        <v>175</v>
      </c>
      <c r="G2377" s="7">
        <v>42052</v>
      </c>
      <c r="H2377" s="6">
        <v>6606035</v>
      </c>
      <c r="I2377" s="6">
        <v>1615620</v>
      </c>
      <c r="J2377" s="5" t="s">
        <v>187</v>
      </c>
      <c r="K2377" s="1"/>
      <c r="L2377" s="1" t="str">
        <f t="shared" si="138"/>
        <v xml:space="preserve">Oxundasjön </v>
      </c>
      <c r="M2377" s="5" t="s">
        <v>217</v>
      </c>
      <c r="N2377" s="6">
        <v>5</v>
      </c>
      <c r="O2377" s="6">
        <v>5</v>
      </c>
      <c r="Q2377" s="6">
        <v>3.2</v>
      </c>
      <c r="R2377" s="6">
        <v>2.9</v>
      </c>
      <c r="S2377" s="6">
        <v>22</v>
      </c>
    </row>
    <row r="2378" spans="1:43" x14ac:dyDescent="0.3">
      <c r="A2378" s="6">
        <v>37561</v>
      </c>
      <c r="B2378" s="5" t="s">
        <v>234</v>
      </c>
      <c r="C2378" s="5" t="s">
        <v>231</v>
      </c>
      <c r="D2378" s="2">
        <f t="shared" si="136"/>
        <v>2015</v>
      </c>
      <c r="E2378" s="2">
        <f t="shared" si="137"/>
        <v>2</v>
      </c>
      <c r="F2378" s="3" t="s">
        <v>175</v>
      </c>
      <c r="G2378" s="7">
        <v>42052</v>
      </c>
      <c r="H2378" s="6">
        <v>6606035</v>
      </c>
      <c r="I2378" s="6">
        <v>1615620</v>
      </c>
      <c r="J2378" s="5" t="s">
        <v>187</v>
      </c>
      <c r="K2378" s="1"/>
      <c r="L2378" s="1" t="str">
        <f t="shared" si="138"/>
        <v xml:space="preserve">Oxundasjön </v>
      </c>
      <c r="M2378" s="1" t="s">
        <v>184</v>
      </c>
      <c r="N2378" s="6">
        <v>5.9</v>
      </c>
      <c r="O2378" s="6">
        <v>5.9</v>
      </c>
      <c r="Q2378" s="6">
        <v>4</v>
      </c>
      <c r="R2378" s="6">
        <v>0.6</v>
      </c>
      <c r="S2378" s="6">
        <v>5</v>
      </c>
      <c r="W2378" s="6">
        <v>19.525600000000001</v>
      </c>
      <c r="Y2378" s="6">
        <v>7.2999999999999995E-2</v>
      </c>
      <c r="Z2378" s="6">
        <v>28.84</v>
      </c>
      <c r="AA2378" s="6">
        <v>6.6</v>
      </c>
      <c r="AD2378" s="6">
        <v>847.56</v>
      </c>
      <c r="AK2378" s="6">
        <v>46.26</v>
      </c>
      <c r="AL2378" s="6">
        <v>1369.12</v>
      </c>
      <c r="AM2378" s="6"/>
      <c r="AN2378" s="6"/>
      <c r="AO2378" s="6"/>
      <c r="AP2378" s="6"/>
      <c r="AQ2378" s="6"/>
    </row>
    <row r="2379" spans="1:43" x14ac:dyDescent="0.3">
      <c r="A2379" s="6">
        <v>37562</v>
      </c>
      <c r="B2379" s="5" t="s">
        <v>234</v>
      </c>
      <c r="C2379" s="5" t="s">
        <v>231</v>
      </c>
      <c r="D2379" s="2">
        <f t="shared" si="136"/>
        <v>2015</v>
      </c>
      <c r="E2379" s="2">
        <f t="shared" si="137"/>
        <v>2</v>
      </c>
      <c r="F2379" s="3" t="s">
        <v>175</v>
      </c>
      <c r="G2379" s="7">
        <v>42052</v>
      </c>
      <c r="H2379" s="6">
        <v>6595515</v>
      </c>
      <c r="I2379" s="6">
        <v>1624630</v>
      </c>
      <c r="J2379" s="5" t="s">
        <v>207</v>
      </c>
      <c r="K2379" s="1"/>
      <c r="L2379" s="1" t="str">
        <f t="shared" si="138"/>
        <v xml:space="preserve">Käringsjön </v>
      </c>
      <c r="M2379" s="1" t="s">
        <v>177</v>
      </c>
      <c r="N2379" s="6">
        <v>0.5</v>
      </c>
      <c r="O2379" s="6">
        <v>1</v>
      </c>
      <c r="P2379" s="6">
        <v>1</v>
      </c>
      <c r="Q2379" s="6">
        <v>1</v>
      </c>
      <c r="R2379" s="6">
        <v>7.2</v>
      </c>
      <c r="S2379" s="6">
        <v>50</v>
      </c>
      <c r="W2379" s="6">
        <v>2.8220000000000001</v>
      </c>
      <c r="Y2379" s="6">
        <v>0.59699999999999998</v>
      </c>
      <c r="Z2379" s="6">
        <v>3.95</v>
      </c>
      <c r="AA2379" s="6">
        <v>3.4</v>
      </c>
      <c r="AD2379" s="6">
        <v>149.82</v>
      </c>
      <c r="AK2379" s="6">
        <v>13.38</v>
      </c>
      <c r="AL2379" s="6">
        <v>1170.18</v>
      </c>
      <c r="AM2379" s="6"/>
      <c r="AN2379" s="6"/>
      <c r="AO2379" s="6"/>
      <c r="AP2379" s="6"/>
      <c r="AQ2379" s="6"/>
    </row>
    <row r="2380" spans="1:43" x14ac:dyDescent="0.3">
      <c r="A2380" s="6">
        <v>37563</v>
      </c>
      <c r="B2380" s="5" t="s">
        <v>234</v>
      </c>
      <c r="C2380" s="5" t="s">
        <v>231</v>
      </c>
      <c r="D2380" s="2">
        <f t="shared" si="136"/>
        <v>2015</v>
      </c>
      <c r="E2380" s="2">
        <f t="shared" si="137"/>
        <v>2</v>
      </c>
      <c r="F2380" s="3" t="s">
        <v>175</v>
      </c>
      <c r="G2380" s="7">
        <v>42052</v>
      </c>
      <c r="H2380" s="6">
        <v>6595515</v>
      </c>
      <c r="I2380" s="6">
        <v>1624630</v>
      </c>
      <c r="J2380" s="5" t="s">
        <v>207</v>
      </c>
      <c r="K2380" s="1"/>
      <c r="L2380" s="1" t="str">
        <f t="shared" si="138"/>
        <v xml:space="preserve">Käringsjön </v>
      </c>
      <c r="M2380" s="5" t="s">
        <v>211</v>
      </c>
      <c r="N2380" s="6">
        <v>1</v>
      </c>
      <c r="O2380" s="6">
        <v>1</v>
      </c>
      <c r="Q2380" s="6">
        <v>1.8</v>
      </c>
      <c r="R2380" s="6">
        <v>8</v>
      </c>
      <c r="S2380" s="6">
        <v>57</v>
      </c>
    </row>
    <row r="2381" spans="1:43" x14ac:dyDescent="0.3">
      <c r="A2381" s="6">
        <v>37564</v>
      </c>
      <c r="B2381" s="5" t="s">
        <v>234</v>
      </c>
      <c r="C2381" s="5" t="s">
        <v>231</v>
      </c>
      <c r="D2381" s="2">
        <f t="shared" si="136"/>
        <v>2015</v>
      </c>
      <c r="E2381" s="2">
        <f t="shared" si="137"/>
        <v>2</v>
      </c>
      <c r="F2381" s="3" t="s">
        <v>175</v>
      </c>
      <c r="G2381" s="7">
        <v>42052</v>
      </c>
      <c r="H2381" s="6">
        <v>6595515</v>
      </c>
      <c r="I2381" s="6">
        <v>1624630</v>
      </c>
      <c r="J2381" s="5" t="s">
        <v>207</v>
      </c>
      <c r="K2381" s="1"/>
      <c r="L2381" s="1" t="str">
        <f t="shared" si="138"/>
        <v xml:space="preserve">Käringsjön </v>
      </c>
      <c r="M2381" s="5" t="s">
        <v>212</v>
      </c>
      <c r="N2381" s="6">
        <v>2</v>
      </c>
      <c r="O2381" s="6">
        <v>2</v>
      </c>
      <c r="Q2381" s="6">
        <v>3.1</v>
      </c>
      <c r="R2381" s="6">
        <v>3.7</v>
      </c>
      <c r="S2381" s="6">
        <v>27</v>
      </c>
    </row>
    <row r="2382" spans="1:43" x14ac:dyDescent="0.3">
      <c r="A2382" s="6">
        <v>37565</v>
      </c>
      <c r="B2382" s="5" t="s">
        <v>234</v>
      </c>
      <c r="C2382" s="5" t="s">
        <v>231</v>
      </c>
      <c r="D2382" s="2">
        <f t="shared" si="136"/>
        <v>2015</v>
      </c>
      <c r="E2382" s="2">
        <f t="shared" si="137"/>
        <v>2</v>
      </c>
      <c r="F2382" s="3" t="s">
        <v>175</v>
      </c>
      <c r="G2382" s="7">
        <v>42052</v>
      </c>
      <c r="H2382" s="6">
        <v>6595515</v>
      </c>
      <c r="I2382" s="6">
        <v>1624630</v>
      </c>
      <c r="J2382" s="5" t="s">
        <v>207</v>
      </c>
      <c r="K2382" s="1"/>
      <c r="L2382" s="1" t="str">
        <f t="shared" si="138"/>
        <v xml:space="preserve">Käringsjön </v>
      </c>
      <c r="M2382" s="5" t="s">
        <v>213</v>
      </c>
      <c r="N2382" s="6">
        <v>3</v>
      </c>
      <c r="O2382" s="6">
        <v>3</v>
      </c>
      <c r="Q2382" s="6">
        <v>3.5</v>
      </c>
      <c r="R2382" s="6">
        <v>1.8</v>
      </c>
      <c r="S2382" s="6">
        <v>13</v>
      </c>
    </row>
    <row r="2383" spans="1:43" x14ac:dyDescent="0.3">
      <c r="A2383" s="6">
        <v>37566</v>
      </c>
      <c r="B2383" s="5" t="s">
        <v>234</v>
      </c>
      <c r="C2383" s="5" t="s">
        <v>231</v>
      </c>
      <c r="D2383" s="2">
        <f t="shared" si="136"/>
        <v>2015</v>
      </c>
      <c r="E2383" s="2">
        <f t="shared" si="137"/>
        <v>2</v>
      </c>
      <c r="F2383" s="3" t="s">
        <v>175</v>
      </c>
      <c r="G2383" s="7">
        <v>42052</v>
      </c>
      <c r="H2383" s="6">
        <v>6595515</v>
      </c>
      <c r="I2383" s="6">
        <v>1624630</v>
      </c>
      <c r="J2383" s="5" t="s">
        <v>207</v>
      </c>
      <c r="K2383" s="1"/>
      <c r="L2383" s="1" t="str">
        <f t="shared" si="138"/>
        <v xml:space="preserve">Käringsjön </v>
      </c>
      <c r="M2383" s="1" t="s">
        <v>184</v>
      </c>
      <c r="N2383" s="6">
        <v>3.7</v>
      </c>
      <c r="O2383" s="6">
        <v>3.7</v>
      </c>
      <c r="Q2383" s="6">
        <v>3.6</v>
      </c>
      <c r="R2383" s="6">
        <v>0.9</v>
      </c>
      <c r="S2383" s="6">
        <v>7</v>
      </c>
      <c r="W2383" s="6">
        <v>8.4718999999999998</v>
      </c>
      <c r="Y2383" s="6">
        <v>0.59899999999999998</v>
      </c>
      <c r="Z2383" s="6">
        <v>5.16</v>
      </c>
      <c r="AA2383" s="6">
        <v>3.7</v>
      </c>
      <c r="AD2383" s="6">
        <v>151.85</v>
      </c>
      <c r="AK2383" s="6">
        <v>20.51</v>
      </c>
      <c r="AL2383" s="6">
        <v>1236.73</v>
      </c>
      <c r="AM2383" s="6"/>
      <c r="AN2383" s="6"/>
      <c r="AO2383" s="6"/>
      <c r="AP2383" s="6"/>
      <c r="AQ2383" s="6"/>
    </row>
    <row r="2384" spans="1:43" x14ac:dyDescent="0.3">
      <c r="A2384" s="6">
        <v>37567</v>
      </c>
      <c r="B2384" s="5" t="s">
        <v>234</v>
      </c>
      <c r="C2384" s="5" t="s">
        <v>231</v>
      </c>
      <c r="D2384" s="2">
        <f t="shared" si="136"/>
        <v>2015</v>
      </c>
      <c r="E2384" s="2">
        <f t="shared" si="137"/>
        <v>2</v>
      </c>
      <c r="F2384" s="3" t="s">
        <v>175</v>
      </c>
      <c r="G2384" s="7">
        <v>42052</v>
      </c>
      <c r="H2384" s="6">
        <v>6595470</v>
      </c>
      <c r="I2384" s="6">
        <v>1622370</v>
      </c>
      <c r="J2384" s="5" t="s">
        <v>190</v>
      </c>
      <c r="K2384" s="1"/>
      <c r="L2384" s="1" t="str">
        <f t="shared" si="138"/>
        <v xml:space="preserve">Snuggan </v>
      </c>
      <c r="M2384" s="1" t="s">
        <v>177</v>
      </c>
      <c r="N2384" s="6">
        <v>0.5</v>
      </c>
      <c r="O2384" s="6">
        <v>0.5</v>
      </c>
      <c r="P2384" s="6">
        <v>0.8</v>
      </c>
      <c r="Q2384" s="6">
        <v>0.5</v>
      </c>
      <c r="R2384" s="6">
        <v>8.4</v>
      </c>
      <c r="S2384" s="6">
        <v>56</v>
      </c>
      <c r="W2384" s="6">
        <v>174.1763</v>
      </c>
      <c r="Y2384" s="6">
        <v>0.65300000000000002</v>
      </c>
      <c r="Z2384" s="6">
        <v>0.21</v>
      </c>
      <c r="AA2384" s="6">
        <v>3.6</v>
      </c>
      <c r="AD2384" s="6">
        <v>31.37</v>
      </c>
      <c r="AK2384" s="6">
        <v>20.149999999999999</v>
      </c>
      <c r="AL2384" s="6">
        <v>1206.77</v>
      </c>
      <c r="AM2384" s="6"/>
      <c r="AN2384" s="6"/>
      <c r="AO2384" s="6"/>
      <c r="AP2384" s="6"/>
      <c r="AQ2384" s="6"/>
    </row>
    <row r="2385" spans="1:51" x14ac:dyDescent="0.3">
      <c r="A2385" s="6">
        <v>37568</v>
      </c>
      <c r="B2385" s="5" t="s">
        <v>234</v>
      </c>
      <c r="C2385" s="5" t="s">
        <v>231</v>
      </c>
      <c r="D2385" s="2">
        <f t="shared" si="136"/>
        <v>2015</v>
      </c>
      <c r="E2385" s="2">
        <f t="shared" si="137"/>
        <v>2</v>
      </c>
      <c r="F2385" s="3" t="s">
        <v>175</v>
      </c>
      <c r="G2385" s="7">
        <v>42052</v>
      </c>
      <c r="H2385" s="6">
        <v>6595470</v>
      </c>
      <c r="I2385" s="6">
        <v>1622370</v>
      </c>
      <c r="J2385" s="5" t="s">
        <v>190</v>
      </c>
      <c r="K2385" s="1"/>
      <c r="L2385" s="1" t="str">
        <f t="shared" si="138"/>
        <v xml:space="preserve">Snuggan </v>
      </c>
      <c r="M2385" s="5" t="s">
        <v>211</v>
      </c>
      <c r="N2385" s="6">
        <v>1</v>
      </c>
      <c r="O2385" s="6">
        <v>1</v>
      </c>
      <c r="Q2385" s="6">
        <v>1.7</v>
      </c>
      <c r="R2385" s="6">
        <v>7.1</v>
      </c>
      <c r="S2385" s="6">
        <v>50</v>
      </c>
    </row>
    <row r="2386" spans="1:51" x14ac:dyDescent="0.3">
      <c r="A2386" s="6">
        <v>37569</v>
      </c>
      <c r="B2386" s="5" t="s">
        <v>234</v>
      </c>
      <c r="C2386" s="5" t="s">
        <v>231</v>
      </c>
      <c r="D2386" s="2">
        <f t="shared" si="136"/>
        <v>2015</v>
      </c>
      <c r="E2386" s="2">
        <f t="shared" si="137"/>
        <v>2</v>
      </c>
      <c r="F2386" s="3" t="s">
        <v>175</v>
      </c>
      <c r="G2386" s="7">
        <v>42052</v>
      </c>
      <c r="H2386" s="6">
        <v>6595470</v>
      </c>
      <c r="I2386" s="6">
        <v>1622370</v>
      </c>
      <c r="J2386" s="5" t="s">
        <v>190</v>
      </c>
      <c r="K2386" s="1"/>
      <c r="L2386" s="1" t="str">
        <f t="shared" si="138"/>
        <v xml:space="preserve">Snuggan </v>
      </c>
      <c r="M2386" s="5" t="s">
        <v>212</v>
      </c>
      <c r="N2386" s="6">
        <v>2</v>
      </c>
      <c r="O2386" s="6">
        <v>2</v>
      </c>
      <c r="Q2386" s="6">
        <v>3.1</v>
      </c>
      <c r="R2386" s="6">
        <v>4</v>
      </c>
      <c r="S2386" s="6">
        <v>29</v>
      </c>
    </row>
    <row r="2387" spans="1:51" x14ac:dyDescent="0.3">
      <c r="A2387" s="6">
        <v>37570</v>
      </c>
      <c r="B2387" s="5" t="s">
        <v>234</v>
      </c>
      <c r="C2387" s="5" t="s">
        <v>231</v>
      </c>
      <c r="D2387" s="2">
        <f t="shared" si="136"/>
        <v>2015</v>
      </c>
      <c r="E2387" s="2">
        <f t="shared" si="137"/>
        <v>2</v>
      </c>
      <c r="F2387" s="3" t="s">
        <v>175</v>
      </c>
      <c r="G2387" s="7">
        <v>42052</v>
      </c>
      <c r="H2387" s="6">
        <v>6595470</v>
      </c>
      <c r="I2387" s="6">
        <v>1622370</v>
      </c>
      <c r="J2387" s="5" t="s">
        <v>190</v>
      </c>
      <c r="K2387" s="1"/>
      <c r="L2387" s="1" t="str">
        <f t="shared" si="138"/>
        <v xml:space="preserve">Snuggan </v>
      </c>
      <c r="M2387" s="1" t="s">
        <v>184</v>
      </c>
      <c r="N2387" s="6">
        <v>2.8</v>
      </c>
      <c r="O2387" s="6">
        <v>2.8</v>
      </c>
      <c r="Q2387" s="6">
        <v>3.9</v>
      </c>
      <c r="R2387" s="6">
        <v>0.5</v>
      </c>
      <c r="S2387" s="6">
        <v>4</v>
      </c>
      <c r="W2387" s="6">
        <v>211.5992</v>
      </c>
      <c r="Y2387" s="6">
        <v>0.69599999999999995</v>
      </c>
      <c r="Z2387" s="6">
        <v>2</v>
      </c>
      <c r="AA2387" s="6">
        <v>3.6</v>
      </c>
      <c r="AD2387" s="6">
        <v>26.74</v>
      </c>
      <c r="AK2387" s="6">
        <v>22.42</v>
      </c>
      <c r="AL2387" s="6">
        <v>1213.52</v>
      </c>
      <c r="AM2387" s="6"/>
      <c r="AN2387" s="6"/>
      <c r="AO2387" s="6"/>
      <c r="AP2387" s="6"/>
      <c r="AQ2387" s="6"/>
    </row>
    <row r="2388" spans="1:51" x14ac:dyDescent="0.3">
      <c r="D2388" s="2">
        <f t="shared" si="136"/>
        <v>2015</v>
      </c>
      <c r="E2388" s="2">
        <f t="shared" si="137"/>
        <v>2</v>
      </c>
      <c r="F2388" s="3" t="s">
        <v>175</v>
      </c>
      <c r="G2388" s="4">
        <v>42052</v>
      </c>
      <c r="H2388" s="1">
        <v>6606238</v>
      </c>
      <c r="I2388" s="1">
        <v>661152</v>
      </c>
      <c r="J2388" s="5" t="s">
        <v>176</v>
      </c>
      <c r="K2388" s="1"/>
      <c r="L2388" s="1" t="str">
        <f t="shared" si="138"/>
        <v xml:space="preserve">Oxundaån </v>
      </c>
      <c r="M2388" s="1" t="s">
        <v>177</v>
      </c>
      <c r="N2388" s="1">
        <v>0.1</v>
      </c>
      <c r="O2388" s="1">
        <v>0.1</v>
      </c>
      <c r="Q2388" s="1">
        <v>0.7</v>
      </c>
      <c r="T2388" s="1">
        <v>46.6</v>
      </c>
      <c r="V2388" s="1">
        <v>2.1720000000000002</v>
      </c>
      <c r="W2388" s="1">
        <v>80</v>
      </c>
      <c r="X2388" s="1">
        <f>W2388 * (1/((10^((0.0901821 + (2729.92 /(273.15 + Q2388)))-AE2388)+1)))</f>
        <v>0.14569587301271583</v>
      </c>
      <c r="Y2388" s="1">
        <v>0.08</v>
      </c>
      <c r="Z2388" s="1">
        <v>28</v>
      </c>
      <c r="AA2388" s="1">
        <v>8.9</v>
      </c>
      <c r="AD2388" s="1">
        <v>1070</v>
      </c>
      <c r="AE2388" s="1">
        <v>7.32</v>
      </c>
      <c r="AI2388" s="1">
        <v>13.8</v>
      </c>
      <c r="AK2388" s="1">
        <v>51.9</v>
      </c>
      <c r="AL2388" s="1">
        <v>1720</v>
      </c>
      <c r="AR2388" s="1">
        <v>51.6</v>
      </c>
      <c r="AT2388" s="1">
        <v>5.2785000000000002</v>
      </c>
      <c r="AU2388" s="1">
        <v>9.0991999999999997</v>
      </c>
      <c r="AV2388" s="1">
        <v>38.144200000000005</v>
      </c>
      <c r="AW2388" s="1">
        <v>26.8398</v>
      </c>
      <c r="AX2388" s="1">
        <v>57.563899999999997</v>
      </c>
      <c r="AY2388" s="1">
        <v>5.9</v>
      </c>
    </row>
    <row r="2389" spans="1:51" x14ac:dyDescent="0.3">
      <c r="A2389" s="6">
        <v>37571</v>
      </c>
      <c r="B2389" s="5" t="s">
        <v>234</v>
      </c>
      <c r="C2389" s="5" t="s">
        <v>231</v>
      </c>
      <c r="D2389" s="2">
        <f t="shared" si="136"/>
        <v>2015</v>
      </c>
      <c r="E2389" s="2">
        <f t="shared" si="137"/>
        <v>2</v>
      </c>
      <c r="F2389" s="3" t="s">
        <v>175</v>
      </c>
      <c r="G2389" s="7">
        <v>42053</v>
      </c>
      <c r="H2389" s="6">
        <v>6597555</v>
      </c>
      <c r="I2389" s="6">
        <v>1629125</v>
      </c>
      <c r="J2389" s="5" t="s">
        <v>185</v>
      </c>
      <c r="K2389" s="1"/>
      <c r="L2389" s="1" t="str">
        <f t="shared" si="138"/>
        <v xml:space="preserve">Gullsjön </v>
      </c>
      <c r="M2389" s="1" t="s">
        <v>177</v>
      </c>
      <c r="N2389" s="6">
        <v>0.5</v>
      </c>
      <c r="O2389" s="6">
        <v>0.5</v>
      </c>
      <c r="P2389" s="6">
        <v>1.5</v>
      </c>
      <c r="Q2389" s="6">
        <v>1.2</v>
      </c>
      <c r="R2389" s="6">
        <v>2.7</v>
      </c>
      <c r="S2389" s="6">
        <v>19</v>
      </c>
      <c r="W2389" s="6">
        <v>36.93</v>
      </c>
      <c r="Y2389" s="6">
        <v>0.27600000000000002</v>
      </c>
      <c r="Z2389" s="6">
        <v>2.5</v>
      </c>
      <c r="AA2389" s="6">
        <v>8.5</v>
      </c>
      <c r="AD2389" s="6">
        <v>153.62</v>
      </c>
      <c r="AK2389" s="6">
        <v>29.41</v>
      </c>
      <c r="AL2389" s="6">
        <v>1008.64</v>
      </c>
      <c r="AM2389" s="6"/>
      <c r="AN2389" s="6"/>
      <c r="AO2389" s="6"/>
      <c r="AP2389" s="6"/>
      <c r="AQ2389" s="6"/>
    </row>
    <row r="2390" spans="1:51" x14ac:dyDescent="0.3">
      <c r="A2390" s="6">
        <v>37572</v>
      </c>
      <c r="B2390" s="5" t="s">
        <v>234</v>
      </c>
      <c r="C2390" s="5" t="s">
        <v>231</v>
      </c>
      <c r="D2390" s="2">
        <f t="shared" si="136"/>
        <v>2015</v>
      </c>
      <c r="E2390" s="2">
        <f t="shared" si="137"/>
        <v>2</v>
      </c>
      <c r="F2390" s="3" t="s">
        <v>175</v>
      </c>
      <c r="G2390" s="7">
        <v>42053</v>
      </c>
      <c r="H2390" s="6">
        <v>6597555</v>
      </c>
      <c r="I2390" s="6">
        <v>1629125</v>
      </c>
      <c r="J2390" s="5" t="s">
        <v>185</v>
      </c>
      <c r="K2390" s="1"/>
      <c r="L2390" s="1" t="str">
        <f t="shared" si="138"/>
        <v xml:space="preserve">Gullsjön </v>
      </c>
      <c r="M2390" s="5" t="s">
        <v>211</v>
      </c>
      <c r="N2390" s="6">
        <v>1</v>
      </c>
      <c r="O2390" s="6">
        <v>1</v>
      </c>
      <c r="Q2390" s="6">
        <v>2</v>
      </c>
      <c r="R2390" s="6">
        <v>0.9</v>
      </c>
      <c r="S2390" s="6">
        <v>6</v>
      </c>
    </row>
    <row r="2391" spans="1:51" x14ac:dyDescent="0.3">
      <c r="A2391" s="6">
        <v>37573</v>
      </c>
      <c r="B2391" s="5" t="s">
        <v>234</v>
      </c>
      <c r="C2391" s="5" t="s">
        <v>231</v>
      </c>
      <c r="D2391" s="2">
        <f t="shared" si="136"/>
        <v>2015</v>
      </c>
      <c r="E2391" s="2">
        <f t="shared" si="137"/>
        <v>2</v>
      </c>
      <c r="F2391" s="3" t="s">
        <v>175</v>
      </c>
      <c r="G2391" s="7">
        <v>42053</v>
      </c>
      <c r="H2391" s="6">
        <v>6597555</v>
      </c>
      <c r="I2391" s="6">
        <v>1629125</v>
      </c>
      <c r="J2391" s="5" t="s">
        <v>185</v>
      </c>
      <c r="K2391" s="1"/>
      <c r="L2391" s="1" t="str">
        <f t="shared" si="138"/>
        <v xml:space="preserve">Gullsjön </v>
      </c>
      <c r="M2391" s="1" t="s">
        <v>184</v>
      </c>
      <c r="N2391" s="6">
        <v>2</v>
      </c>
      <c r="O2391" s="6">
        <v>2</v>
      </c>
      <c r="Q2391" s="6">
        <v>3.2</v>
      </c>
      <c r="R2391" s="6">
        <v>0.1</v>
      </c>
      <c r="S2391" s="6">
        <v>1</v>
      </c>
      <c r="W2391" s="6">
        <v>61.038200000000003</v>
      </c>
      <c r="Y2391" s="6">
        <v>0.224</v>
      </c>
      <c r="Z2391" s="6">
        <v>1.01</v>
      </c>
      <c r="AA2391" s="6">
        <v>4.9000000000000004</v>
      </c>
      <c r="AD2391" s="6">
        <v>113.45</v>
      </c>
      <c r="AK2391" s="6">
        <v>27.09</v>
      </c>
      <c r="AL2391" s="6">
        <v>949.83</v>
      </c>
      <c r="AM2391" s="6"/>
      <c r="AN2391" s="6"/>
      <c r="AO2391" s="6"/>
      <c r="AP2391" s="6"/>
      <c r="AQ2391" s="6"/>
    </row>
    <row r="2392" spans="1:51" x14ac:dyDescent="0.3">
      <c r="A2392" s="6">
        <v>37574</v>
      </c>
      <c r="B2392" s="5" t="s">
        <v>234</v>
      </c>
      <c r="C2392" s="5" t="s">
        <v>231</v>
      </c>
      <c r="D2392" s="2">
        <f t="shared" si="136"/>
        <v>2015</v>
      </c>
      <c r="E2392" s="2">
        <f t="shared" si="137"/>
        <v>2</v>
      </c>
      <c r="F2392" s="3" t="s">
        <v>175</v>
      </c>
      <c r="G2392" s="7">
        <v>42053</v>
      </c>
      <c r="H2392" s="6">
        <v>6594430</v>
      </c>
      <c r="I2392" s="6">
        <v>1625370</v>
      </c>
      <c r="J2392" s="5" t="s">
        <v>201</v>
      </c>
      <c r="K2392" s="1"/>
      <c r="L2392" s="1" t="str">
        <f t="shared" si="138"/>
        <v xml:space="preserve">Mörtsjön </v>
      </c>
      <c r="M2392" s="1" t="s">
        <v>177</v>
      </c>
      <c r="N2392" s="6">
        <v>0.5</v>
      </c>
      <c r="O2392" s="6">
        <v>0.5</v>
      </c>
      <c r="P2392" s="6">
        <v>1.6</v>
      </c>
      <c r="Q2392" s="6">
        <v>0.8</v>
      </c>
      <c r="R2392" s="6">
        <v>4.9000000000000004</v>
      </c>
      <c r="S2392" s="6">
        <v>34</v>
      </c>
      <c r="W2392" s="6">
        <v>30.9862</v>
      </c>
      <c r="Y2392" s="6">
        <v>0.73299999999999998</v>
      </c>
      <c r="Z2392" s="6">
        <v>0.19</v>
      </c>
      <c r="AA2392" s="6">
        <v>6.2</v>
      </c>
      <c r="AD2392" s="6">
        <v>221.7</v>
      </c>
      <c r="AK2392" s="6">
        <v>23.73</v>
      </c>
      <c r="AL2392" s="6">
        <v>1721.43</v>
      </c>
      <c r="AM2392" s="6"/>
      <c r="AN2392" s="6"/>
      <c r="AO2392" s="6"/>
      <c r="AP2392" s="6"/>
      <c r="AQ2392" s="6"/>
    </row>
    <row r="2393" spans="1:51" x14ac:dyDescent="0.3">
      <c r="A2393" s="6">
        <v>37575</v>
      </c>
      <c r="B2393" s="5" t="s">
        <v>234</v>
      </c>
      <c r="C2393" s="5" t="s">
        <v>231</v>
      </c>
      <c r="D2393" s="2">
        <f t="shared" si="136"/>
        <v>2015</v>
      </c>
      <c r="E2393" s="2">
        <f t="shared" si="137"/>
        <v>2</v>
      </c>
      <c r="F2393" s="3" t="s">
        <v>175</v>
      </c>
      <c r="G2393" s="7">
        <v>42053</v>
      </c>
      <c r="H2393" s="6">
        <v>6594430</v>
      </c>
      <c r="I2393" s="6">
        <v>1625370</v>
      </c>
      <c r="J2393" s="5" t="s">
        <v>201</v>
      </c>
      <c r="K2393" s="1"/>
      <c r="L2393" s="1" t="str">
        <f t="shared" si="138"/>
        <v xml:space="preserve">Mörtsjön </v>
      </c>
      <c r="M2393" s="5" t="s">
        <v>211</v>
      </c>
      <c r="N2393" s="6">
        <v>1</v>
      </c>
      <c r="O2393" s="6">
        <v>1</v>
      </c>
      <c r="Q2393" s="6">
        <v>2.4</v>
      </c>
      <c r="R2393" s="6">
        <v>3</v>
      </c>
      <c r="S2393" s="6">
        <v>22</v>
      </c>
    </row>
    <row r="2394" spans="1:51" x14ac:dyDescent="0.3">
      <c r="A2394" s="6">
        <v>37576</v>
      </c>
      <c r="B2394" s="5" t="s">
        <v>234</v>
      </c>
      <c r="C2394" s="5" t="s">
        <v>231</v>
      </c>
      <c r="D2394" s="2">
        <f t="shared" si="136"/>
        <v>2015</v>
      </c>
      <c r="E2394" s="2">
        <f t="shared" si="137"/>
        <v>2</v>
      </c>
      <c r="F2394" s="3" t="s">
        <v>175</v>
      </c>
      <c r="G2394" s="7">
        <v>42053</v>
      </c>
      <c r="H2394" s="6">
        <v>6594430</v>
      </c>
      <c r="I2394" s="6">
        <v>1625370</v>
      </c>
      <c r="J2394" s="5" t="s">
        <v>201</v>
      </c>
      <c r="K2394" s="1"/>
      <c r="L2394" s="1" t="str">
        <f t="shared" si="138"/>
        <v xml:space="preserve">Mörtsjön </v>
      </c>
      <c r="M2394" s="5" t="s">
        <v>212</v>
      </c>
      <c r="N2394" s="6">
        <v>2</v>
      </c>
      <c r="O2394" s="6">
        <v>2</v>
      </c>
      <c r="Q2394" s="6">
        <v>3.8</v>
      </c>
      <c r="R2394" s="6">
        <v>2.7</v>
      </c>
      <c r="S2394" s="6">
        <v>21</v>
      </c>
    </row>
    <row r="2395" spans="1:51" x14ac:dyDescent="0.3">
      <c r="A2395" s="6">
        <v>37577</v>
      </c>
      <c r="B2395" s="5" t="s">
        <v>234</v>
      </c>
      <c r="C2395" s="5" t="s">
        <v>231</v>
      </c>
      <c r="D2395" s="2">
        <f t="shared" si="136"/>
        <v>2015</v>
      </c>
      <c r="E2395" s="2">
        <f t="shared" si="137"/>
        <v>2</v>
      </c>
      <c r="F2395" s="3" t="s">
        <v>175</v>
      </c>
      <c r="G2395" s="7">
        <v>42053</v>
      </c>
      <c r="H2395" s="6">
        <v>6594430</v>
      </c>
      <c r="I2395" s="6">
        <v>1625370</v>
      </c>
      <c r="J2395" s="5" t="s">
        <v>201</v>
      </c>
      <c r="K2395" s="1"/>
      <c r="L2395" s="1" t="str">
        <f t="shared" si="138"/>
        <v xml:space="preserve">Mörtsjön </v>
      </c>
      <c r="M2395" s="5" t="s">
        <v>213</v>
      </c>
      <c r="N2395" s="6">
        <v>3</v>
      </c>
      <c r="O2395" s="6">
        <v>3</v>
      </c>
      <c r="Q2395" s="6">
        <v>4.2</v>
      </c>
      <c r="R2395" s="6">
        <v>3.3</v>
      </c>
      <c r="S2395" s="6">
        <v>25</v>
      </c>
    </row>
    <row r="2396" spans="1:51" x14ac:dyDescent="0.3">
      <c r="A2396" s="6">
        <v>37578</v>
      </c>
      <c r="B2396" s="5" t="s">
        <v>234</v>
      </c>
      <c r="C2396" s="5" t="s">
        <v>231</v>
      </c>
      <c r="D2396" s="2">
        <f t="shared" si="136"/>
        <v>2015</v>
      </c>
      <c r="E2396" s="2">
        <f t="shared" si="137"/>
        <v>2</v>
      </c>
      <c r="F2396" s="3" t="s">
        <v>175</v>
      </c>
      <c r="G2396" s="7">
        <v>42053</v>
      </c>
      <c r="H2396" s="6">
        <v>6594430</v>
      </c>
      <c r="I2396" s="6">
        <v>1625370</v>
      </c>
      <c r="J2396" s="5" t="s">
        <v>201</v>
      </c>
      <c r="K2396" s="1"/>
      <c r="L2396" s="1" t="str">
        <f t="shared" si="138"/>
        <v xml:space="preserve">Mörtsjön </v>
      </c>
      <c r="M2396" s="5" t="s">
        <v>214</v>
      </c>
      <c r="N2396" s="6">
        <v>4</v>
      </c>
      <c r="O2396" s="6">
        <v>4</v>
      </c>
      <c r="Q2396" s="6">
        <v>4.5999999999999996</v>
      </c>
      <c r="R2396" s="6">
        <v>2.5</v>
      </c>
      <c r="S2396" s="6">
        <v>19</v>
      </c>
    </row>
    <row r="2397" spans="1:51" x14ac:dyDescent="0.3">
      <c r="A2397" s="6">
        <v>37579</v>
      </c>
      <c r="B2397" s="5" t="s">
        <v>234</v>
      </c>
      <c r="C2397" s="5" t="s">
        <v>231</v>
      </c>
      <c r="D2397" s="2">
        <f t="shared" si="136"/>
        <v>2015</v>
      </c>
      <c r="E2397" s="2">
        <f t="shared" si="137"/>
        <v>2</v>
      </c>
      <c r="F2397" s="3" t="s">
        <v>175</v>
      </c>
      <c r="G2397" s="7">
        <v>42053</v>
      </c>
      <c r="H2397" s="6">
        <v>6594430</v>
      </c>
      <c r="I2397" s="6">
        <v>1625370</v>
      </c>
      <c r="J2397" s="5" t="s">
        <v>201</v>
      </c>
      <c r="K2397" s="1"/>
      <c r="L2397" s="1" t="str">
        <f t="shared" si="138"/>
        <v xml:space="preserve">Mörtsjön </v>
      </c>
      <c r="M2397" s="1" t="s">
        <v>184</v>
      </c>
      <c r="N2397" s="6">
        <v>4.2</v>
      </c>
      <c r="O2397" s="6">
        <v>4.2</v>
      </c>
      <c r="Q2397" s="6">
        <v>4.8</v>
      </c>
      <c r="R2397" s="6">
        <v>0.6</v>
      </c>
      <c r="S2397" s="6">
        <v>0.6</v>
      </c>
      <c r="W2397" s="6">
        <v>114.8772</v>
      </c>
      <c r="Y2397" s="6">
        <v>0.2</v>
      </c>
      <c r="Z2397" s="6">
        <v>19.04</v>
      </c>
      <c r="AA2397" s="6">
        <v>5.9</v>
      </c>
      <c r="AD2397" s="6">
        <v>683.55</v>
      </c>
      <c r="AK2397" s="6">
        <v>34.799999999999997</v>
      </c>
      <c r="AL2397" s="6">
        <v>1616.79</v>
      </c>
      <c r="AM2397" s="6"/>
      <c r="AN2397" s="6"/>
      <c r="AO2397" s="6"/>
      <c r="AP2397" s="6"/>
      <c r="AQ2397" s="6"/>
    </row>
    <row r="2398" spans="1:51" x14ac:dyDescent="0.3">
      <c r="A2398" s="6">
        <v>37618</v>
      </c>
      <c r="B2398" s="5" t="s">
        <v>234</v>
      </c>
      <c r="C2398" s="5" t="s">
        <v>231</v>
      </c>
      <c r="D2398" s="2">
        <f t="shared" si="136"/>
        <v>2015</v>
      </c>
      <c r="E2398" s="2">
        <f t="shared" si="137"/>
        <v>2</v>
      </c>
      <c r="F2398" s="3" t="s">
        <v>175</v>
      </c>
      <c r="G2398" s="7">
        <v>42060</v>
      </c>
      <c r="H2398" s="6">
        <v>6599245</v>
      </c>
      <c r="I2398" s="6">
        <v>1622345</v>
      </c>
      <c r="J2398" s="5" t="s">
        <v>186</v>
      </c>
      <c r="K2398" s="1">
        <v>1</v>
      </c>
      <c r="L2398" s="1" t="str">
        <f t="shared" si="138"/>
        <v>Norrviken 1</v>
      </c>
      <c r="M2398" s="1" t="s">
        <v>177</v>
      </c>
      <c r="N2398" s="6">
        <v>0.5</v>
      </c>
      <c r="O2398" s="6">
        <v>0.5</v>
      </c>
      <c r="P2398" s="6">
        <v>1.1000000000000001</v>
      </c>
      <c r="Q2398" s="6">
        <v>1.2</v>
      </c>
      <c r="R2398" s="6">
        <v>11.4</v>
      </c>
      <c r="S2398" s="6">
        <v>81</v>
      </c>
      <c r="W2398" s="6">
        <v>218.0703</v>
      </c>
      <c r="Y2398" s="6">
        <v>0.14199999999999999</v>
      </c>
      <c r="Z2398" s="6">
        <v>9.57</v>
      </c>
      <c r="AA2398" s="6">
        <v>12</v>
      </c>
      <c r="AD2398" s="6">
        <v>810.62</v>
      </c>
      <c r="AK2398" s="6">
        <v>43.11</v>
      </c>
      <c r="AL2398" s="6">
        <v>1647.84</v>
      </c>
      <c r="AM2398" s="6"/>
      <c r="AN2398" s="6"/>
      <c r="AO2398" s="6"/>
      <c r="AP2398" s="6"/>
      <c r="AQ2398" s="6"/>
    </row>
    <row r="2399" spans="1:51" x14ac:dyDescent="0.3">
      <c r="A2399" s="6">
        <v>37619</v>
      </c>
      <c r="B2399" s="5" t="s">
        <v>234</v>
      </c>
      <c r="C2399" s="5" t="s">
        <v>231</v>
      </c>
      <c r="D2399" s="2">
        <f t="shared" si="136"/>
        <v>2015</v>
      </c>
      <c r="E2399" s="2">
        <f t="shared" si="137"/>
        <v>2</v>
      </c>
      <c r="F2399" s="3" t="s">
        <v>175</v>
      </c>
      <c r="G2399" s="7">
        <v>42060</v>
      </c>
      <c r="H2399" s="6">
        <v>6599245</v>
      </c>
      <c r="I2399" s="6">
        <v>1622345</v>
      </c>
      <c r="J2399" s="5" t="s">
        <v>186</v>
      </c>
      <c r="K2399" s="1">
        <v>1</v>
      </c>
      <c r="L2399" s="1" t="str">
        <f t="shared" si="138"/>
        <v>Norrviken 1</v>
      </c>
      <c r="M2399" s="5" t="s">
        <v>211</v>
      </c>
      <c r="N2399" s="6">
        <v>1</v>
      </c>
      <c r="O2399" s="6">
        <v>1</v>
      </c>
      <c r="Q2399" s="6">
        <v>1.4</v>
      </c>
      <c r="R2399" s="6">
        <v>11.3</v>
      </c>
      <c r="S2399" s="6">
        <v>80</v>
      </c>
    </row>
    <row r="2400" spans="1:51" x14ac:dyDescent="0.3">
      <c r="A2400" s="6">
        <v>37620</v>
      </c>
      <c r="B2400" s="5" t="s">
        <v>234</v>
      </c>
      <c r="C2400" s="5" t="s">
        <v>231</v>
      </c>
      <c r="D2400" s="2">
        <f t="shared" si="136"/>
        <v>2015</v>
      </c>
      <c r="E2400" s="2">
        <f t="shared" si="137"/>
        <v>2</v>
      </c>
      <c r="F2400" s="3" t="s">
        <v>175</v>
      </c>
      <c r="G2400" s="7">
        <v>42060</v>
      </c>
      <c r="H2400" s="6">
        <v>6599245</v>
      </c>
      <c r="I2400" s="6">
        <v>1622345</v>
      </c>
      <c r="J2400" s="5" t="s">
        <v>186</v>
      </c>
      <c r="K2400" s="1">
        <v>1</v>
      </c>
      <c r="L2400" s="1" t="str">
        <f t="shared" si="138"/>
        <v>Norrviken 1</v>
      </c>
      <c r="M2400" s="5" t="s">
        <v>212</v>
      </c>
      <c r="N2400" s="6">
        <v>2</v>
      </c>
      <c r="O2400" s="6">
        <v>2</v>
      </c>
      <c r="Q2400" s="6">
        <v>1.6</v>
      </c>
      <c r="R2400" s="6">
        <v>8.3000000000000007</v>
      </c>
      <c r="S2400" s="6">
        <v>60</v>
      </c>
    </row>
    <row r="2401" spans="1:43" x14ac:dyDescent="0.3">
      <c r="A2401" s="6">
        <v>37621</v>
      </c>
      <c r="B2401" s="5" t="s">
        <v>234</v>
      </c>
      <c r="C2401" s="5" t="s">
        <v>231</v>
      </c>
      <c r="D2401" s="2">
        <f t="shared" si="136"/>
        <v>2015</v>
      </c>
      <c r="E2401" s="2">
        <f t="shared" si="137"/>
        <v>2</v>
      </c>
      <c r="F2401" s="3" t="s">
        <v>175</v>
      </c>
      <c r="G2401" s="7">
        <v>42060</v>
      </c>
      <c r="H2401" s="6">
        <v>6599245</v>
      </c>
      <c r="I2401" s="6">
        <v>1622345</v>
      </c>
      <c r="J2401" s="5" t="s">
        <v>186</v>
      </c>
      <c r="K2401" s="1">
        <v>1</v>
      </c>
      <c r="L2401" s="1" t="str">
        <f t="shared" si="138"/>
        <v>Norrviken 1</v>
      </c>
      <c r="M2401" s="1" t="s">
        <v>184</v>
      </c>
      <c r="N2401" s="6">
        <v>2.7</v>
      </c>
      <c r="O2401" s="6">
        <v>2.7</v>
      </c>
      <c r="Q2401" s="6">
        <v>2.1</v>
      </c>
      <c r="R2401" s="6">
        <v>4.7</v>
      </c>
      <c r="S2401" s="6">
        <v>34</v>
      </c>
      <c r="W2401" s="6">
        <v>240.75720000000001</v>
      </c>
      <c r="Y2401" s="6">
        <v>0.14199999999999999</v>
      </c>
      <c r="Z2401" s="6">
        <v>10.69</v>
      </c>
      <c r="AA2401" s="6">
        <v>13.2</v>
      </c>
      <c r="AD2401" s="6">
        <v>1026.23</v>
      </c>
      <c r="AK2401" s="6">
        <v>51.05</v>
      </c>
      <c r="AL2401" s="6">
        <v>1822.58</v>
      </c>
      <c r="AM2401" s="6"/>
      <c r="AN2401" s="6"/>
      <c r="AO2401" s="6"/>
      <c r="AP2401" s="6"/>
      <c r="AQ2401" s="6"/>
    </row>
    <row r="2402" spans="1:43" x14ac:dyDescent="0.3">
      <c r="A2402" s="6">
        <v>37622</v>
      </c>
      <c r="B2402" s="5" t="s">
        <v>234</v>
      </c>
      <c r="C2402" s="5" t="s">
        <v>231</v>
      </c>
      <c r="D2402" s="2">
        <f t="shared" si="136"/>
        <v>2015</v>
      </c>
      <c r="E2402" s="2">
        <f t="shared" si="137"/>
        <v>2</v>
      </c>
      <c r="F2402" s="3" t="s">
        <v>175</v>
      </c>
      <c r="G2402" s="7">
        <v>42060</v>
      </c>
      <c r="H2402" s="6">
        <v>6596620</v>
      </c>
      <c r="I2402" s="6">
        <v>1620350</v>
      </c>
      <c r="J2402" s="5" t="s">
        <v>186</v>
      </c>
      <c r="K2402" s="1">
        <v>2</v>
      </c>
      <c r="L2402" s="1" t="str">
        <f t="shared" si="138"/>
        <v>Norrviken 2</v>
      </c>
      <c r="M2402" s="1" t="s">
        <v>177</v>
      </c>
      <c r="N2402" s="6">
        <v>0.5</v>
      </c>
      <c r="O2402" s="6">
        <v>0.5</v>
      </c>
      <c r="P2402" s="6">
        <v>1.6</v>
      </c>
      <c r="Q2402" s="6">
        <v>2</v>
      </c>
      <c r="R2402" s="6">
        <v>11.8</v>
      </c>
      <c r="S2402" s="6">
        <v>86</v>
      </c>
      <c r="W2402" s="6">
        <v>79.531999999999996</v>
      </c>
      <c r="Y2402" s="6">
        <v>0.13800000000000001</v>
      </c>
      <c r="Z2402" s="6">
        <v>4.3600000000000003</v>
      </c>
      <c r="AA2402" s="6">
        <v>10.5</v>
      </c>
      <c r="AD2402" s="6">
        <v>385.2</v>
      </c>
      <c r="AK2402" s="6">
        <v>29.31</v>
      </c>
      <c r="AL2402" s="6">
        <v>1068.0999999999999</v>
      </c>
      <c r="AM2402" s="6"/>
      <c r="AN2402" s="6"/>
      <c r="AO2402" s="6"/>
      <c r="AP2402" s="6"/>
      <c r="AQ2402" s="6"/>
    </row>
    <row r="2403" spans="1:43" x14ac:dyDescent="0.3">
      <c r="A2403" s="6">
        <v>37623</v>
      </c>
      <c r="B2403" s="5" t="s">
        <v>234</v>
      </c>
      <c r="C2403" s="5" t="s">
        <v>231</v>
      </c>
      <c r="D2403" s="2">
        <f t="shared" si="136"/>
        <v>2015</v>
      </c>
      <c r="E2403" s="2">
        <f t="shared" si="137"/>
        <v>2</v>
      </c>
      <c r="F2403" s="3" t="s">
        <v>175</v>
      </c>
      <c r="G2403" s="7">
        <v>42060</v>
      </c>
      <c r="H2403" s="6">
        <v>6596620</v>
      </c>
      <c r="I2403" s="6">
        <v>1620350</v>
      </c>
      <c r="J2403" s="5" t="s">
        <v>186</v>
      </c>
      <c r="K2403" s="1">
        <v>2</v>
      </c>
      <c r="L2403" s="1" t="str">
        <f t="shared" si="138"/>
        <v>Norrviken 2</v>
      </c>
      <c r="M2403" s="5" t="s">
        <v>211</v>
      </c>
      <c r="N2403" s="6">
        <v>1</v>
      </c>
      <c r="O2403" s="6">
        <v>1</v>
      </c>
      <c r="Q2403" s="6">
        <v>2.2000000000000002</v>
      </c>
      <c r="R2403" s="6">
        <v>11.8</v>
      </c>
      <c r="S2403" s="6">
        <v>86</v>
      </c>
    </row>
    <row r="2404" spans="1:43" x14ac:dyDescent="0.3">
      <c r="A2404" s="6">
        <v>37624</v>
      </c>
      <c r="B2404" s="5" t="s">
        <v>234</v>
      </c>
      <c r="C2404" s="5" t="s">
        <v>231</v>
      </c>
      <c r="D2404" s="2">
        <f t="shared" si="136"/>
        <v>2015</v>
      </c>
      <c r="E2404" s="2">
        <f t="shared" si="137"/>
        <v>2</v>
      </c>
      <c r="F2404" s="3" t="s">
        <v>175</v>
      </c>
      <c r="G2404" s="7">
        <v>42060</v>
      </c>
      <c r="H2404" s="6">
        <v>6596620</v>
      </c>
      <c r="I2404" s="6">
        <v>1620350</v>
      </c>
      <c r="J2404" s="5" t="s">
        <v>186</v>
      </c>
      <c r="K2404" s="1">
        <v>2</v>
      </c>
      <c r="L2404" s="1" t="str">
        <f t="shared" si="138"/>
        <v>Norrviken 2</v>
      </c>
      <c r="M2404" s="5" t="s">
        <v>212</v>
      </c>
      <c r="N2404" s="6">
        <v>2</v>
      </c>
      <c r="O2404" s="6">
        <v>2</v>
      </c>
      <c r="Q2404" s="6">
        <v>2.7</v>
      </c>
      <c r="R2404" s="6">
        <v>11.3</v>
      </c>
      <c r="S2404" s="6">
        <v>83</v>
      </c>
    </row>
    <row r="2405" spans="1:43" x14ac:dyDescent="0.3">
      <c r="A2405" s="6">
        <v>37625</v>
      </c>
      <c r="B2405" s="5" t="s">
        <v>234</v>
      </c>
      <c r="C2405" s="5" t="s">
        <v>231</v>
      </c>
      <c r="D2405" s="2">
        <f t="shared" si="136"/>
        <v>2015</v>
      </c>
      <c r="E2405" s="2">
        <f t="shared" si="137"/>
        <v>2</v>
      </c>
      <c r="F2405" s="3" t="s">
        <v>175</v>
      </c>
      <c r="G2405" s="7">
        <v>42060</v>
      </c>
      <c r="H2405" s="6">
        <v>6596620</v>
      </c>
      <c r="I2405" s="6">
        <v>1620350</v>
      </c>
      <c r="J2405" s="5" t="s">
        <v>186</v>
      </c>
      <c r="K2405" s="1">
        <v>2</v>
      </c>
      <c r="L2405" s="1" t="str">
        <f t="shared" si="138"/>
        <v>Norrviken 2</v>
      </c>
      <c r="M2405" s="5" t="s">
        <v>213</v>
      </c>
      <c r="N2405" s="6">
        <v>3</v>
      </c>
      <c r="O2405" s="6">
        <v>3</v>
      </c>
      <c r="Q2405" s="6">
        <v>2.9</v>
      </c>
      <c r="R2405" s="6">
        <v>10.9</v>
      </c>
      <c r="S2405" s="6">
        <v>81</v>
      </c>
    </row>
    <row r="2406" spans="1:43" x14ac:dyDescent="0.3">
      <c r="A2406" s="6">
        <v>37626</v>
      </c>
      <c r="B2406" s="5" t="s">
        <v>234</v>
      </c>
      <c r="C2406" s="5" t="s">
        <v>231</v>
      </c>
      <c r="D2406" s="2">
        <f t="shared" si="136"/>
        <v>2015</v>
      </c>
      <c r="E2406" s="2">
        <f t="shared" si="137"/>
        <v>2</v>
      </c>
      <c r="F2406" s="3" t="s">
        <v>175</v>
      </c>
      <c r="G2406" s="7">
        <v>42060</v>
      </c>
      <c r="H2406" s="6">
        <v>6596620</v>
      </c>
      <c r="I2406" s="6">
        <v>1620350</v>
      </c>
      <c r="J2406" s="5" t="s">
        <v>186</v>
      </c>
      <c r="K2406" s="1">
        <v>2</v>
      </c>
      <c r="L2406" s="1" t="str">
        <f t="shared" si="138"/>
        <v>Norrviken 2</v>
      </c>
      <c r="M2406" s="5" t="s">
        <v>214</v>
      </c>
      <c r="N2406" s="6">
        <v>4</v>
      </c>
      <c r="O2406" s="6">
        <v>4</v>
      </c>
      <c r="Q2406" s="6">
        <v>2.8</v>
      </c>
      <c r="R2406" s="6">
        <v>9.8000000000000007</v>
      </c>
      <c r="S2406" s="6">
        <v>72</v>
      </c>
    </row>
    <row r="2407" spans="1:43" x14ac:dyDescent="0.3">
      <c r="A2407" s="6">
        <v>37627</v>
      </c>
      <c r="B2407" s="5" t="s">
        <v>234</v>
      </c>
      <c r="C2407" s="5" t="s">
        <v>231</v>
      </c>
      <c r="D2407" s="2">
        <f t="shared" si="136"/>
        <v>2015</v>
      </c>
      <c r="E2407" s="2">
        <f t="shared" si="137"/>
        <v>2</v>
      </c>
      <c r="F2407" s="3" t="s">
        <v>175</v>
      </c>
      <c r="G2407" s="7">
        <v>42060</v>
      </c>
      <c r="H2407" s="6">
        <v>6596620</v>
      </c>
      <c r="I2407" s="6">
        <v>1620350</v>
      </c>
      <c r="J2407" s="5" t="s">
        <v>186</v>
      </c>
      <c r="K2407" s="1">
        <v>2</v>
      </c>
      <c r="L2407" s="1" t="str">
        <f t="shared" si="138"/>
        <v>Norrviken 2</v>
      </c>
      <c r="M2407" s="5" t="s">
        <v>217</v>
      </c>
      <c r="N2407" s="6">
        <v>5</v>
      </c>
      <c r="O2407" s="6">
        <v>5</v>
      </c>
      <c r="Q2407" s="6">
        <v>2.8</v>
      </c>
      <c r="R2407" s="6">
        <v>8.6999999999999993</v>
      </c>
      <c r="S2407" s="6">
        <v>64</v>
      </c>
    </row>
    <row r="2408" spans="1:43" x14ac:dyDescent="0.3">
      <c r="A2408" s="6">
        <v>37628</v>
      </c>
      <c r="B2408" s="5" t="s">
        <v>234</v>
      </c>
      <c r="C2408" s="5" t="s">
        <v>231</v>
      </c>
      <c r="D2408" s="2">
        <f t="shared" si="136"/>
        <v>2015</v>
      </c>
      <c r="E2408" s="2">
        <f t="shared" si="137"/>
        <v>2</v>
      </c>
      <c r="F2408" s="3" t="s">
        <v>175</v>
      </c>
      <c r="G2408" s="7">
        <v>42060</v>
      </c>
      <c r="H2408" s="6">
        <v>6596620</v>
      </c>
      <c r="I2408" s="6">
        <v>1620350</v>
      </c>
      <c r="J2408" s="5" t="s">
        <v>186</v>
      </c>
      <c r="K2408" s="1">
        <v>2</v>
      </c>
      <c r="L2408" s="1" t="str">
        <f t="shared" si="138"/>
        <v>Norrviken 2</v>
      </c>
      <c r="M2408" s="5" t="s">
        <v>218</v>
      </c>
      <c r="N2408" s="6">
        <v>6</v>
      </c>
      <c r="O2408" s="6">
        <v>6</v>
      </c>
      <c r="Q2408" s="6">
        <v>2.9</v>
      </c>
      <c r="R2408" s="6">
        <v>7.4</v>
      </c>
      <c r="S2408" s="6">
        <v>55</v>
      </c>
    </row>
    <row r="2409" spans="1:43" x14ac:dyDescent="0.3">
      <c r="A2409" s="6">
        <v>37629</v>
      </c>
      <c r="B2409" s="5" t="s">
        <v>234</v>
      </c>
      <c r="C2409" s="5" t="s">
        <v>231</v>
      </c>
      <c r="D2409" s="2">
        <f t="shared" si="136"/>
        <v>2015</v>
      </c>
      <c r="E2409" s="2">
        <f t="shared" si="137"/>
        <v>2</v>
      </c>
      <c r="F2409" s="3" t="s">
        <v>175</v>
      </c>
      <c r="G2409" s="7">
        <v>42060</v>
      </c>
      <c r="H2409" s="6">
        <v>6596620</v>
      </c>
      <c r="I2409" s="6">
        <v>1620350</v>
      </c>
      <c r="J2409" s="5" t="s">
        <v>186</v>
      </c>
      <c r="K2409" s="1">
        <v>2</v>
      </c>
      <c r="L2409" s="1" t="str">
        <f t="shared" si="138"/>
        <v>Norrviken 2</v>
      </c>
      <c r="M2409" s="5" t="s">
        <v>219</v>
      </c>
      <c r="N2409" s="6">
        <v>7</v>
      </c>
      <c r="O2409" s="6">
        <v>7</v>
      </c>
      <c r="Q2409" s="6">
        <v>2.9</v>
      </c>
      <c r="R2409" s="6">
        <v>7.2</v>
      </c>
      <c r="S2409" s="6">
        <v>53</v>
      </c>
    </row>
    <row r="2410" spans="1:43" x14ac:dyDescent="0.3">
      <c r="A2410" s="6">
        <v>37630</v>
      </c>
      <c r="B2410" s="5" t="s">
        <v>234</v>
      </c>
      <c r="C2410" s="5" t="s">
        <v>231</v>
      </c>
      <c r="D2410" s="2">
        <f t="shared" si="136"/>
        <v>2015</v>
      </c>
      <c r="E2410" s="2">
        <f t="shared" si="137"/>
        <v>2</v>
      </c>
      <c r="F2410" s="3" t="s">
        <v>175</v>
      </c>
      <c r="G2410" s="7">
        <v>42060</v>
      </c>
      <c r="H2410" s="6">
        <v>6596620</v>
      </c>
      <c r="I2410" s="6">
        <v>1620350</v>
      </c>
      <c r="J2410" s="5" t="s">
        <v>186</v>
      </c>
      <c r="K2410" s="1">
        <v>2</v>
      </c>
      <c r="L2410" s="1" t="str">
        <f t="shared" si="138"/>
        <v>Norrviken 2</v>
      </c>
      <c r="M2410" s="5" t="s">
        <v>220</v>
      </c>
      <c r="N2410" s="6">
        <v>8</v>
      </c>
      <c r="O2410" s="6">
        <v>8</v>
      </c>
      <c r="Q2410" s="6">
        <v>2.9</v>
      </c>
      <c r="R2410" s="6">
        <v>6.9</v>
      </c>
      <c r="S2410" s="6">
        <v>51</v>
      </c>
    </row>
    <row r="2411" spans="1:43" x14ac:dyDescent="0.3">
      <c r="A2411" s="6">
        <v>37631</v>
      </c>
      <c r="B2411" s="5" t="s">
        <v>234</v>
      </c>
      <c r="C2411" s="5" t="s">
        <v>231</v>
      </c>
      <c r="D2411" s="2">
        <f t="shared" si="136"/>
        <v>2015</v>
      </c>
      <c r="E2411" s="2">
        <f t="shared" si="137"/>
        <v>2</v>
      </c>
      <c r="F2411" s="3" t="s">
        <v>175</v>
      </c>
      <c r="G2411" s="7">
        <v>42060</v>
      </c>
      <c r="H2411" s="6">
        <v>6596620</v>
      </c>
      <c r="I2411" s="6">
        <v>1620350</v>
      </c>
      <c r="J2411" s="5" t="s">
        <v>186</v>
      </c>
      <c r="K2411" s="1">
        <v>2</v>
      </c>
      <c r="L2411" s="1" t="str">
        <f t="shared" si="138"/>
        <v>Norrviken 2</v>
      </c>
      <c r="M2411" s="1" t="s">
        <v>184</v>
      </c>
      <c r="N2411" s="6">
        <v>9</v>
      </c>
      <c r="O2411" s="6">
        <v>9</v>
      </c>
      <c r="Q2411" s="6">
        <v>4.0999999999999996</v>
      </c>
      <c r="R2411" s="6">
        <v>0.6</v>
      </c>
      <c r="S2411" s="6">
        <v>5</v>
      </c>
      <c r="W2411" s="6">
        <v>51.2333</v>
      </c>
      <c r="Y2411" s="6">
        <v>5.6000000000000001E-2</v>
      </c>
      <c r="Z2411" s="6">
        <v>49.32</v>
      </c>
      <c r="AA2411" s="6">
        <v>5</v>
      </c>
      <c r="AD2411" s="6">
        <v>702.92</v>
      </c>
      <c r="AK2411" s="6">
        <v>67.39</v>
      </c>
      <c r="AL2411" s="6">
        <v>1287.5</v>
      </c>
      <c r="AM2411" s="6"/>
      <c r="AN2411" s="6"/>
      <c r="AO2411" s="6"/>
      <c r="AP2411" s="6"/>
      <c r="AQ2411" s="6"/>
    </row>
    <row r="2412" spans="1:43" x14ac:dyDescent="0.3">
      <c r="A2412" s="6">
        <v>37632</v>
      </c>
      <c r="B2412" s="5" t="s">
        <v>234</v>
      </c>
      <c r="C2412" s="5" t="s">
        <v>231</v>
      </c>
      <c r="D2412" s="2">
        <f t="shared" si="136"/>
        <v>2015</v>
      </c>
      <c r="E2412" s="2">
        <f t="shared" si="137"/>
        <v>2</v>
      </c>
      <c r="F2412" s="3" t="s">
        <v>175</v>
      </c>
      <c r="G2412" s="7">
        <v>42060</v>
      </c>
      <c r="H2412" s="6">
        <v>6594885</v>
      </c>
      <c r="I2412" s="6">
        <v>1620750</v>
      </c>
      <c r="J2412" s="5" t="s">
        <v>186</v>
      </c>
      <c r="K2412" s="1">
        <v>3</v>
      </c>
      <c r="L2412" s="1" t="str">
        <f t="shared" si="138"/>
        <v>Norrviken 3</v>
      </c>
      <c r="M2412" s="1" t="s">
        <v>177</v>
      </c>
      <c r="N2412" s="6">
        <v>0.5</v>
      </c>
      <c r="O2412" s="6">
        <v>0.5</v>
      </c>
      <c r="P2412" s="6">
        <v>4.5</v>
      </c>
      <c r="Q2412" s="6">
        <v>2.2999999999999998</v>
      </c>
      <c r="R2412" s="6">
        <v>12.9</v>
      </c>
      <c r="S2412" s="6">
        <v>94</v>
      </c>
      <c r="W2412" s="6">
        <v>5.2698999999999998</v>
      </c>
      <c r="Y2412" s="6">
        <v>5.8999999999999997E-2</v>
      </c>
      <c r="Z2412" s="6">
        <v>44.27</v>
      </c>
      <c r="AA2412" s="6">
        <v>3.8</v>
      </c>
      <c r="AD2412" s="6">
        <v>677.55</v>
      </c>
      <c r="AK2412" s="6">
        <v>58.96</v>
      </c>
      <c r="AL2412" s="6">
        <v>1065.6400000000001</v>
      </c>
      <c r="AM2412" s="6"/>
      <c r="AN2412" s="6"/>
      <c r="AO2412" s="6"/>
      <c r="AP2412" s="6"/>
      <c r="AQ2412" s="6"/>
    </row>
    <row r="2413" spans="1:43" x14ac:dyDescent="0.3">
      <c r="A2413" s="6">
        <v>37633</v>
      </c>
      <c r="B2413" s="5" t="s">
        <v>234</v>
      </c>
      <c r="C2413" s="5" t="s">
        <v>231</v>
      </c>
      <c r="D2413" s="2">
        <f t="shared" si="136"/>
        <v>2015</v>
      </c>
      <c r="E2413" s="2">
        <f t="shared" si="137"/>
        <v>2</v>
      </c>
      <c r="F2413" s="3" t="s">
        <v>175</v>
      </c>
      <c r="G2413" s="7">
        <v>42060</v>
      </c>
      <c r="H2413" s="6">
        <v>6594885</v>
      </c>
      <c r="I2413" s="6">
        <v>1620750</v>
      </c>
      <c r="J2413" s="5" t="s">
        <v>186</v>
      </c>
      <c r="K2413" s="1">
        <v>3</v>
      </c>
      <c r="L2413" s="1" t="str">
        <f t="shared" si="138"/>
        <v>Norrviken 3</v>
      </c>
      <c r="M2413" s="5" t="s">
        <v>211</v>
      </c>
      <c r="N2413" s="6">
        <v>1</v>
      </c>
      <c r="O2413" s="6">
        <v>1</v>
      </c>
      <c r="Q2413" s="6">
        <v>2.5</v>
      </c>
      <c r="R2413" s="6">
        <v>12.5</v>
      </c>
      <c r="S2413" s="6">
        <v>92</v>
      </c>
    </row>
    <row r="2414" spans="1:43" x14ac:dyDescent="0.3">
      <c r="A2414" s="6">
        <v>37634</v>
      </c>
      <c r="B2414" s="5" t="s">
        <v>234</v>
      </c>
      <c r="C2414" s="5" t="s">
        <v>231</v>
      </c>
      <c r="D2414" s="2">
        <f t="shared" si="136"/>
        <v>2015</v>
      </c>
      <c r="E2414" s="2">
        <f t="shared" si="137"/>
        <v>2</v>
      </c>
      <c r="F2414" s="3" t="s">
        <v>175</v>
      </c>
      <c r="G2414" s="7">
        <v>42060</v>
      </c>
      <c r="H2414" s="6">
        <v>6594885</v>
      </c>
      <c r="I2414" s="6">
        <v>1620750</v>
      </c>
      <c r="J2414" s="5" t="s">
        <v>186</v>
      </c>
      <c r="K2414" s="1">
        <v>3</v>
      </c>
      <c r="L2414" s="1" t="str">
        <f t="shared" si="138"/>
        <v>Norrviken 3</v>
      </c>
      <c r="M2414" s="5" t="s">
        <v>212</v>
      </c>
      <c r="N2414" s="6">
        <v>2</v>
      </c>
      <c r="O2414" s="6">
        <v>2</v>
      </c>
      <c r="Q2414" s="6">
        <v>2.7</v>
      </c>
      <c r="R2414" s="6">
        <v>11.9</v>
      </c>
      <c r="S2414" s="6">
        <v>87</v>
      </c>
    </row>
    <row r="2415" spans="1:43" x14ac:dyDescent="0.3">
      <c r="A2415" s="6">
        <v>37635</v>
      </c>
      <c r="B2415" s="5" t="s">
        <v>234</v>
      </c>
      <c r="C2415" s="5" t="s">
        <v>231</v>
      </c>
      <c r="D2415" s="2">
        <f t="shared" si="136"/>
        <v>2015</v>
      </c>
      <c r="E2415" s="2">
        <f t="shared" si="137"/>
        <v>2</v>
      </c>
      <c r="F2415" s="3" t="s">
        <v>175</v>
      </c>
      <c r="G2415" s="7">
        <v>42060</v>
      </c>
      <c r="H2415" s="6">
        <v>6594885</v>
      </c>
      <c r="I2415" s="6">
        <v>1620750</v>
      </c>
      <c r="J2415" s="5" t="s">
        <v>186</v>
      </c>
      <c r="K2415" s="1">
        <v>3</v>
      </c>
      <c r="L2415" s="1" t="str">
        <f t="shared" si="138"/>
        <v>Norrviken 3</v>
      </c>
      <c r="M2415" s="5" t="s">
        <v>213</v>
      </c>
      <c r="N2415" s="6">
        <v>3</v>
      </c>
      <c r="O2415" s="6">
        <v>3</v>
      </c>
      <c r="Q2415" s="6">
        <v>2.7</v>
      </c>
      <c r="R2415" s="6">
        <v>10.3</v>
      </c>
      <c r="S2415" s="6">
        <v>76</v>
      </c>
    </row>
    <row r="2416" spans="1:43" x14ac:dyDescent="0.3">
      <c r="A2416" s="6">
        <v>37636</v>
      </c>
      <c r="B2416" s="5" t="s">
        <v>234</v>
      </c>
      <c r="C2416" s="5" t="s">
        <v>231</v>
      </c>
      <c r="D2416" s="2">
        <f t="shared" si="136"/>
        <v>2015</v>
      </c>
      <c r="E2416" s="2">
        <f t="shared" si="137"/>
        <v>2</v>
      </c>
      <c r="F2416" s="3" t="s">
        <v>175</v>
      </c>
      <c r="G2416" s="7">
        <v>42060</v>
      </c>
      <c r="H2416" s="6">
        <v>6594885</v>
      </c>
      <c r="I2416" s="6">
        <v>1620750</v>
      </c>
      <c r="J2416" s="5" t="s">
        <v>186</v>
      </c>
      <c r="K2416" s="1">
        <v>3</v>
      </c>
      <c r="L2416" s="1" t="str">
        <f t="shared" si="138"/>
        <v>Norrviken 3</v>
      </c>
      <c r="M2416" s="5" t="s">
        <v>214</v>
      </c>
      <c r="N2416" s="6">
        <v>4</v>
      </c>
      <c r="O2416" s="6">
        <v>4</v>
      </c>
      <c r="Q2416" s="6">
        <v>2.8</v>
      </c>
      <c r="R2416" s="6">
        <v>9.4</v>
      </c>
      <c r="S2416" s="6">
        <v>69</v>
      </c>
    </row>
    <row r="2417" spans="1:43" x14ac:dyDescent="0.3">
      <c r="A2417" s="6">
        <v>37637</v>
      </c>
      <c r="B2417" s="5" t="s">
        <v>234</v>
      </c>
      <c r="C2417" s="5" t="s">
        <v>231</v>
      </c>
      <c r="D2417" s="2">
        <f t="shared" si="136"/>
        <v>2015</v>
      </c>
      <c r="E2417" s="2">
        <f t="shared" si="137"/>
        <v>2</v>
      </c>
      <c r="F2417" s="3" t="s">
        <v>175</v>
      </c>
      <c r="G2417" s="7">
        <v>42060</v>
      </c>
      <c r="H2417" s="6">
        <v>6594885</v>
      </c>
      <c r="I2417" s="6">
        <v>1620750</v>
      </c>
      <c r="J2417" s="5" t="s">
        <v>186</v>
      </c>
      <c r="K2417" s="1">
        <v>3</v>
      </c>
      <c r="L2417" s="1" t="str">
        <f t="shared" si="138"/>
        <v>Norrviken 3</v>
      </c>
      <c r="M2417" s="5" t="s">
        <v>217</v>
      </c>
      <c r="N2417" s="6">
        <v>5</v>
      </c>
      <c r="O2417" s="6">
        <v>5</v>
      </c>
      <c r="Q2417" s="6">
        <v>2.8</v>
      </c>
      <c r="R2417" s="6">
        <v>8.8000000000000007</v>
      </c>
      <c r="S2417" s="6">
        <v>65</v>
      </c>
    </row>
    <row r="2418" spans="1:43" x14ac:dyDescent="0.3">
      <c r="A2418" s="6">
        <v>37638</v>
      </c>
      <c r="B2418" s="5" t="s">
        <v>234</v>
      </c>
      <c r="C2418" s="5" t="s">
        <v>231</v>
      </c>
      <c r="D2418" s="2">
        <f t="shared" si="136"/>
        <v>2015</v>
      </c>
      <c r="E2418" s="2">
        <f t="shared" si="137"/>
        <v>2</v>
      </c>
      <c r="F2418" s="3" t="s">
        <v>175</v>
      </c>
      <c r="G2418" s="7">
        <v>42060</v>
      </c>
      <c r="H2418" s="6">
        <v>6594885</v>
      </c>
      <c r="I2418" s="6">
        <v>1620750</v>
      </c>
      <c r="J2418" s="5" t="s">
        <v>186</v>
      </c>
      <c r="K2418" s="1">
        <v>3</v>
      </c>
      <c r="L2418" s="1" t="str">
        <f t="shared" si="138"/>
        <v>Norrviken 3</v>
      </c>
      <c r="M2418" s="5" t="s">
        <v>218</v>
      </c>
      <c r="N2418" s="6">
        <v>6</v>
      </c>
      <c r="O2418" s="6">
        <v>6</v>
      </c>
      <c r="Q2418" s="6">
        <v>2.9</v>
      </c>
      <c r="R2418" s="6">
        <v>7.9</v>
      </c>
      <c r="S2418" s="6">
        <v>58</v>
      </c>
    </row>
    <row r="2419" spans="1:43" x14ac:dyDescent="0.3">
      <c r="A2419" s="6">
        <v>37639</v>
      </c>
      <c r="B2419" s="5" t="s">
        <v>234</v>
      </c>
      <c r="C2419" s="5" t="s">
        <v>231</v>
      </c>
      <c r="D2419" s="2">
        <f t="shared" si="136"/>
        <v>2015</v>
      </c>
      <c r="E2419" s="2">
        <f t="shared" si="137"/>
        <v>2</v>
      </c>
      <c r="F2419" s="3" t="s">
        <v>175</v>
      </c>
      <c r="G2419" s="7">
        <v>42060</v>
      </c>
      <c r="H2419" s="6">
        <v>6594885</v>
      </c>
      <c r="I2419" s="6">
        <v>1620750</v>
      </c>
      <c r="J2419" s="5" t="s">
        <v>186</v>
      </c>
      <c r="K2419" s="1">
        <v>3</v>
      </c>
      <c r="L2419" s="1" t="str">
        <f t="shared" si="138"/>
        <v>Norrviken 3</v>
      </c>
      <c r="M2419" s="5" t="s">
        <v>219</v>
      </c>
      <c r="N2419" s="6">
        <v>7</v>
      </c>
      <c r="O2419" s="6">
        <v>7</v>
      </c>
      <c r="Q2419" s="6">
        <v>3.1</v>
      </c>
      <c r="R2419" s="6">
        <v>6.7</v>
      </c>
      <c r="S2419" s="6">
        <v>50</v>
      </c>
    </row>
    <row r="2420" spans="1:43" x14ac:dyDescent="0.3">
      <c r="A2420" s="6">
        <v>37640</v>
      </c>
      <c r="B2420" s="5" t="s">
        <v>234</v>
      </c>
      <c r="C2420" s="5" t="s">
        <v>231</v>
      </c>
      <c r="D2420" s="2">
        <f t="shared" si="136"/>
        <v>2015</v>
      </c>
      <c r="E2420" s="2">
        <f t="shared" si="137"/>
        <v>2</v>
      </c>
      <c r="F2420" s="3" t="s">
        <v>175</v>
      </c>
      <c r="G2420" s="7">
        <v>42060</v>
      </c>
      <c r="H2420" s="6">
        <v>6594885</v>
      </c>
      <c r="I2420" s="6">
        <v>1620750</v>
      </c>
      <c r="J2420" s="5" t="s">
        <v>186</v>
      </c>
      <c r="K2420" s="1">
        <v>3</v>
      </c>
      <c r="L2420" s="1" t="str">
        <f t="shared" si="138"/>
        <v>Norrviken 3</v>
      </c>
      <c r="M2420" s="5" t="s">
        <v>220</v>
      </c>
      <c r="N2420" s="6">
        <v>8</v>
      </c>
      <c r="O2420" s="6">
        <v>8</v>
      </c>
      <c r="Q2420" s="6">
        <v>3.2</v>
      </c>
      <c r="R2420" s="6">
        <v>4.9000000000000004</v>
      </c>
      <c r="S2420" s="6">
        <v>37</v>
      </c>
    </row>
    <row r="2421" spans="1:43" x14ac:dyDescent="0.3">
      <c r="A2421" s="6">
        <v>37641</v>
      </c>
      <c r="B2421" s="5" t="s">
        <v>234</v>
      </c>
      <c r="C2421" s="5" t="s">
        <v>231</v>
      </c>
      <c r="D2421" s="2">
        <f t="shared" si="136"/>
        <v>2015</v>
      </c>
      <c r="E2421" s="2">
        <f t="shared" si="137"/>
        <v>2</v>
      </c>
      <c r="F2421" s="3" t="s">
        <v>175</v>
      </c>
      <c r="G2421" s="7">
        <v>42060</v>
      </c>
      <c r="H2421" s="6">
        <v>6594885</v>
      </c>
      <c r="I2421" s="6">
        <v>1620750</v>
      </c>
      <c r="J2421" s="5" t="s">
        <v>186</v>
      </c>
      <c r="K2421" s="1">
        <v>3</v>
      </c>
      <c r="L2421" s="1" t="str">
        <f t="shared" si="138"/>
        <v>Norrviken 3</v>
      </c>
      <c r="M2421" s="5" t="s">
        <v>221</v>
      </c>
      <c r="N2421" s="6">
        <v>9</v>
      </c>
      <c r="O2421" s="6">
        <v>9</v>
      </c>
      <c r="Q2421" s="6">
        <v>3.3</v>
      </c>
      <c r="R2421" s="6">
        <v>4</v>
      </c>
      <c r="S2421" s="6">
        <v>30</v>
      </c>
    </row>
    <row r="2422" spans="1:43" x14ac:dyDescent="0.3">
      <c r="A2422" s="6">
        <v>37642</v>
      </c>
      <c r="B2422" s="5" t="s">
        <v>234</v>
      </c>
      <c r="C2422" s="5" t="s">
        <v>231</v>
      </c>
      <c r="D2422" s="2">
        <f t="shared" si="136"/>
        <v>2015</v>
      </c>
      <c r="E2422" s="2">
        <f t="shared" si="137"/>
        <v>2</v>
      </c>
      <c r="F2422" s="3" t="s">
        <v>175</v>
      </c>
      <c r="G2422" s="7">
        <v>42060</v>
      </c>
      <c r="H2422" s="6">
        <v>6594885</v>
      </c>
      <c r="I2422" s="6">
        <v>1620750</v>
      </c>
      <c r="J2422" s="5" t="s">
        <v>186</v>
      </c>
      <c r="K2422" s="1">
        <v>3</v>
      </c>
      <c r="L2422" s="1" t="str">
        <f t="shared" si="138"/>
        <v>Norrviken 3</v>
      </c>
      <c r="M2422" s="5" t="s">
        <v>222</v>
      </c>
      <c r="N2422" s="6">
        <v>10</v>
      </c>
      <c r="O2422" s="6">
        <v>10</v>
      </c>
      <c r="Q2422" s="6">
        <v>3.5</v>
      </c>
      <c r="R2422" s="6">
        <v>2.5</v>
      </c>
      <c r="S2422" s="6">
        <v>19</v>
      </c>
    </row>
    <row r="2423" spans="1:43" x14ac:dyDescent="0.3">
      <c r="A2423" s="6">
        <v>37643</v>
      </c>
      <c r="B2423" s="5" t="s">
        <v>234</v>
      </c>
      <c r="C2423" s="5" t="s">
        <v>231</v>
      </c>
      <c r="D2423" s="2">
        <f t="shared" si="136"/>
        <v>2015</v>
      </c>
      <c r="E2423" s="2">
        <f t="shared" si="137"/>
        <v>2</v>
      </c>
      <c r="F2423" s="3" t="s">
        <v>175</v>
      </c>
      <c r="G2423" s="7">
        <v>42060</v>
      </c>
      <c r="H2423" s="6">
        <v>6594885</v>
      </c>
      <c r="I2423" s="6">
        <v>1620750</v>
      </c>
      <c r="J2423" s="5" t="s">
        <v>186</v>
      </c>
      <c r="K2423" s="1">
        <v>3</v>
      </c>
      <c r="L2423" s="1" t="str">
        <f t="shared" si="138"/>
        <v>Norrviken 3</v>
      </c>
      <c r="M2423" s="5" t="s">
        <v>223</v>
      </c>
      <c r="N2423" s="6">
        <v>11</v>
      </c>
      <c r="O2423" s="6">
        <v>11</v>
      </c>
      <c r="Q2423" s="6">
        <v>3.9</v>
      </c>
      <c r="R2423" s="6">
        <v>0.5</v>
      </c>
      <c r="S2423" s="6">
        <v>4</v>
      </c>
    </row>
    <row r="2424" spans="1:43" x14ac:dyDescent="0.3">
      <c r="A2424" s="6">
        <v>37644</v>
      </c>
      <c r="B2424" s="5" t="s">
        <v>234</v>
      </c>
      <c r="C2424" s="5" t="s">
        <v>231</v>
      </c>
      <c r="D2424" s="2">
        <f t="shared" si="136"/>
        <v>2015</v>
      </c>
      <c r="E2424" s="2">
        <f t="shared" si="137"/>
        <v>2</v>
      </c>
      <c r="F2424" s="3" t="s">
        <v>175</v>
      </c>
      <c r="G2424" s="7">
        <v>42060</v>
      </c>
      <c r="H2424" s="6">
        <v>6594885</v>
      </c>
      <c r="I2424" s="6">
        <v>1620750</v>
      </c>
      <c r="J2424" s="5" t="s">
        <v>186</v>
      </c>
      <c r="K2424" s="1">
        <v>3</v>
      </c>
      <c r="L2424" s="1" t="str">
        <f t="shared" si="138"/>
        <v>Norrviken 3</v>
      </c>
      <c r="M2424" s="1" t="s">
        <v>184</v>
      </c>
      <c r="N2424" s="6">
        <v>11.5</v>
      </c>
      <c r="O2424" s="6">
        <v>11.5</v>
      </c>
      <c r="Q2424" s="6">
        <v>4.3</v>
      </c>
      <c r="R2424" s="6">
        <v>0.1</v>
      </c>
      <c r="S2424" s="6">
        <v>1</v>
      </c>
      <c r="W2424" s="6">
        <v>105.86799999999999</v>
      </c>
      <c r="Y2424" s="6">
        <v>6.0999999999999999E-2</v>
      </c>
      <c r="Z2424" s="6">
        <v>58.55</v>
      </c>
      <c r="AA2424" s="6">
        <v>3.6</v>
      </c>
      <c r="AD2424" s="6">
        <v>794.33</v>
      </c>
      <c r="AK2424" s="6">
        <v>77.959999999999994</v>
      </c>
      <c r="AL2424" s="6">
        <v>1389.21</v>
      </c>
      <c r="AM2424" s="6"/>
      <c r="AN2424" s="6"/>
      <c r="AO2424" s="6"/>
      <c r="AP2424" s="6"/>
      <c r="AQ2424" s="6"/>
    </row>
    <row r="2425" spans="1:43" x14ac:dyDescent="0.3">
      <c r="A2425" s="6">
        <v>37645</v>
      </c>
      <c r="B2425" s="5" t="s">
        <v>234</v>
      </c>
      <c r="C2425" s="5" t="s">
        <v>231</v>
      </c>
      <c r="D2425" s="2">
        <f t="shared" si="136"/>
        <v>2015</v>
      </c>
      <c r="E2425" s="2">
        <f t="shared" si="137"/>
        <v>2</v>
      </c>
      <c r="F2425" s="3" t="s">
        <v>175</v>
      </c>
      <c r="G2425" s="7">
        <v>42060</v>
      </c>
      <c r="H2425" s="6">
        <v>6597300</v>
      </c>
      <c r="I2425" s="6">
        <v>1619975</v>
      </c>
      <c r="J2425" s="5" t="s">
        <v>186</v>
      </c>
      <c r="K2425" s="1">
        <v>4</v>
      </c>
      <c r="L2425" s="1" t="str">
        <f t="shared" si="138"/>
        <v>Norrviken 4</v>
      </c>
      <c r="M2425" s="1" t="s">
        <v>177</v>
      </c>
      <c r="N2425" s="6">
        <v>0.5</v>
      </c>
      <c r="O2425" s="6">
        <v>0.5</v>
      </c>
      <c r="P2425" s="6">
        <v>2.2999999999999998</v>
      </c>
      <c r="Q2425" s="6">
        <v>1.9</v>
      </c>
      <c r="R2425" s="6">
        <v>12</v>
      </c>
      <c r="S2425" s="6">
        <v>86</v>
      </c>
      <c r="W2425" s="6">
        <v>195.81049999999999</v>
      </c>
      <c r="Y2425" s="6">
        <v>7.9000000000000001E-2</v>
      </c>
      <c r="Z2425" s="6">
        <v>3.44</v>
      </c>
      <c r="AA2425" s="6">
        <v>4.8</v>
      </c>
      <c r="AD2425" s="6">
        <v>523.49</v>
      </c>
      <c r="AK2425" s="6">
        <v>22.69</v>
      </c>
      <c r="AL2425" s="6">
        <v>1320.94</v>
      </c>
      <c r="AM2425" s="6"/>
      <c r="AN2425" s="6"/>
      <c r="AO2425" s="6"/>
      <c r="AP2425" s="6"/>
      <c r="AQ2425" s="6"/>
    </row>
    <row r="2426" spans="1:43" x14ac:dyDescent="0.3">
      <c r="A2426" s="6">
        <v>37646</v>
      </c>
      <c r="B2426" s="5" t="s">
        <v>234</v>
      </c>
      <c r="C2426" s="5" t="s">
        <v>231</v>
      </c>
      <c r="D2426" s="2">
        <f t="shared" si="136"/>
        <v>2015</v>
      </c>
      <c r="E2426" s="2">
        <f t="shared" si="137"/>
        <v>2</v>
      </c>
      <c r="F2426" s="3" t="s">
        <v>175</v>
      </c>
      <c r="G2426" s="7">
        <v>42060</v>
      </c>
      <c r="H2426" s="6">
        <v>6597300</v>
      </c>
      <c r="I2426" s="6">
        <v>1619975</v>
      </c>
      <c r="J2426" s="5" t="s">
        <v>186</v>
      </c>
      <c r="K2426" s="1">
        <v>4</v>
      </c>
      <c r="L2426" s="1" t="str">
        <f t="shared" si="138"/>
        <v>Norrviken 4</v>
      </c>
      <c r="M2426" s="5" t="s">
        <v>211</v>
      </c>
      <c r="N2426" s="6">
        <v>1</v>
      </c>
      <c r="O2426" s="6">
        <v>1</v>
      </c>
      <c r="Q2426" s="6">
        <v>2</v>
      </c>
      <c r="R2426" s="6">
        <v>11.9</v>
      </c>
      <c r="S2426" s="6">
        <v>86</v>
      </c>
    </row>
    <row r="2427" spans="1:43" x14ac:dyDescent="0.3">
      <c r="A2427" s="6">
        <v>37647</v>
      </c>
      <c r="B2427" s="5" t="s">
        <v>234</v>
      </c>
      <c r="C2427" s="5" t="s">
        <v>231</v>
      </c>
      <c r="D2427" s="2">
        <f t="shared" si="136"/>
        <v>2015</v>
      </c>
      <c r="E2427" s="2">
        <f t="shared" si="137"/>
        <v>2</v>
      </c>
      <c r="F2427" s="3" t="s">
        <v>175</v>
      </c>
      <c r="G2427" s="7">
        <v>42060</v>
      </c>
      <c r="H2427" s="6">
        <v>6597300</v>
      </c>
      <c r="I2427" s="6">
        <v>1619975</v>
      </c>
      <c r="J2427" s="5" t="s">
        <v>186</v>
      </c>
      <c r="K2427" s="1">
        <v>4</v>
      </c>
      <c r="L2427" s="1" t="str">
        <f t="shared" si="138"/>
        <v>Norrviken 4</v>
      </c>
      <c r="M2427" s="1" t="s">
        <v>184</v>
      </c>
      <c r="N2427" s="6">
        <v>2.4</v>
      </c>
      <c r="O2427" s="6">
        <v>2.4</v>
      </c>
      <c r="Q2427" s="6">
        <v>2.4</v>
      </c>
      <c r="R2427" s="6">
        <v>10.199999999999999</v>
      </c>
      <c r="S2427" s="6">
        <v>75</v>
      </c>
      <c r="W2427" s="6">
        <v>74.5852</v>
      </c>
      <c r="Y2427" s="6">
        <v>7.0999999999999994E-2</v>
      </c>
      <c r="Z2427" s="6">
        <v>37.409999999999997</v>
      </c>
      <c r="AA2427" s="6">
        <v>4</v>
      </c>
      <c r="AD2427" s="6">
        <v>659.28</v>
      </c>
      <c r="AK2427" s="6">
        <v>59.82</v>
      </c>
      <c r="AL2427" s="6">
        <v>1313.39</v>
      </c>
      <c r="AM2427" s="6"/>
      <c r="AN2427" s="6"/>
      <c r="AO2427" s="6"/>
      <c r="AP2427" s="6"/>
      <c r="AQ2427" s="6"/>
    </row>
    <row r="2428" spans="1:43" x14ac:dyDescent="0.3">
      <c r="A2428" s="1">
        <v>37698</v>
      </c>
      <c r="B2428" s="1" t="s">
        <v>233</v>
      </c>
      <c r="C2428" s="1" t="s">
        <v>209</v>
      </c>
      <c r="D2428" s="2">
        <f t="shared" si="136"/>
        <v>2015</v>
      </c>
      <c r="E2428" s="2">
        <f t="shared" si="137"/>
        <v>2</v>
      </c>
      <c r="F2428" s="3" t="s">
        <v>175</v>
      </c>
      <c r="G2428" s="4">
        <v>42060</v>
      </c>
      <c r="H2428" s="1">
        <v>6600935</v>
      </c>
      <c r="I2428" s="1">
        <v>1626764</v>
      </c>
      <c r="J2428" s="1" t="s">
        <v>191</v>
      </c>
      <c r="K2428" s="1" t="s">
        <v>210</v>
      </c>
      <c r="L2428" s="1" t="str">
        <f t="shared" si="138"/>
        <v>Vallentunasjön Va2</v>
      </c>
      <c r="M2428" s="1" t="s">
        <v>177</v>
      </c>
      <c r="N2428" s="1">
        <v>0.5</v>
      </c>
      <c r="O2428" s="1">
        <v>0.5</v>
      </c>
      <c r="P2428" s="1">
        <v>2.4</v>
      </c>
      <c r="Q2428" s="1">
        <v>2.1</v>
      </c>
      <c r="R2428" s="1">
        <v>14.5</v>
      </c>
      <c r="S2428" s="1">
        <v>105</v>
      </c>
    </row>
    <row r="2429" spans="1:43" x14ac:dyDescent="0.3">
      <c r="A2429" s="1">
        <v>37699</v>
      </c>
      <c r="B2429" s="1" t="s">
        <v>233</v>
      </c>
      <c r="C2429" s="1" t="s">
        <v>209</v>
      </c>
      <c r="D2429" s="2">
        <f t="shared" si="136"/>
        <v>2015</v>
      </c>
      <c r="E2429" s="2">
        <f t="shared" si="137"/>
        <v>2</v>
      </c>
      <c r="F2429" s="3" t="s">
        <v>175</v>
      </c>
      <c r="G2429" s="4">
        <v>42060</v>
      </c>
      <c r="H2429" s="1">
        <v>6600935</v>
      </c>
      <c r="I2429" s="1">
        <v>1626764</v>
      </c>
      <c r="J2429" s="1" t="s">
        <v>191</v>
      </c>
      <c r="K2429" s="1" t="s">
        <v>210</v>
      </c>
      <c r="L2429" s="1" t="str">
        <f t="shared" si="138"/>
        <v>Vallentunasjön Va2</v>
      </c>
      <c r="M2429" s="1" t="s">
        <v>211</v>
      </c>
      <c r="N2429" s="1">
        <v>1</v>
      </c>
      <c r="O2429" s="1">
        <v>1</v>
      </c>
      <c r="Q2429" s="1">
        <v>2.7</v>
      </c>
      <c r="R2429" s="1">
        <v>14.7</v>
      </c>
      <c r="S2429" s="1">
        <v>108</v>
      </c>
    </row>
    <row r="2430" spans="1:43" x14ac:dyDescent="0.3">
      <c r="A2430" s="1">
        <v>37700</v>
      </c>
      <c r="B2430" s="1" t="s">
        <v>233</v>
      </c>
      <c r="C2430" s="1" t="s">
        <v>209</v>
      </c>
      <c r="D2430" s="2">
        <f t="shared" si="136"/>
        <v>2015</v>
      </c>
      <c r="E2430" s="2">
        <f t="shared" si="137"/>
        <v>2</v>
      </c>
      <c r="F2430" s="3" t="s">
        <v>175</v>
      </c>
      <c r="G2430" s="4">
        <v>42060</v>
      </c>
      <c r="H2430" s="1">
        <v>6600935</v>
      </c>
      <c r="I2430" s="1">
        <v>1626764</v>
      </c>
      <c r="J2430" s="1" t="s">
        <v>191</v>
      </c>
      <c r="K2430" s="1" t="s">
        <v>210</v>
      </c>
      <c r="L2430" s="1" t="str">
        <f t="shared" si="138"/>
        <v>Vallentunasjön Va2</v>
      </c>
      <c r="M2430" s="1" t="s">
        <v>212</v>
      </c>
      <c r="N2430" s="1">
        <v>2</v>
      </c>
      <c r="O2430" s="1">
        <v>2</v>
      </c>
      <c r="Q2430" s="1">
        <v>3</v>
      </c>
      <c r="R2430" s="1">
        <v>3.8</v>
      </c>
      <c r="S2430" s="1">
        <v>29</v>
      </c>
    </row>
    <row r="2431" spans="1:43" x14ac:dyDescent="0.3">
      <c r="A2431" s="1">
        <v>37701</v>
      </c>
      <c r="B2431" s="1" t="s">
        <v>233</v>
      </c>
      <c r="C2431" s="1" t="s">
        <v>209</v>
      </c>
      <c r="D2431" s="2">
        <f t="shared" si="136"/>
        <v>2015</v>
      </c>
      <c r="E2431" s="2">
        <f t="shared" si="137"/>
        <v>2</v>
      </c>
      <c r="F2431" s="3" t="s">
        <v>175</v>
      </c>
      <c r="G2431" s="4">
        <v>42060</v>
      </c>
      <c r="H2431" s="1">
        <v>6600935</v>
      </c>
      <c r="I2431" s="1">
        <v>1626764</v>
      </c>
      <c r="J2431" s="1" t="s">
        <v>191</v>
      </c>
      <c r="K2431" s="1" t="s">
        <v>210</v>
      </c>
      <c r="L2431" s="1" t="str">
        <f t="shared" si="138"/>
        <v>Vallentunasjön Va2</v>
      </c>
      <c r="M2431" s="1" t="s">
        <v>213</v>
      </c>
      <c r="N2431" s="1">
        <v>3</v>
      </c>
      <c r="O2431" s="1">
        <v>3</v>
      </c>
      <c r="Q2431" s="1">
        <v>3.3</v>
      </c>
      <c r="R2431" s="1">
        <v>0.8</v>
      </c>
      <c r="S2431" s="1">
        <v>6</v>
      </c>
    </row>
    <row r="2432" spans="1:43" x14ac:dyDescent="0.3">
      <c r="A2432" s="1">
        <v>37702</v>
      </c>
      <c r="B2432" s="1" t="s">
        <v>233</v>
      </c>
      <c r="C2432" s="1" t="s">
        <v>209</v>
      </c>
      <c r="D2432" s="2">
        <f t="shared" si="136"/>
        <v>2015</v>
      </c>
      <c r="E2432" s="2">
        <f t="shared" si="137"/>
        <v>2</v>
      </c>
      <c r="F2432" s="3" t="s">
        <v>175</v>
      </c>
      <c r="G2432" s="4">
        <v>42060</v>
      </c>
      <c r="H2432" s="1">
        <v>6600935</v>
      </c>
      <c r="I2432" s="1">
        <v>1626764</v>
      </c>
      <c r="J2432" s="1" t="s">
        <v>191</v>
      </c>
      <c r="K2432" s="1" t="s">
        <v>210</v>
      </c>
      <c r="L2432" s="1" t="str">
        <f t="shared" si="138"/>
        <v>Vallentunasjön Va2</v>
      </c>
      <c r="M2432" s="1" t="s">
        <v>214</v>
      </c>
      <c r="N2432" s="1">
        <v>4</v>
      </c>
      <c r="O2432" s="1">
        <v>4</v>
      </c>
      <c r="Q2432" s="1">
        <v>3.7</v>
      </c>
      <c r="R2432" s="1">
        <v>0.5</v>
      </c>
      <c r="S2432" s="1">
        <v>4</v>
      </c>
    </row>
    <row r="2433" spans="1:51" x14ac:dyDescent="0.3">
      <c r="A2433" s="1">
        <v>37703</v>
      </c>
      <c r="B2433" s="1" t="s">
        <v>233</v>
      </c>
      <c r="C2433" s="1" t="s">
        <v>209</v>
      </c>
      <c r="D2433" s="2">
        <f t="shared" si="136"/>
        <v>2015</v>
      </c>
      <c r="E2433" s="2">
        <f t="shared" si="137"/>
        <v>2</v>
      </c>
      <c r="F2433" s="3" t="s">
        <v>175</v>
      </c>
      <c r="G2433" s="4">
        <v>42060</v>
      </c>
      <c r="H2433" s="1">
        <v>6600935</v>
      </c>
      <c r="I2433" s="1">
        <v>1626764</v>
      </c>
      <c r="J2433" s="1" t="s">
        <v>191</v>
      </c>
      <c r="K2433" s="1" t="s">
        <v>210</v>
      </c>
      <c r="L2433" s="1" t="str">
        <f t="shared" si="138"/>
        <v>Vallentunasjön Va2</v>
      </c>
      <c r="M2433" s="1" t="s">
        <v>184</v>
      </c>
      <c r="N2433" s="1">
        <v>4.4000000000000004</v>
      </c>
      <c r="O2433" s="1">
        <v>4.4000000000000004</v>
      </c>
      <c r="Q2433" s="1">
        <v>4</v>
      </c>
      <c r="R2433" s="1">
        <v>0.5</v>
      </c>
      <c r="S2433" s="1">
        <v>4</v>
      </c>
    </row>
    <row r="2434" spans="1:51" x14ac:dyDescent="0.3">
      <c r="A2434" s="1">
        <v>37704</v>
      </c>
      <c r="B2434" s="1" t="s">
        <v>233</v>
      </c>
      <c r="C2434" s="1" t="s">
        <v>209</v>
      </c>
      <c r="D2434" s="2">
        <f t="shared" ref="D2434:D2497" si="139">YEAR(G2434)</f>
        <v>2015</v>
      </c>
      <c r="E2434" s="2">
        <f t="shared" ref="E2434:E2497" si="140">MONTH(G2434)</f>
        <v>2</v>
      </c>
      <c r="F2434" s="3" t="s">
        <v>175</v>
      </c>
      <c r="G2434" s="4">
        <v>42060</v>
      </c>
      <c r="J2434" s="1" t="s">
        <v>191</v>
      </c>
      <c r="K2434" s="1" t="s">
        <v>206</v>
      </c>
      <c r="L2434" s="1" t="str">
        <f t="shared" ref="L2434:L2497" si="141">CONCATENATE(J2434," ",K2434)</f>
        <v>Vallentunasjön Blandprov</v>
      </c>
      <c r="M2434" s="1" t="s">
        <v>177</v>
      </c>
      <c r="N2434" s="1">
        <v>4</v>
      </c>
      <c r="O2434" s="1">
        <v>0</v>
      </c>
      <c r="W2434" s="1">
        <v>590.0489</v>
      </c>
      <c r="Z2434" s="1">
        <v>1.1299999999999999</v>
      </c>
      <c r="AB2434" s="1">
        <v>9.5652000000000008</v>
      </c>
      <c r="AD2434" s="1">
        <v>223.7</v>
      </c>
      <c r="AG2434" s="1">
        <v>3.5</v>
      </c>
      <c r="AK2434" s="1">
        <v>24.25</v>
      </c>
      <c r="AL2434" s="1">
        <v>1447.76</v>
      </c>
    </row>
    <row r="2435" spans="1:51" x14ac:dyDescent="0.3">
      <c r="D2435" s="2">
        <f t="shared" si="139"/>
        <v>2015</v>
      </c>
      <c r="E2435" s="2">
        <f t="shared" si="140"/>
        <v>3</v>
      </c>
      <c r="F2435" s="3" t="s">
        <v>175</v>
      </c>
      <c r="G2435" s="4">
        <v>42079</v>
      </c>
      <c r="H2435" s="1">
        <v>6606238</v>
      </c>
      <c r="I2435" s="1">
        <v>661152</v>
      </c>
      <c r="J2435" s="5" t="s">
        <v>176</v>
      </c>
      <c r="K2435" s="1"/>
      <c r="L2435" s="1" t="str">
        <f t="shared" si="141"/>
        <v xml:space="preserve">Oxundaån </v>
      </c>
      <c r="M2435" s="1" t="s">
        <v>177</v>
      </c>
      <c r="N2435" s="1">
        <v>0.1</v>
      </c>
      <c r="O2435" s="1">
        <v>0.1</v>
      </c>
      <c r="Q2435" s="1">
        <v>4</v>
      </c>
      <c r="T2435" s="1">
        <v>40.6</v>
      </c>
      <c r="V2435" s="1">
        <v>2.02</v>
      </c>
      <c r="W2435" s="1">
        <v>14</v>
      </c>
      <c r="X2435" s="1">
        <f>W2435 * (1/((10^((0.0901821 + (2729.92 /(273.15 + Q2435)))-AE2435)+1)))</f>
        <v>4.2137027110168014E-2</v>
      </c>
      <c r="Y2435" s="1">
        <v>7.8E-2</v>
      </c>
      <c r="Z2435" s="1">
        <v>8</v>
      </c>
      <c r="AA2435" s="1">
        <v>8.9</v>
      </c>
      <c r="AD2435" s="1">
        <v>972</v>
      </c>
      <c r="AE2435" s="1">
        <v>7.42</v>
      </c>
      <c r="AI2435" s="1">
        <v>11.6</v>
      </c>
      <c r="AK2435" s="1">
        <v>53.7</v>
      </c>
      <c r="AL2435" s="1">
        <v>1600</v>
      </c>
      <c r="AR2435" s="1">
        <v>45.4</v>
      </c>
      <c r="AT2435" s="1">
        <v>4.6528999999999998</v>
      </c>
      <c r="AU2435" s="1">
        <v>7.8166000000000002</v>
      </c>
      <c r="AV2435" s="1">
        <v>31.763200000000005</v>
      </c>
      <c r="AW2435" s="1">
        <v>22.114160000000002</v>
      </c>
      <c r="AX2435" s="1">
        <v>45.695549999999997</v>
      </c>
      <c r="AY2435" s="1">
        <v>5.6</v>
      </c>
    </row>
    <row r="2436" spans="1:51" x14ac:dyDescent="0.3">
      <c r="A2436" s="1">
        <v>38326</v>
      </c>
      <c r="B2436" s="1" t="s">
        <v>233</v>
      </c>
      <c r="C2436" s="1" t="s">
        <v>209</v>
      </c>
      <c r="D2436" s="2">
        <f t="shared" si="139"/>
        <v>2015</v>
      </c>
      <c r="E2436" s="2">
        <f t="shared" si="140"/>
        <v>3</v>
      </c>
      <c r="F2436" s="3" t="s">
        <v>175</v>
      </c>
      <c r="G2436" s="4">
        <v>42081</v>
      </c>
      <c r="H2436" s="1">
        <v>6600935</v>
      </c>
      <c r="I2436" s="1">
        <v>1626764</v>
      </c>
      <c r="J2436" s="1" t="s">
        <v>191</v>
      </c>
      <c r="K2436" s="1" t="s">
        <v>210</v>
      </c>
      <c r="L2436" s="1" t="str">
        <f t="shared" si="141"/>
        <v>Vallentunasjön Va2</v>
      </c>
      <c r="M2436" s="1" t="s">
        <v>177</v>
      </c>
      <c r="N2436" s="1">
        <v>0.5</v>
      </c>
      <c r="O2436" s="1">
        <v>0.5</v>
      </c>
      <c r="P2436" s="1">
        <v>1.5</v>
      </c>
      <c r="Q2436" s="1">
        <v>3.8</v>
      </c>
      <c r="R2436" s="1">
        <v>11.3</v>
      </c>
      <c r="S2436" s="1">
        <v>86</v>
      </c>
    </row>
    <row r="2437" spans="1:51" x14ac:dyDescent="0.3">
      <c r="A2437" s="1">
        <v>38327</v>
      </c>
      <c r="B2437" s="1" t="s">
        <v>233</v>
      </c>
      <c r="C2437" s="1" t="s">
        <v>209</v>
      </c>
      <c r="D2437" s="2">
        <f t="shared" si="139"/>
        <v>2015</v>
      </c>
      <c r="E2437" s="2">
        <f t="shared" si="140"/>
        <v>3</v>
      </c>
      <c r="F2437" s="3" t="s">
        <v>175</v>
      </c>
      <c r="G2437" s="4">
        <v>42081</v>
      </c>
      <c r="H2437" s="1">
        <v>6600935</v>
      </c>
      <c r="I2437" s="1">
        <v>1626764</v>
      </c>
      <c r="J2437" s="1" t="s">
        <v>191</v>
      </c>
      <c r="K2437" s="1" t="s">
        <v>210</v>
      </c>
      <c r="L2437" s="1" t="str">
        <f t="shared" si="141"/>
        <v>Vallentunasjön Va2</v>
      </c>
      <c r="M2437" s="1" t="s">
        <v>211</v>
      </c>
      <c r="N2437" s="1">
        <v>1</v>
      </c>
      <c r="O2437" s="1">
        <v>1</v>
      </c>
      <c r="Q2437" s="1">
        <v>3.8</v>
      </c>
      <c r="R2437" s="1">
        <v>11.5</v>
      </c>
      <c r="S2437" s="1">
        <v>87</v>
      </c>
    </row>
    <row r="2438" spans="1:51" x14ac:dyDescent="0.3">
      <c r="A2438" s="1">
        <v>38328</v>
      </c>
      <c r="B2438" s="1" t="s">
        <v>233</v>
      </c>
      <c r="C2438" s="1" t="s">
        <v>209</v>
      </c>
      <c r="D2438" s="2">
        <f t="shared" si="139"/>
        <v>2015</v>
      </c>
      <c r="E2438" s="2">
        <f t="shared" si="140"/>
        <v>3</v>
      </c>
      <c r="F2438" s="3" t="s">
        <v>175</v>
      </c>
      <c r="G2438" s="4">
        <v>42081</v>
      </c>
      <c r="H2438" s="1">
        <v>6600935</v>
      </c>
      <c r="I2438" s="1">
        <v>1626764</v>
      </c>
      <c r="J2438" s="1" t="s">
        <v>191</v>
      </c>
      <c r="K2438" s="1" t="s">
        <v>210</v>
      </c>
      <c r="L2438" s="1" t="str">
        <f t="shared" si="141"/>
        <v>Vallentunasjön Va2</v>
      </c>
      <c r="M2438" s="1" t="s">
        <v>212</v>
      </c>
      <c r="N2438" s="1">
        <v>2</v>
      </c>
      <c r="O2438" s="1">
        <v>2</v>
      </c>
      <c r="Q2438" s="1">
        <v>3.8</v>
      </c>
      <c r="R2438" s="1">
        <v>11.8</v>
      </c>
      <c r="S2438" s="1">
        <v>90</v>
      </c>
    </row>
    <row r="2439" spans="1:51" x14ac:dyDescent="0.3">
      <c r="A2439" s="1">
        <v>38329</v>
      </c>
      <c r="B2439" s="1" t="s">
        <v>233</v>
      </c>
      <c r="C2439" s="1" t="s">
        <v>209</v>
      </c>
      <c r="D2439" s="2">
        <f t="shared" si="139"/>
        <v>2015</v>
      </c>
      <c r="E2439" s="2">
        <f t="shared" si="140"/>
        <v>3</v>
      </c>
      <c r="F2439" s="3" t="s">
        <v>175</v>
      </c>
      <c r="G2439" s="4">
        <v>42081</v>
      </c>
      <c r="H2439" s="1">
        <v>6600935</v>
      </c>
      <c r="I2439" s="1">
        <v>1626764</v>
      </c>
      <c r="J2439" s="1" t="s">
        <v>191</v>
      </c>
      <c r="K2439" s="1" t="s">
        <v>210</v>
      </c>
      <c r="L2439" s="1" t="str">
        <f t="shared" si="141"/>
        <v>Vallentunasjön Va2</v>
      </c>
      <c r="M2439" s="1" t="s">
        <v>213</v>
      </c>
      <c r="N2439" s="1">
        <v>3</v>
      </c>
      <c r="O2439" s="1">
        <v>3</v>
      </c>
      <c r="Q2439" s="1">
        <v>3.8</v>
      </c>
      <c r="R2439" s="1">
        <v>12.1</v>
      </c>
      <c r="S2439" s="1">
        <v>92</v>
      </c>
    </row>
    <row r="2440" spans="1:51" x14ac:dyDescent="0.3">
      <c r="A2440" s="1">
        <v>38330</v>
      </c>
      <c r="B2440" s="1" t="s">
        <v>233</v>
      </c>
      <c r="C2440" s="1" t="s">
        <v>209</v>
      </c>
      <c r="D2440" s="2">
        <f t="shared" si="139"/>
        <v>2015</v>
      </c>
      <c r="E2440" s="2">
        <f t="shared" si="140"/>
        <v>3</v>
      </c>
      <c r="F2440" s="3" t="s">
        <v>175</v>
      </c>
      <c r="G2440" s="4">
        <v>42081</v>
      </c>
      <c r="H2440" s="1">
        <v>6600935</v>
      </c>
      <c r="I2440" s="1">
        <v>1626764</v>
      </c>
      <c r="J2440" s="1" t="s">
        <v>191</v>
      </c>
      <c r="K2440" s="1" t="s">
        <v>210</v>
      </c>
      <c r="L2440" s="1" t="str">
        <f t="shared" si="141"/>
        <v>Vallentunasjön Va2</v>
      </c>
      <c r="M2440" s="1" t="s">
        <v>214</v>
      </c>
      <c r="N2440" s="1">
        <v>4</v>
      </c>
      <c r="O2440" s="1">
        <v>4</v>
      </c>
      <c r="Q2440" s="1">
        <v>3.8</v>
      </c>
      <c r="R2440" s="1">
        <v>12.3</v>
      </c>
      <c r="S2440" s="1">
        <v>93</v>
      </c>
    </row>
    <row r="2441" spans="1:51" x14ac:dyDescent="0.3">
      <c r="A2441" s="1">
        <v>38331</v>
      </c>
      <c r="B2441" s="1" t="s">
        <v>233</v>
      </c>
      <c r="C2441" s="1" t="s">
        <v>209</v>
      </c>
      <c r="D2441" s="2">
        <f t="shared" si="139"/>
        <v>2015</v>
      </c>
      <c r="E2441" s="2">
        <f t="shared" si="140"/>
        <v>3</v>
      </c>
      <c r="F2441" s="3" t="s">
        <v>175</v>
      </c>
      <c r="G2441" s="4">
        <v>42081</v>
      </c>
      <c r="H2441" s="1">
        <v>6600935</v>
      </c>
      <c r="I2441" s="1">
        <v>1626764</v>
      </c>
      <c r="J2441" s="1" t="s">
        <v>191</v>
      </c>
      <c r="K2441" s="1" t="s">
        <v>210</v>
      </c>
      <c r="L2441" s="1" t="str">
        <f t="shared" si="141"/>
        <v>Vallentunasjön Va2</v>
      </c>
      <c r="M2441" s="1" t="s">
        <v>184</v>
      </c>
      <c r="N2441" s="1">
        <v>4.5</v>
      </c>
      <c r="O2441" s="1">
        <v>4.5</v>
      </c>
      <c r="Q2441" s="1">
        <v>3.8</v>
      </c>
      <c r="R2441" s="1">
        <v>12.3</v>
      </c>
      <c r="S2441" s="1">
        <v>93</v>
      </c>
    </row>
    <row r="2442" spans="1:51" x14ac:dyDescent="0.3">
      <c r="A2442" s="1">
        <v>38332</v>
      </c>
      <c r="B2442" s="1" t="s">
        <v>233</v>
      </c>
      <c r="C2442" s="1" t="s">
        <v>209</v>
      </c>
      <c r="D2442" s="2">
        <f t="shared" si="139"/>
        <v>2015</v>
      </c>
      <c r="E2442" s="2">
        <f t="shared" si="140"/>
        <v>3</v>
      </c>
      <c r="F2442" s="3" t="s">
        <v>175</v>
      </c>
      <c r="G2442" s="4">
        <v>42081</v>
      </c>
      <c r="J2442" s="1" t="s">
        <v>191</v>
      </c>
      <c r="K2442" s="1" t="s">
        <v>206</v>
      </c>
      <c r="L2442" s="1" t="str">
        <f t="shared" si="141"/>
        <v>Vallentunasjön Blandprov</v>
      </c>
      <c r="M2442" s="1" t="s">
        <v>177</v>
      </c>
      <c r="N2442" s="1">
        <v>4</v>
      </c>
      <c r="O2442" s="1">
        <v>0</v>
      </c>
      <c r="W2442" s="1">
        <v>477.0994</v>
      </c>
      <c r="Z2442" s="1">
        <v>1.8399999999999999</v>
      </c>
      <c r="AB2442" s="1">
        <v>14.467320000000001</v>
      </c>
      <c r="AD2442" s="1">
        <v>241.58</v>
      </c>
      <c r="AG2442" s="1">
        <v>5.2</v>
      </c>
      <c r="AK2442" s="1">
        <v>32.53</v>
      </c>
      <c r="AL2442" s="1">
        <v>1471.97</v>
      </c>
    </row>
    <row r="2443" spans="1:51" x14ac:dyDescent="0.3">
      <c r="A2443" s="1">
        <v>38715</v>
      </c>
      <c r="B2443" s="1" t="s">
        <v>233</v>
      </c>
      <c r="C2443" s="1" t="s">
        <v>209</v>
      </c>
      <c r="D2443" s="2">
        <f t="shared" si="139"/>
        <v>2015</v>
      </c>
      <c r="E2443" s="2">
        <f t="shared" si="140"/>
        <v>3</v>
      </c>
      <c r="F2443" s="3" t="s">
        <v>175</v>
      </c>
      <c r="G2443" s="4">
        <v>42093</v>
      </c>
      <c r="H2443" s="1">
        <v>6600935</v>
      </c>
      <c r="I2443" s="1">
        <v>1626764</v>
      </c>
      <c r="J2443" s="1" t="s">
        <v>191</v>
      </c>
      <c r="K2443" s="1" t="s">
        <v>210</v>
      </c>
      <c r="L2443" s="1" t="str">
        <f t="shared" si="141"/>
        <v>Vallentunasjön Va2</v>
      </c>
      <c r="M2443" s="1" t="s">
        <v>177</v>
      </c>
      <c r="N2443" s="1">
        <v>0.5</v>
      </c>
      <c r="O2443" s="1">
        <v>0.5</v>
      </c>
      <c r="P2443" s="1">
        <v>1.5</v>
      </c>
      <c r="Q2443" s="1">
        <v>3.9</v>
      </c>
      <c r="R2443" s="1">
        <v>13.1</v>
      </c>
      <c r="S2443" s="1">
        <v>103</v>
      </c>
    </row>
    <row r="2444" spans="1:51" x14ac:dyDescent="0.3">
      <c r="A2444" s="1">
        <v>38716</v>
      </c>
      <c r="B2444" s="1" t="s">
        <v>233</v>
      </c>
      <c r="C2444" s="1" t="s">
        <v>209</v>
      </c>
      <c r="D2444" s="2">
        <f t="shared" si="139"/>
        <v>2015</v>
      </c>
      <c r="E2444" s="2">
        <f t="shared" si="140"/>
        <v>3</v>
      </c>
      <c r="F2444" s="3" t="s">
        <v>175</v>
      </c>
      <c r="G2444" s="4">
        <v>42093</v>
      </c>
      <c r="H2444" s="1">
        <v>6600935</v>
      </c>
      <c r="I2444" s="1">
        <v>1626764</v>
      </c>
      <c r="J2444" s="1" t="s">
        <v>191</v>
      </c>
      <c r="K2444" s="1" t="s">
        <v>210</v>
      </c>
      <c r="L2444" s="1" t="str">
        <f t="shared" si="141"/>
        <v>Vallentunasjön Va2</v>
      </c>
      <c r="M2444" s="1" t="s">
        <v>211</v>
      </c>
      <c r="N2444" s="1">
        <v>1</v>
      </c>
      <c r="O2444" s="1">
        <v>1</v>
      </c>
      <c r="Q2444" s="1">
        <v>3.9</v>
      </c>
      <c r="R2444" s="1">
        <v>13.1</v>
      </c>
      <c r="S2444" s="1">
        <v>103</v>
      </c>
    </row>
    <row r="2445" spans="1:51" x14ac:dyDescent="0.3">
      <c r="A2445" s="1">
        <v>38717</v>
      </c>
      <c r="B2445" s="1" t="s">
        <v>233</v>
      </c>
      <c r="C2445" s="1" t="s">
        <v>209</v>
      </c>
      <c r="D2445" s="2">
        <f t="shared" si="139"/>
        <v>2015</v>
      </c>
      <c r="E2445" s="2">
        <f t="shared" si="140"/>
        <v>3</v>
      </c>
      <c r="F2445" s="3" t="s">
        <v>175</v>
      </c>
      <c r="G2445" s="4">
        <v>42093</v>
      </c>
      <c r="H2445" s="1">
        <v>6600935</v>
      </c>
      <c r="I2445" s="1">
        <v>1626764</v>
      </c>
      <c r="J2445" s="1" t="s">
        <v>191</v>
      </c>
      <c r="K2445" s="1" t="s">
        <v>210</v>
      </c>
      <c r="L2445" s="1" t="str">
        <f t="shared" si="141"/>
        <v>Vallentunasjön Va2</v>
      </c>
      <c r="M2445" s="1" t="s">
        <v>212</v>
      </c>
      <c r="N2445" s="1">
        <v>2</v>
      </c>
      <c r="O2445" s="1">
        <v>2</v>
      </c>
      <c r="Q2445" s="1">
        <v>3.9</v>
      </c>
      <c r="R2445" s="1">
        <v>13.1</v>
      </c>
      <c r="S2445" s="1">
        <v>103</v>
      </c>
    </row>
    <row r="2446" spans="1:51" x14ac:dyDescent="0.3">
      <c r="A2446" s="1">
        <v>38718</v>
      </c>
      <c r="B2446" s="1" t="s">
        <v>233</v>
      </c>
      <c r="C2446" s="1" t="s">
        <v>209</v>
      </c>
      <c r="D2446" s="2">
        <f t="shared" si="139"/>
        <v>2015</v>
      </c>
      <c r="E2446" s="2">
        <f t="shared" si="140"/>
        <v>3</v>
      </c>
      <c r="F2446" s="3" t="s">
        <v>175</v>
      </c>
      <c r="G2446" s="4">
        <v>42093</v>
      </c>
      <c r="H2446" s="1">
        <v>6600935</v>
      </c>
      <c r="I2446" s="1">
        <v>1626764</v>
      </c>
      <c r="J2446" s="1" t="s">
        <v>191</v>
      </c>
      <c r="K2446" s="1" t="s">
        <v>210</v>
      </c>
      <c r="L2446" s="1" t="str">
        <f t="shared" si="141"/>
        <v>Vallentunasjön Va2</v>
      </c>
      <c r="M2446" s="1" t="s">
        <v>213</v>
      </c>
      <c r="N2446" s="1">
        <v>3</v>
      </c>
      <c r="O2446" s="1">
        <v>3</v>
      </c>
      <c r="Q2446" s="1">
        <v>3.9</v>
      </c>
      <c r="R2446" s="1">
        <v>13.1</v>
      </c>
      <c r="S2446" s="1">
        <v>103</v>
      </c>
    </row>
    <row r="2447" spans="1:51" x14ac:dyDescent="0.3">
      <c r="A2447" s="1">
        <v>38719</v>
      </c>
      <c r="B2447" s="1" t="s">
        <v>233</v>
      </c>
      <c r="C2447" s="1" t="s">
        <v>209</v>
      </c>
      <c r="D2447" s="2">
        <f t="shared" si="139"/>
        <v>2015</v>
      </c>
      <c r="E2447" s="2">
        <f t="shared" si="140"/>
        <v>3</v>
      </c>
      <c r="F2447" s="3" t="s">
        <v>175</v>
      </c>
      <c r="G2447" s="4">
        <v>42093</v>
      </c>
      <c r="H2447" s="1">
        <v>6600935</v>
      </c>
      <c r="I2447" s="1">
        <v>1626764</v>
      </c>
      <c r="J2447" s="1" t="s">
        <v>191</v>
      </c>
      <c r="K2447" s="1" t="s">
        <v>210</v>
      </c>
      <c r="L2447" s="1" t="str">
        <f t="shared" si="141"/>
        <v>Vallentunasjön Va2</v>
      </c>
      <c r="M2447" s="1" t="s">
        <v>214</v>
      </c>
      <c r="N2447" s="1">
        <v>4</v>
      </c>
      <c r="O2447" s="1">
        <v>4</v>
      </c>
      <c r="Q2447" s="1">
        <v>3.9</v>
      </c>
      <c r="R2447" s="1">
        <v>13</v>
      </c>
      <c r="S2447" s="1">
        <v>102</v>
      </c>
    </row>
    <row r="2448" spans="1:51" x14ac:dyDescent="0.3">
      <c r="A2448" s="1">
        <v>38720</v>
      </c>
      <c r="B2448" s="1" t="s">
        <v>233</v>
      </c>
      <c r="C2448" s="1" t="s">
        <v>209</v>
      </c>
      <c r="D2448" s="2">
        <f t="shared" si="139"/>
        <v>2015</v>
      </c>
      <c r="E2448" s="2">
        <f t="shared" si="140"/>
        <v>3</v>
      </c>
      <c r="F2448" s="3" t="s">
        <v>175</v>
      </c>
      <c r="G2448" s="4">
        <v>42093</v>
      </c>
      <c r="H2448" s="1">
        <v>6600935</v>
      </c>
      <c r="I2448" s="1">
        <v>1626764</v>
      </c>
      <c r="J2448" s="1" t="s">
        <v>191</v>
      </c>
      <c r="K2448" s="1" t="s">
        <v>210</v>
      </c>
      <c r="L2448" s="1" t="str">
        <f t="shared" si="141"/>
        <v>Vallentunasjön Va2</v>
      </c>
      <c r="M2448" s="1" t="s">
        <v>184</v>
      </c>
      <c r="N2448" s="1">
        <v>4.5</v>
      </c>
      <c r="O2448" s="1">
        <v>4.5</v>
      </c>
      <c r="Q2448" s="1">
        <v>3.9</v>
      </c>
      <c r="R2448" s="1">
        <v>13</v>
      </c>
      <c r="S2448" s="1">
        <v>102</v>
      </c>
    </row>
    <row r="2449" spans="1:43" x14ac:dyDescent="0.3">
      <c r="A2449" s="1">
        <v>38721</v>
      </c>
      <c r="B2449" s="1" t="s">
        <v>233</v>
      </c>
      <c r="C2449" s="1" t="s">
        <v>209</v>
      </c>
      <c r="D2449" s="2">
        <f t="shared" si="139"/>
        <v>2015</v>
      </c>
      <c r="E2449" s="2">
        <f t="shared" si="140"/>
        <v>3</v>
      </c>
      <c r="F2449" s="3" t="s">
        <v>175</v>
      </c>
      <c r="G2449" s="4">
        <v>42093</v>
      </c>
      <c r="J2449" s="1" t="s">
        <v>191</v>
      </c>
      <c r="K2449" s="1" t="s">
        <v>206</v>
      </c>
      <c r="L2449" s="1" t="str">
        <f t="shared" si="141"/>
        <v>Vallentunasjön Blandprov</v>
      </c>
      <c r="M2449" s="1" t="s">
        <v>177</v>
      </c>
      <c r="N2449" s="1">
        <v>4</v>
      </c>
      <c r="O2449" s="1">
        <v>0</v>
      </c>
      <c r="W2449" s="1">
        <v>402.21140000000003</v>
      </c>
      <c r="Z2449" s="1">
        <v>0</v>
      </c>
      <c r="AB2449" s="1">
        <v>17.445150000000002</v>
      </c>
      <c r="AD2449" s="1">
        <v>222.3</v>
      </c>
      <c r="AG2449" s="1">
        <v>6.6666666667000003</v>
      </c>
      <c r="AK2449" s="1">
        <v>37.880000000000003</v>
      </c>
      <c r="AL2449" s="1">
        <v>1434.71</v>
      </c>
    </row>
    <row r="2450" spans="1:43" x14ac:dyDescent="0.3">
      <c r="A2450" s="6">
        <v>38977</v>
      </c>
      <c r="B2450" s="5" t="s">
        <v>234</v>
      </c>
      <c r="C2450" s="5" t="s">
        <v>231</v>
      </c>
      <c r="D2450" s="2">
        <f t="shared" si="139"/>
        <v>2015</v>
      </c>
      <c r="E2450" s="2">
        <f t="shared" si="140"/>
        <v>4</v>
      </c>
      <c r="F2450" s="3" t="s">
        <v>178</v>
      </c>
      <c r="G2450" s="7">
        <v>42102</v>
      </c>
      <c r="H2450" s="6">
        <v>6599245</v>
      </c>
      <c r="I2450" s="6">
        <v>1622345</v>
      </c>
      <c r="J2450" s="5" t="s">
        <v>186</v>
      </c>
      <c r="K2450" s="1">
        <v>1</v>
      </c>
      <c r="L2450" s="1" t="str">
        <f t="shared" si="141"/>
        <v>Norrviken 1</v>
      </c>
      <c r="M2450" s="1" t="s">
        <v>177</v>
      </c>
      <c r="N2450" s="6">
        <v>0.5</v>
      </c>
      <c r="O2450" s="6">
        <v>0.5</v>
      </c>
      <c r="P2450" s="6">
        <v>1.4</v>
      </c>
      <c r="Q2450" s="6">
        <v>5.8</v>
      </c>
      <c r="R2450" s="6">
        <v>12.5</v>
      </c>
      <c r="S2450" s="6">
        <v>100</v>
      </c>
      <c r="V2450" s="6">
        <v>2.3296864865</v>
      </c>
      <c r="W2450" s="6">
        <v>40.521599999999999</v>
      </c>
      <c r="X2450" s="1">
        <f>W2450 * (1/((10^((0.0901821 + (2729.92 /(273.15 + Q2450)))-AE2450)+1)))</f>
        <v>0.36075092250031099</v>
      </c>
      <c r="Y2450" s="6">
        <v>0.1</v>
      </c>
      <c r="Z2450" s="6">
        <v>3.38</v>
      </c>
      <c r="AA2450" s="6">
        <v>10</v>
      </c>
      <c r="AD2450" s="6">
        <v>516.03</v>
      </c>
      <c r="AE2450" s="6">
        <v>7.83</v>
      </c>
      <c r="AK2450" s="6">
        <v>42.34</v>
      </c>
      <c r="AL2450" s="6">
        <v>1407.76</v>
      </c>
      <c r="AM2450" s="6"/>
      <c r="AN2450" s="6"/>
      <c r="AO2450" s="6"/>
      <c r="AP2450" s="6"/>
      <c r="AQ2450" s="6"/>
    </row>
    <row r="2451" spans="1:43" x14ac:dyDescent="0.3">
      <c r="A2451" s="6">
        <v>38978</v>
      </c>
      <c r="B2451" s="5" t="s">
        <v>234</v>
      </c>
      <c r="C2451" s="5" t="s">
        <v>231</v>
      </c>
      <c r="D2451" s="2">
        <f t="shared" si="139"/>
        <v>2015</v>
      </c>
      <c r="E2451" s="2">
        <f t="shared" si="140"/>
        <v>4</v>
      </c>
      <c r="F2451" s="3" t="s">
        <v>178</v>
      </c>
      <c r="G2451" s="7">
        <v>42102</v>
      </c>
      <c r="H2451" s="6">
        <v>6599245</v>
      </c>
      <c r="I2451" s="6">
        <v>1622345</v>
      </c>
      <c r="J2451" s="5" t="s">
        <v>186</v>
      </c>
      <c r="K2451" s="1">
        <v>1</v>
      </c>
      <c r="L2451" s="1" t="str">
        <f t="shared" si="141"/>
        <v>Norrviken 1</v>
      </c>
      <c r="M2451" s="5" t="s">
        <v>211</v>
      </c>
      <c r="N2451" s="6">
        <v>1</v>
      </c>
      <c r="O2451" s="6">
        <v>1</v>
      </c>
      <c r="Q2451" s="6">
        <v>5.9</v>
      </c>
      <c r="R2451" s="6">
        <v>11.9</v>
      </c>
      <c r="S2451" s="6">
        <v>95</v>
      </c>
    </row>
    <row r="2452" spans="1:43" x14ac:dyDescent="0.3">
      <c r="A2452" s="6">
        <v>38979</v>
      </c>
      <c r="B2452" s="5" t="s">
        <v>234</v>
      </c>
      <c r="C2452" s="5" t="s">
        <v>231</v>
      </c>
      <c r="D2452" s="2">
        <f t="shared" si="139"/>
        <v>2015</v>
      </c>
      <c r="E2452" s="2">
        <f t="shared" si="140"/>
        <v>4</v>
      </c>
      <c r="F2452" s="3" t="s">
        <v>178</v>
      </c>
      <c r="G2452" s="7">
        <v>42102</v>
      </c>
      <c r="H2452" s="6">
        <v>6599245</v>
      </c>
      <c r="I2452" s="6">
        <v>1622345</v>
      </c>
      <c r="J2452" s="5" t="s">
        <v>186</v>
      </c>
      <c r="K2452" s="1">
        <v>1</v>
      </c>
      <c r="L2452" s="1" t="str">
        <f t="shared" si="141"/>
        <v>Norrviken 1</v>
      </c>
      <c r="M2452" s="5" t="s">
        <v>212</v>
      </c>
      <c r="N2452" s="6">
        <v>2</v>
      </c>
      <c r="O2452" s="6">
        <v>2</v>
      </c>
      <c r="Q2452" s="6">
        <v>5.9</v>
      </c>
      <c r="R2452" s="6">
        <v>12</v>
      </c>
      <c r="S2452" s="6">
        <v>95</v>
      </c>
    </row>
    <row r="2453" spans="1:43" x14ac:dyDescent="0.3">
      <c r="A2453" s="6">
        <v>38980</v>
      </c>
      <c r="B2453" s="5" t="s">
        <v>234</v>
      </c>
      <c r="C2453" s="5" t="s">
        <v>231</v>
      </c>
      <c r="D2453" s="2">
        <f t="shared" si="139"/>
        <v>2015</v>
      </c>
      <c r="E2453" s="2">
        <f t="shared" si="140"/>
        <v>4</v>
      </c>
      <c r="F2453" s="3" t="s">
        <v>178</v>
      </c>
      <c r="G2453" s="7">
        <v>42102</v>
      </c>
      <c r="H2453" s="6">
        <v>6599245</v>
      </c>
      <c r="I2453" s="6">
        <v>1622345</v>
      </c>
      <c r="J2453" s="5" t="s">
        <v>186</v>
      </c>
      <c r="K2453" s="1">
        <v>1</v>
      </c>
      <c r="L2453" s="1" t="str">
        <f t="shared" si="141"/>
        <v>Norrviken 1</v>
      </c>
      <c r="M2453" s="1" t="s">
        <v>184</v>
      </c>
      <c r="Q2453" s="6">
        <v>5.8</v>
      </c>
      <c r="R2453" s="6">
        <v>12</v>
      </c>
      <c r="S2453" s="6">
        <v>95</v>
      </c>
    </row>
    <row r="2454" spans="1:43" x14ac:dyDescent="0.3">
      <c r="A2454" s="6">
        <v>38981</v>
      </c>
      <c r="B2454" s="5" t="s">
        <v>234</v>
      </c>
      <c r="C2454" s="5" t="s">
        <v>231</v>
      </c>
      <c r="D2454" s="2">
        <f t="shared" si="139"/>
        <v>2015</v>
      </c>
      <c r="E2454" s="2">
        <f t="shared" si="140"/>
        <v>4</v>
      </c>
      <c r="F2454" s="3" t="s">
        <v>178</v>
      </c>
      <c r="G2454" s="7">
        <v>42102</v>
      </c>
      <c r="H2454" s="6">
        <v>6596620</v>
      </c>
      <c r="I2454" s="6">
        <v>1620350</v>
      </c>
      <c r="J2454" s="5" t="s">
        <v>186</v>
      </c>
      <c r="K2454" s="1">
        <v>2</v>
      </c>
      <c r="L2454" s="1" t="str">
        <f t="shared" si="141"/>
        <v>Norrviken 2</v>
      </c>
      <c r="M2454" s="1" t="s">
        <v>177</v>
      </c>
      <c r="N2454" s="6">
        <v>0.5</v>
      </c>
      <c r="O2454" s="6">
        <v>0.5</v>
      </c>
      <c r="P2454" s="6">
        <v>1.5</v>
      </c>
      <c r="Q2454" s="6">
        <v>5</v>
      </c>
      <c r="R2454" s="6">
        <v>16</v>
      </c>
      <c r="S2454" s="6">
        <v>124</v>
      </c>
      <c r="V2454" s="6">
        <v>2.3675675676000001</v>
      </c>
      <c r="W2454" s="6">
        <v>4.3098000000000001</v>
      </c>
      <c r="X2454" s="1">
        <f>W2454 * (1/((10^((0.0901821 + (2729.92 /(273.15 + Q2454)))-AE2454)+1)))</f>
        <v>0.16693898729867837</v>
      </c>
      <c r="Y2454" s="6">
        <v>5.8999999999999997E-2</v>
      </c>
      <c r="Z2454" s="6">
        <v>1.5699999999999998</v>
      </c>
      <c r="AA2454" s="6">
        <v>6</v>
      </c>
      <c r="AD2454" s="6">
        <v>161.84</v>
      </c>
      <c r="AE2454" s="6">
        <v>8.51</v>
      </c>
      <c r="AK2454" s="6">
        <v>42.94</v>
      </c>
      <c r="AL2454" s="6">
        <v>994.36</v>
      </c>
      <c r="AM2454" s="6"/>
      <c r="AN2454" s="6"/>
      <c r="AO2454" s="6"/>
      <c r="AP2454" s="6"/>
      <c r="AQ2454" s="6"/>
    </row>
    <row r="2455" spans="1:43" x14ac:dyDescent="0.3">
      <c r="A2455" s="6">
        <v>38982</v>
      </c>
      <c r="B2455" s="5" t="s">
        <v>234</v>
      </c>
      <c r="C2455" s="5" t="s">
        <v>231</v>
      </c>
      <c r="D2455" s="2">
        <f t="shared" si="139"/>
        <v>2015</v>
      </c>
      <c r="E2455" s="2">
        <f t="shared" si="140"/>
        <v>4</v>
      </c>
      <c r="F2455" s="3" t="s">
        <v>178</v>
      </c>
      <c r="G2455" s="7">
        <v>42102</v>
      </c>
      <c r="H2455" s="6">
        <v>6596620</v>
      </c>
      <c r="I2455" s="6">
        <v>1620350</v>
      </c>
      <c r="J2455" s="5" t="s">
        <v>186</v>
      </c>
      <c r="K2455" s="1">
        <v>2</v>
      </c>
      <c r="L2455" s="1" t="str">
        <f t="shared" si="141"/>
        <v>Norrviken 2</v>
      </c>
      <c r="M2455" s="5" t="s">
        <v>211</v>
      </c>
      <c r="N2455" s="6">
        <v>1</v>
      </c>
      <c r="O2455" s="6">
        <v>1</v>
      </c>
      <c r="Q2455" s="6">
        <v>5</v>
      </c>
      <c r="R2455" s="6">
        <v>16.100000000000001</v>
      </c>
      <c r="S2455" s="6">
        <v>124</v>
      </c>
    </row>
    <row r="2456" spans="1:43" x14ac:dyDescent="0.3">
      <c r="A2456" s="6">
        <v>38983</v>
      </c>
      <c r="B2456" s="5" t="s">
        <v>234</v>
      </c>
      <c r="C2456" s="5" t="s">
        <v>231</v>
      </c>
      <c r="D2456" s="2">
        <f t="shared" si="139"/>
        <v>2015</v>
      </c>
      <c r="E2456" s="2">
        <f t="shared" si="140"/>
        <v>4</v>
      </c>
      <c r="F2456" s="3" t="s">
        <v>178</v>
      </c>
      <c r="G2456" s="7">
        <v>42102</v>
      </c>
      <c r="H2456" s="6">
        <v>6596620</v>
      </c>
      <c r="I2456" s="6">
        <v>1620350</v>
      </c>
      <c r="J2456" s="5" t="s">
        <v>186</v>
      </c>
      <c r="K2456" s="1">
        <v>2</v>
      </c>
      <c r="L2456" s="1" t="str">
        <f t="shared" si="141"/>
        <v>Norrviken 2</v>
      </c>
      <c r="M2456" s="5" t="s">
        <v>212</v>
      </c>
      <c r="N2456" s="6">
        <v>2</v>
      </c>
      <c r="O2456" s="6">
        <v>2</v>
      </c>
      <c r="Q2456" s="6">
        <v>5</v>
      </c>
      <c r="R2456" s="6">
        <v>16.3</v>
      </c>
      <c r="S2456" s="6">
        <v>126</v>
      </c>
    </row>
    <row r="2457" spans="1:43" x14ac:dyDescent="0.3">
      <c r="A2457" s="6">
        <v>38984</v>
      </c>
      <c r="B2457" s="5" t="s">
        <v>234</v>
      </c>
      <c r="C2457" s="5" t="s">
        <v>231</v>
      </c>
      <c r="D2457" s="2">
        <f t="shared" si="139"/>
        <v>2015</v>
      </c>
      <c r="E2457" s="2">
        <f t="shared" si="140"/>
        <v>4</v>
      </c>
      <c r="F2457" s="3" t="s">
        <v>178</v>
      </c>
      <c r="G2457" s="7">
        <v>42102</v>
      </c>
      <c r="H2457" s="6">
        <v>6596620</v>
      </c>
      <c r="I2457" s="6">
        <v>1620350</v>
      </c>
      <c r="J2457" s="5" t="s">
        <v>186</v>
      </c>
      <c r="K2457" s="1">
        <v>2</v>
      </c>
      <c r="L2457" s="1" t="str">
        <f t="shared" si="141"/>
        <v>Norrviken 2</v>
      </c>
      <c r="M2457" s="5" t="s">
        <v>213</v>
      </c>
      <c r="N2457" s="6">
        <v>3</v>
      </c>
      <c r="O2457" s="6">
        <v>3</v>
      </c>
      <c r="Q2457" s="6">
        <v>5</v>
      </c>
      <c r="R2457" s="6">
        <v>16.399999999999999</v>
      </c>
      <c r="S2457" s="6">
        <v>127</v>
      </c>
    </row>
    <row r="2458" spans="1:43" x14ac:dyDescent="0.3">
      <c r="A2458" s="6">
        <v>38985</v>
      </c>
      <c r="B2458" s="5" t="s">
        <v>234</v>
      </c>
      <c r="C2458" s="5" t="s">
        <v>231</v>
      </c>
      <c r="D2458" s="2">
        <f t="shared" si="139"/>
        <v>2015</v>
      </c>
      <c r="E2458" s="2">
        <f t="shared" si="140"/>
        <v>4</v>
      </c>
      <c r="F2458" s="3" t="s">
        <v>178</v>
      </c>
      <c r="G2458" s="7">
        <v>42102</v>
      </c>
      <c r="H2458" s="6">
        <v>6596620</v>
      </c>
      <c r="I2458" s="6">
        <v>1620350</v>
      </c>
      <c r="J2458" s="5" t="s">
        <v>186</v>
      </c>
      <c r="K2458" s="1">
        <v>2</v>
      </c>
      <c r="L2458" s="1" t="str">
        <f t="shared" si="141"/>
        <v>Norrviken 2</v>
      </c>
      <c r="M2458" s="5" t="s">
        <v>214</v>
      </c>
      <c r="N2458" s="6">
        <v>4</v>
      </c>
      <c r="O2458" s="6">
        <v>4</v>
      </c>
      <c r="Q2458" s="6">
        <v>5</v>
      </c>
      <c r="R2458" s="6">
        <v>16.8</v>
      </c>
      <c r="S2458" s="6">
        <v>130</v>
      </c>
    </row>
    <row r="2459" spans="1:43" x14ac:dyDescent="0.3">
      <c r="A2459" s="6">
        <v>38986</v>
      </c>
      <c r="B2459" s="5" t="s">
        <v>234</v>
      </c>
      <c r="C2459" s="5" t="s">
        <v>231</v>
      </c>
      <c r="D2459" s="2">
        <f t="shared" si="139"/>
        <v>2015</v>
      </c>
      <c r="E2459" s="2">
        <f t="shared" si="140"/>
        <v>4</v>
      </c>
      <c r="F2459" s="3" t="s">
        <v>178</v>
      </c>
      <c r="G2459" s="7">
        <v>42102</v>
      </c>
      <c r="H2459" s="6">
        <v>6596620</v>
      </c>
      <c r="I2459" s="6">
        <v>1620350</v>
      </c>
      <c r="J2459" s="5" t="s">
        <v>186</v>
      </c>
      <c r="K2459" s="1">
        <v>2</v>
      </c>
      <c r="L2459" s="1" t="str">
        <f t="shared" si="141"/>
        <v>Norrviken 2</v>
      </c>
      <c r="M2459" s="5" t="s">
        <v>217</v>
      </c>
      <c r="N2459" s="6">
        <v>5</v>
      </c>
      <c r="O2459" s="6">
        <v>5</v>
      </c>
      <c r="Q2459" s="6">
        <v>5</v>
      </c>
      <c r="R2459" s="6">
        <v>16.899999999999999</v>
      </c>
      <c r="S2459" s="6">
        <v>131</v>
      </c>
    </row>
    <row r="2460" spans="1:43" x14ac:dyDescent="0.3">
      <c r="A2460" s="6">
        <v>38987</v>
      </c>
      <c r="B2460" s="5" t="s">
        <v>234</v>
      </c>
      <c r="C2460" s="5" t="s">
        <v>231</v>
      </c>
      <c r="D2460" s="2">
        <f t="shared" si="139"/>
        <v>2015</v>
      </c>
      <c r="E2460" s="2">
        <f t="shared" si="140"/>
        <v>4</v>
      </c>
      <c r="F2460" s="3" t="s">
        <v>178</v>
      </c>
      <c r="G2460" s="7">
        <v>42102</v>
      </c>
      <c r="H2460" s="6">
        <v>6596620</v>
      </c>
      <c r="I2460" s="6">
        <v>1620350</v>
      </c>
      <c r="J2460" s="5" t="s">
        <v>186</v>
      </c>
      <c r="K2460" s="1">
        <v>2</v>
      </c>
      <c r="L2460" s="1" t="str">
        <f t="shared" si="141"/>
        <v>Norrviken 2</v>
      </c>
      <c r="M2460" s="5" t="s">
        <v>218</v>
      </c>
      <c r="N2460" s="6">
        <v>6</v>
      </c>
      <c r="O2460" s="6">
        <v>6</v>
      </c>
      <c r="Q2460" s="6">
        <v>5</v>
      </c>
      <c r="R2460" s="6">
        <v>17.100000000000001</v>
      </c>
      <c r="S2460" s="6">
        <v>132</v>
      </c>
    </row>
    <row r="2461" spans="1:43" x14ac:dyDescent="0.3">
      <c r="A2461" s="6">
        <v>38988</v>
      </c>
      <c r="B2461" s="5" t="s">
        <v>234</v>
      </c>
      <c r="C2461" s="5" t="s">
        <v>231</v>
      </c>
      <c r="D2461" s="2">
        <f t="shared" si="139"/>
        <v>2015</v>
      </c>
      <c r="E2461" s="2">
        <f t="shared" si="140"/>
        <v>4</v>
      </c>
      <c r="F2461" s="3" t="s">
        <v>178</v>
      </c>
      <c r="G2461" s="7">
        <v>42102</v>
      </c>
      <c r="H2461" s="6">
        <v>6596620</v>
      </c>
      <c r="I2461" s="6">
        <v>1620350</v>
      </c>
      <c r="J2461" s="5" t="s">
        <v>186</v>
      </c>
      <c r="K2461" s="1">
        <v>2</v>
      </c>
      <c r="L2461" s="1" t="str">
        <f t="shared" si="141"/>
        <v>Norrviken 2</v>
      </c>
      <c r="M2461" s="5" t="s">
        <v>219</v>
      </c>
      <c r="N2461" s="6">
        <v>7</v>
      </c>
      <c r="O2461" s="6">
        <v>7</v>
      </c>
      <c r="Q2461" s="6">
        <v>5</v>
      </c>
      <c r="R2461" s="6">
        <v>17.399999999999999</v>
      </c>
      <c r="S2461" s="6">
        <v>134</v>
      </c>
    </row>
    <row r="2462" spans="1:43" x14ac:dyDescent="0.3">
      <c r="A2462" s="6">
        <v>38989</v>
      </c>
      <c r="B2462" s="5" t="s">
        <v>234</v>
      </c>
      <c r="C2462" s="5" t="s">
        <v>231</v>
      </c>
      <c r="D2462" s="2">
        <f t="shared" si="139"/>
        <v>2015</v>
      </c>
      <c r="E2462" s="2">
        <f t="shared" si="140"/>
        <v>4</v>
      </c>
      <c r="F2462" s="3" t="s">
        <v>178</v>
      </c>
      <c r="G2462" s="7">
        <v>42102</v>
      </c>
      <c r="H2462" s="6">
        <v>6596620</v>
      </c>
      <c r="I2462" s="6">
        <v>1620350</v>
      </c>
      <c r="J2462" s="5" t="s">
        <v>186</v>
      </c>
      <c r="K2462" s="1">
        <v>2</v>
      </c>
      <c r="L2462" s="1" t="str">
        <f t="shared" si="141"/>
        <v>Norrviken 2</v>
      </c>
      <c r="M2462" s="5" t="s">
        <v>220</v>
      </c>
      <c r="N2462" s="6">
        <v>8</v>
      </c>
      <c r="O2462" s="6">
        <v>8</v>
      </c>
      <c r="Q2462" s="6">
        <v>5</v>
      </c>
      <c r="R2462" s="6">
        <v>17.600000000000001</v>
      </c>
      <c r="S2462" s="6">
        <v>136</v>
      </c>
    </row>
    <row r="2463" spans="1:43" x14ac:dyDescent="0.3">
      <c r="A2463" s="6">
        <v>38990</v>
      </c>
      <c r="B2463" s="5" t="s">
        <v>234</v>
      </c>
      <c r="C2463" s="5" t="s">
        <v>231</v>
      </c>
      <c r="D2463" s="2">
        <f t="shared" si="139"/>
        <v>2015</v>
      </c>
      <c r="E2463" s="2">
        <f t="shared" si="140"/>
        <v>4</v>
      </c>
      <c r="F2463" s="3" t="s">
        <v>178</v>
      </c>
      <c r="G2463" s="7">
        <v>42102</v>
      </c>
      <c r="H2463" s="6">
        <v>6596620</v>
      </c>
      <c r="I2463" s="6">
        <v>1620350</v>
      </c>
      <c r="J2463" s="5" t="s">
        <v>186</v>
      </c>
      <c r="K2463" s="1">
        <v>2</v>
      </c>
      <c r="L2463" s="1" t="str">
        <f t="shared" si="141"/>
        <v>Norrviken 2</v>
      </c>
      <c r="M2463" s="1" t="s">
        <v>184</v>
      </c>
      <c r="Q2463" s="6">
        <v>5</v>
      </c>
      <c r="R2463" s="6">
        <v>17.8</v>
      </c>
      <c r="S2463" s="6">
        <v>138</v>
      </c>
    </row>
    <row r="2464" spans="1:43" x14ac:dyDescent="0.3">
      <c r="A2464" s="6">
        <v>38991</v>
      </c>
      <c r="B2464" s="5" t="s">
        <v>234</v>
      </c>
      <c r="C2464" s="5" t="s">
        <v>231</v>
      </c>
      <c r="D2464" s="2">
        <f t="shared" si="139"/>
        <v>2015</v>
      </c>
      <c r="E2464" s="2">
        <f t="shared" si="140"/>
        <v>4</v>
      </c>
      <c r="F2464" s="3" t="s">
        <v>178</v>
      </c>
      <c r="G2464" s="7">
        <v>42102</v>
      </c>
      <c r="H2464" s="6">
        <v>6594885</v>
      </c>
      <c r="I2464" s="6">
        <v>1620750</v>
      </c>
      <c r="J2464" s="5" t="s">
        <v>186</v>
      </c>
      <c r="K2464" s="1">
        <v>3</v>
      </c>
      <c r="L2464" s="1" t="str">
        <f t="shared" si="141"/>
        <v>Norrviken 3</v>
      </c>
      <c r="M2464" s="1" t="s">
        <v>177</v>
      </c>
      <c r="N2464" s="6">
        <v>0.5</v>
      </c>
      <c r="O2464" s="6">
        <v>0.5</v>
      </c>
      <c r="P2464" s="6">
        <v>1.6</v>
      </c>
      <c r="Q2464" s="6">
        <v>4.7</v>
      </c>
      <c r="R2464" s="6">
        <v>15.8</v>
      </c>
      <c r="S2464" s="6">
        <v>121</v>
      </c>
      <c r="V2464" s="6">
        <v>2.3675675676000001</v>
      </c>
      <c r="W2464" s="6">
        <v>5.8682999999999996</v>
      </c>
      <c r="X2464" s="1">
        <f>W2464 * (1/((10^((0.0901821 + (2729.92 /(273.15 + Q2464)))-AE2464)+1)))</f>
        <v>0.22203512758325764</v>
      </c>
      <c r="Y2464" s="6">
        <v>5.2999999999999999E-2</v>
      </c>
      <c r="Z2464" s="6">
        <v>2.11</v>
      </c>
      <c r="AA2464" s="6">
        <v>5.0999999999999996</v>
      </c>
      <c r="AD2464" s="6">
        <v>150.84</v>
      </c>
      <c r="AE2464" s="6">
        <v>8.51</v>
      </c>
      <c r="AK2464" s="6">
        <v>53.54</v>
      </c>
      <c r="AL2464" s="6">
        <v>963.53</v>
      </c>
      <c r="AM2464" s="6"/>
      <c r="AN2464" s="6"/>
      <c r="AO2464" s="6"/>
      <c r="AP2464" s="6"/>
      <c r="AQ2464" s="6"/>
    </row>
    <row r="2465" spans="1:43" x14ac:dyDescent="0.3">
      <c r="A2465" s="6">
        <v>38992</v>
      </c>
      <c r="B2465" s="5" t="s">
        <v>234</v>
      </c>
      <c r="C2465" s="5" t="s">
        <v>231</v>
      </c>
      <c r="D2465" s="2">
        <f t="shared" si="139"/>
        <v>2015</v>
      </c>
      <c r="E2465" s="2">
        <f t="shared" si="140"/>
        <v>4</v>
      </c>
      <c r="F2465" s="3" t="s">
        <v>178</v>
      </c>
      <c r="G2465" s="7">
        <v>42102</v>
      </c>
      <c r="H2465" s="6">
        <v>6594885</v>
      </c>
      <c r="I2465" s="6">
        <v>1620750</v>
      </c>
      <c r="J2465" s="5" t="s">
        <v>186</v>
      </c>
      <c r="K2465" s="1">
        <v>3</v>
      </c>
      <c r="L2465" s="1" t="str">
        <f t="shared" si="141"/>
        <v>Norrviken 3</v>
      </c>
      <c r="M2465" s="5" t="s">
        <v>211</v>
      </c>
      <c r="N2465" s="6">
        <v>1</v>
      </c>
      <c r="O2465" s="6">
        <v>1</v>
      </c>
      <c r="Q2465" s="6">
        <v>4.7</v>
      </c>
      <c r="R2465" s="6">
        <v>15.9</v>
      </c>
      <c r="S2465" s="6">
        <v>122</v>
      </c>
    </row>
    <row r="2466" spans="1:43" x14ac:dyDescent="0.3">
      <c r="A2466" s="6">
        <v>38993</v>
      </c>
      <c r="B2466" s="5" t="s">
        <v>234</v>
      </c>
      <c r="C2466" s="5" t="s">
        <v>231</v>
      </c>
      <c r="D2466" s="2">
        <f t="shared" si="139"/>
        <v>2015</v>
      </c>
      <c r="E2466" s="2">
        <f t="shared" si="140"/>
        <v>4</v>
      </c>
      <c r="F2466" s="3" t="s">
        <v>178</v>
      </c>
      <c r="G2466" s="7">
        <v>42102</v>
      </c>
      <c r="H2466" s="6">
        <v>6594885</v>
      </c>
      <c r="I2466" s="6">
        <v>1620750</v>
      </c>
      <c r="J2466" s="5" t="s">
        <v>186</v>
      </c>
      <c r="K2466" s="1">
        <v>3</v>
      </c>
      <c r="L2466" s="1" t="str">
        <f t="shared" si="141"/>
        <v>Norrviken 3</v>
      </c>
      <c r="M2466" s="5" t="s">
        <v>212</v>
      </c>
      <c r="N2466" s="6">
        <v>2</v>
      </c>
      <c r="O2466" s="6">
        <v>2</v>
      </c>
      <c r="Q2466" s="6">
        <v>4.7</v>
      </c>
      <c r="R2466" s="6">
        <v>16</v>
      </c>
      <c r="S2466" s="6">
        <v>123</v>
      </c>
    </row>
    <row r="2467" spans="1:43" x14ac:dyDescent="0.3">
      <c r="A2467" s="6">
        <v>38994</v>
      </c>
      <c r="B2467" s="5" t="s">
        <v>234</v>
      </c>
      <c r="C2467" s="5" t="s">
        <v>231</v>
      </c>
      <c r="D2467" s="2">
        <f t="shared" si="139"/>
        <v>2015</v>
      </c>
      <c r="E2467" s="2">
        <f t="shared" si="140"/>
        <v>4</v>
      </c>
      <c r="F2467" s="3" t="s">
        <v>178</v>
      </c>
      <c r="G2467" s="7">
        <v>42102</v>
      </c>
      <c r="H2467" s="6">
        <v>6594885</v>
      </c>
      <c r="I2467" s="6">
        <v>1620750</v>
      </c>
      <c r="J2467" s="5" t="s">
        <v>186</v>
      </c>
      <c r="K2467" s="1">
        <v>3</v>
      </c>
      <c r="L2467" s="1" t="str">
        <f t="shared" si="141"/>
        <v>Norrviken 3</v>
      </c>
      <c r="M2467" s="5" t="s">
        <v>213</v>
      </c>
      <c r="N2467" s="6">
        <v>3</v>
      </c>
      <c r="O2467" s="6">
        <v>3</v>
      </c>
      <c r="Q2467" s="6">
        <v>4.7</v>
      </c>
      <c r="R2467" s="6">
        <v>16.3</v>
      </c>
      <c r="S2467" s="6">
        <v>125</v>
      </c>
    </row>
    <row r="2468" spans="1:43" x14ac:dyDescent="0.3">
      <c r="A2468" s="6">
        <v>38995</v>
      </c>
      <c r="B2468" s="5" t="s">
        <v>234</v>
      </c>
      <c r="C2468" s="5" t="s">
        <v>231</v>
      </c>
      <c r="D2468" s="2">
        <f t="shared" si="139"/>
        <v>2015</v>
      </c>
      <c r="E2468" s="2">
        <f t="shared" si="140"/>
        <v>4</v>
      </c>
      <c r="F2468" s="3" t="s">
        <v>178</v>
      </c>
      <c r="G2468" s="7">
        <v>42102</v>
      </c>
      <c r="H2468" s="6">
        <v>6594885</v>
      </c>
      <c r="I2468" s="6">
        <v>1620750</v>
      </c>
      <c r="J2468" s="5" t="s">
        <v>186</v>
      </c>
      <c r="K2468" s="1">
        <v>3</v>
      </c>
      <c r="L2468" s="1" t="str">
        <f t="shared" si="141"/>
        <v>Norrviken 3</v>
      </c>
      <c r="M2468" s="5" t="s">
        <v>214</v>
      </c>
      <c r="N2468" s="6">
        <v>4</v>
      </c>
      <c r="O2468" s="6">
        <v>4</v>
      </c>
      <c r="Q2468" s="6">
        <v>4.7</v>
      </c>
      <c r="R2468" s="6">
        <v>16.600000000000001</v>
      </c>
      <c r="S2468" s="6">
        <v>127</v>
      </c>
    </row>
    <row r="2469" spans="1:43" x14ac:dyDescent="0.3">
      <c r="A2469" s="6">
        <v>38996</v>
      </c>
      <c r="B2469" s="5" t="s">
        <v>234</v>
      </c>
      <c r="C2469" s="5" t="s">
        <v>231</v>
      </c>
      <c r="D2469" s="2">
        <f t="shared" si="139"/>
        <v>2015</v>
      </c>
      <c r="E2469" s="2">
        <f t="shared" si="140"/>
        <v>4</v>
      </c>
      <c r="F2469" s="3" t="s">
        <v>178</v>
      </c>
      <c r="G2469" s="7">
        <v>42102</v>
      </c>
      <c r="H2469" s="6">
        <v>6594885</v>
      </c>
      <c r="I2469" s="6">
        <v>1620750</v>
      </c>
      <c r="J2469" s="5" t="s">
        <v>186</v>
      </c>
      <c r="K2469" s="1">
        <v>3</v>
      </c>
      <c r="L2469" s="1" t="str">
        <f t="shared" si="141"/>
        <v>Norrviken 3</v>
      </c>
      <c r="M2469" s="5" t="s">
        <v>217</v>
      </c>
      <c r="N2469" s="6">
        <v>5</v>
      </c>
      <c r="O2469" s="6">
        <v>5</v>
      </c>
      <c r="Q2469" s="6">
        <v>4.7</v>
      </c>
      <c r="R2469" s="6">
        <v>16.8</v>
      </c>
      <c r="S2469" s="6">
        <v>129</v>
      </c>
    </row>
    <row r="2470" spans="1:43" x14ac:dyDescent="0.3">
      <c r="A2470" s="6">
        <v>38997</v>
      </c>
      <c r="B2470" s="5" t="s">
        <v>234</v>
      </c>
      <c r="C2470" s="5" t="s">
        <v>231</v>
      </c>
      <c r="D2470" s="2">
        <f t="shared" si="139"/>
        <v>2015</v>
      </c>
      <c r="E2470" s="2">
        <f t="shared" si="140"/>
        <v>4</v>
      </c>
      <c r="F2470" s="3" t="s">
        <v>178</v>
      </c>
      <c r="G2470" s="7">
        <v>42102</v>
      </c>
      <c r="H2470" s="6">
        <v>6594885</v>
      </c>
      <c r="I2470" s="6">
        <v>1620750</v>
      </c>
      <c r="J2470" s="5" t="s">
        <v>186</v>
      </c>
      <c r="K2470" s="1">
        <v>3</v>
      </c>
      <c r="L2470" s="1" t="str">
        <f t="shared" si="141"/>
        <v>Norrviken 3</v>
      </c>
      <c r="M2470" s="5" t="s">
        <v>218</v>
      </c>
      <c r="N2470" s="6">
        <v>6</v>
      </c>
      <c r="O2470" s="6">
        <v>6</v>
      </c>
      <c r="Q2470" s="6">
        <v>4.7</v>
      </c>
      <c r="R2470" s="6">
        <v>17.100000000000001</v>
      </c>
      <c r="S2470" s="6">
        <v>131</v>
      </c>
    </row>
    <row r="2471" spans="1:43" x14ac:dyDescent="0.3">
      <c r="A2471" s="6">
        <v>38998</v>
      </c>
      <c r="B2471" s="5" t="s">
        <v>234</v>
      </c>
      <c r="C2471" s="5" t="s">
        <v>231</v>
      </c>
      <c r="D2471" s="2">
        <f t="shared" si="139"/>
        <v>2015</v>
      </c>
      <c r="E2471" s="2">
        <f t="shared" si="140"/>
        <v>4</v>
      </c>
      <c r="F2471" s="3" t="s">
        <v>178</v>
      </c>
      <c r="G2471" s="7">
        <v>42102</v>
      </c>
      <c r="H2471" s="6">
        <v>6594885</v>
      </c>
      <c r="I2471" s="6">
        <v>1620750</v>
      </c>
      <c r="J2471" s="5" t="s">
        <v>186</v>
      </c>
      <c r="K2471" s="1">
        <v>3</v>
      </c>
      <c r="L2471" s="1" t="str">
        <f t="shared" si="141"/>
        <v>Norrviken 3</v>
      </c>
      <c r="M2471" s="5" t="s">
        <v>219</v>
      </c>
      <c r="N2471" s="6">
        <v>7</v>
      </c>
      <c r="O2471" s="6">
        <v>7</v>
      </c>
      <c r="Q2471" s="6">
        <v>4.7</v>
      </c>
      <c r="R2471" s="6">
        <v>17.3</v>
      </c>
      <c r="S2471" s="6">
        <v>133</v>
      </c>
    </row>
    <row r="2472" spans="1:43" x14ac:dyDescent="0.3">
      <c r="A2472" s="6">
        <v>38999</v>
      </c>
      <c r="B2472" s="5" t="s">
        <v>234</v>
      </c>
      <c r="C2472" s="5" t="s">
        <v>231</v>
      </c>
      <c r="D2472" s="2">
        <f t="shared" si="139"/>
        <v>2015</v>
      </c>
      <c r="E2472" s="2">
        <f t="shared" si="140"/>
        <v>4</v>
      </c>
      <c r="F2472" s="3" t="s">
        <v>178</v>
      </c>
      <c r="G2472" s="7">
        <v>42102</v>
      </c>
      <c r="H2472" s="6">
        <v>6594885</v>
      </c>
      <c r="I2472" s="6">
        <v>1620750</v>
      </c>
      <c r="J2472" s="5" t="s">
        <v>186</v>
      </c>
      <c r="K2472" s="1">
        <v>3</v>
      </c>
      <c r="L2472" s="1" t="str">
        <f t="shared" si="141"/>
        <v>Norrviken 3</v>
      </c>
      <c r="M2472" s="5" t="s">
        <v>220</v>
      </c>
      <c r="N2472" s="6">
        <v>8</v>
      </c>
      <c r="O2472" s="6">
        <v>8</v>
      </c>
      <c r="Q2472" s="6">
        <v>4.7</v>
      </c>
      <c r="R2472" s="6">
        <v>17.5</v>
      </c>
      <c r="S2472" s="6">
        <v>134</v>
      </c>
    </row>
    <row r="2473" spans="1:43" x14ac:dyDescent="0.3">
      <c r="A2473" s="6">
        <v>39000</v>
      </c>
      <c r="B2473" s="5" t="s">
        <v>234</v>
      </c>
      <c r="C2473" s="5" t="s">
        <v>231</v>
      </c>
      <c r="D2473" s="2">
        <f t="shared" si="139"/>
        <v>2015</v>
      </c>
      <c r="E2473" s="2">
        <f t="shared" si="140"/>
        <v>4</v>
      </c>
      <c r="F2473" s="3" t="s">
        <v>178</v>
      </c>
      <c r="G2473" s="7">
        <v>42102</v>
      </c>
      <c r="H2473" s="6">
        <v>6594885</v>
      </c>
      <c r="I2473" s="6">
        <v>1620750</v>
      </c>
      <c r="J2473" s="5" t="s">
        <v>186</v>
      </c>
      <c r="K2473" s="1">
        <v>3</v>
      </c>
      <c r="L2473" s="1" t="str">
        <f t="shared" si="141"/>
        <v>Norrviken 3</v>
      </c>
      <c r="M2473" s="5" t="s">
        <v>221</v>
      </c>
      <c r="N2473" s="6">
        <v>9</v>
      </c>
      <c r="O2473" s="6">
        <v>9</v>
      </c>
      <c r="Q2473" s="6">
        <v>4.7</v>
      </c>
      <c r="R2473" s="6">
        <v>17.600000000000001</v>
      </c>
      <c r="S2473" s="6">
        <v>135</v>
      </c>
    </row>
    <row r="2474" spans="1:43" x14ac:dyDescent="0.3">
      <c r="A2474" s="6">
        <v>39001</v>
      </c>
      <c r="B2474" s="5" t="s">
        <v>234</v>
      </c>
      <c r="C2474" s="5" t="s">
        <v>231</v>
      </c>
      <c r="D2474" s="2">
        <f t="shared" si="139"/>
        <v>2015</v>
      </c>
      <c r="E2474" s="2">
        <f t="shared" si="140"/>
        <v>4</v>
      </c>
      <c r="F2474" s="3" t="s">
        <v>178</v>
      </c>
      <c r="G2474" s="7">
        <v>42102</v>
      </c>
      <c r="H2474" s="6">
        <v>6594885</v>
      </c>
      <c r="I2474" s="6">
        <v>1620750</v>
      </c>
      <c r="J2474" s="5" t="s">
        <v>186</v>
      </c>
      <c r="K2474" s="1">
        <v>3</v>
      </c>
      <c r="L2474" s="1" t="str">
        <f t="shared" si="141"/>
        <v>Norrviken 3</v>
      </c>
      <c r="M2474" s="5" t="s">
        <v>222</v>
      </c>
      <c r="N2474" s="6">
        <v>10</v>
      </c>
      <c r="O2474" s="6">
        <v>10</v>
      </c>
      <c r="Q2474" s="6">
        <v>4.7</v>
      </c>
      <c r="R2474" s="6">
        <v>17.899999999999999</v>
      </c>
      <c r="S2474" s="6">
        <v>137</v>
      </c>
    </row>
    <row r="2475" spans="1:43" x14ac:dyDescent="0.3">
      <c r="A2475" s="6">
        <v>39002</v>
      </c>
      <c r="B2475" s="5" t="s">
        <v>234</v>
      </c>
      <c r="C2475" s="5" t="s">
        <v>231</v>
      </c>
      <c r="D2475" s="2">
        <f t="shared" si="139"/>
        <v>2015</v>
      </c>
      <c r="E2475" s="2">
        <f t="shared" si="140"/>
        <v>4</v>
      </c>
      <c r="F2475" s="3" t="s">
        <v>178</v>
      </c>
      <c r="G2475" s="7">
        <v>42102</v>
      </c>
      <c r="H2475" s="6">
        <v>6594885</v>
      </c>
      <c r="I2475" s="6">
        <v>1620750</v>
      </c>
      <c r="J2475" s="5" t="s">
        <v>186</v>
      </c>
      <c r="K2475" s="1">
        <v>3</v>
      </c>
      <c r="L2475" s="1" t="str">
        <f t="shared" si="141"/>
        <v>Norrviken 3</v>
      </c>
      <c r="M2475" s="5" t="s">
        <v>223</v>
      </c>
      <c r="N2475" s="6">
        <v>11</v>
      </c>
      <c r="O2475" s="6">
        <v>11</v>
      </c>
      <c r="Q2475" s="6">
        <v>4.7</v>
      </c>
      <c r="R2475" s="6">
        <v>18</v>
      </c>
      <c r="S2475" s="6">
        <v>138</v>
      </c>
    </row>
    <row r="2476" spans="1:43" x14ac:dyDescent="0.3">
      <c r="A2476" s="6">
        <v>39003</v>
      </c>
      <c r="B2476" s="5" t="s">
        <v>234</v>
      </c>
      <c r="C2476" s="5" t="s">
        <v>231</v>
      </c>
      <c r="D2476" s="2">
        <f t="shared" si="139"/>
        <v>2015</v>
      </c>
      <c r="E2476" s="2">
        <f t="shared" si="140"/>
        <v>4</v>
      </c>
      <c r="F2476" s="3" t="s">
        <v>178</v>
      </c>
      <c r="G2476" s="7">
        <v>42102</v>
      </c>
      <c r="H2476" s="6">
        <v>6594885</v>
      </c>
      <c r="I2476" s="6">
        <v>1620750</v>
      </c>
      <c r="J2476" s="5" t="s">
        <v>186</v>
      </c>
      <c r="K2476" s="1">
        <v>3</v>
      </c>
      <c r="L2476" s="1" t="str">
        <f t="shared" si="141"/>
        <v>Norrviken 3</v>
      </c>
      <c r="M2476" s="1" t="s">
        <v>184</v>
      </c>
      <c r="Q2476" s="6">
        <v>4.7</v>
      </c>
      <c r="R2476" s="6">
        <v>18</v>
      </c>
      <c r="S2476" s="6">
        <v>138</v>
      </c>
    </row>
    <row r="2477" spans="1:43" x14ac:dyDescent="0.3">
      <c r="A2477" s="6">
        <v>39004</v>
      </c>
      <c r="B2477" s="5" t="s">
        <v>234</v>
      </c>
      <c r="C2477" s="5" t="s">
        <v>231</v>
      </c>
      <c r="D2477" s="2">
        <f t="shared" si="139"/>
        <v>2015</v>
      </c>
      <c r="E2477" s="2">
        <f t="shared" si="140"/>
        <v>4</v>
      </c>
      <c r="F2477" s="3" t="s">
        <v>178</v>
      </c>
      <c r="G2477" s="7">
        <v>42102</v>
      </c>
      <c r="H2477" s="6">
        <v>6597300</v>
      </c>
      <c r="I2477" s="6">
        <v>1619975</v>
      </c>
      <c r="J2477" s="5" t="s">
        <v>186</v>
      </c>
      <c r="K2477" s="1">
        <v>4</v>
      </c>
      <c r="L2477" s="1" t="str">
        <f t="shared" si="141"/>
        <v>Norrviken 4</v>
      </c>
      <c r="M2477" s="1" t="s">
        <v>177</v>
      </c>
      <c r="N2477" s="6">
        <v>0.5</v>
      </c>
      <c r="O2477" s="6">
        <v>0.5</v>
      </c>
      <c r="P2477" s="6">
        <v>1.6</v>
      </c>
      <c r="Q2477" s="6">
        <v>5</v>
      </c>
      <c r="R2477" s="6">
        <v>16</v>
      </c>
      <c r="S2477" s="6">
        <v>124</v>
      </c>
      <c r="V2477" s="6">
        <v>2.3865081082000001</v>
      </c>
      <c r="W2477" s="6">
        <v>4.335</v>
      </c>
      <c r="X2477" s="1">
        <f>W2477 * (1/((10^((0.0901821 + (2729.92 /(273.15 + Q2477)))-AE2477)+1)))</f>
        <v>0.18342976134771308</v>
      </c>
      <c r="Y2477" s="6">
        <v>5.6000000000000001E-2</v>
      </c>
      <c r="Z2477" s="6">
        <v>0.92</v>
      </c>
      <c r="AA2477" s="6">
        <v>4.8</v>
      </c>
      <c r="AD2477" s="6">
        <v>154.19</v>
      </c>
      <c r="AE2477" s="6">
        <v>8.5500000000000007</v>
      </c>
      <c r="AK2477" s="6">
        <v>33.64</v>
      </c>
      <c r="AL2477" s="6">
        <v>909.52</v>
      </c>
      <c r="AM2477" s="6"/>
      <c r="AN2477" s="6"/>
      <c r="AO2477" s="6"/>
      <c r="AP2477" s="6"/>
      <c r="AQ2477" s="6"/>
    </row>
    <row r="2478" spans="1:43" x14ac:dyDescent="0.3">
      <c r="A2478" s="6">
        <v>39005</v>
      </c>
      <c r="B2478" s="5" t="s">
        <v>234</v>
      </c>
      <c r="C2478" s="5" t="s">
        <v>231</v>
      </c>
      <c r="D2478" s="2">
        <f t="shared" si="139"/>
        <v>2015</v>
      </c>
      <c r="E2478" s="2">
        <f t="shared" si="140"/>
        <v>4</v>
      </c>
      <c r="F2478" s="3" t="s">
        <v>178</v>
      </c>
      <c r="G2478" s="7">
        <v>42102</v>
      </c>
      <c r="H2478" s="6">
        <v>6597300</v>
      </c>
      <c r="I2478" s="6">
        <v>1619975</v>
      </c>
      <c r="J2478" s="5" t="s">
        <v>186</v>
      </c>
      <c r="K2478" s="1">
        <v>4</v>
      </c>
      <c r="L2478" s="1" t="str">
        <f t="shared" si="141"/>
        <v>Norrviken 4</v>
      </c>
      <c r="M2478" s="5" t="s">
        <v>211</v>
      </c>
      <c r="N2478" s="6">
        <v>1</v>
      </c>
      <c r="O2478" s="6">
        <v>1</v>
      </c>
      <c r="Q2478" s="6">
        <v>5</v>
      </c>
      <c r="R2478" s="6">
        <v>16.100000000000001</v>
      </c>
      <c r="S2478" s="6">
        <v>125</v>
      </c>
    </row>
    <row r="2479" spans="1:43" x14ac:dyDescent="0.3">
      <c r="A2479" s="6">
        <v>39006</v>
      </c>
      <c r="B2479" s="5" t="s">
        <v>234</v>
      </c>
      <c r="C2479" s="5" t="s">
        <v>231</v>
      </c>
      <c r="D2479" s="2">
        <f t="shared" si="139"/>
        <v>2015</v>
      </c>
      <c r="E2479" s="2">
        <f t="shared" si="140"/>
        <v>4</v>
      </c>
      <c r="F2479" s="3" t="s">
        <v>178</v>
      </c>
      <c r="G2479" s="7">
        <v>42102</v>
      </c>
      <c r="H2479" s="6">
        <v>6597300</v>
      </c>
      <c r="I2479" s="6">
        <v>1619975</v>
      </c>
      <c r="J2479" s="5" t="s">
        <v>186</v>
      </c>
      <c r="K2479" s="1">
        <v>4</v>
      </c>
      <c r="L2479" s="1" t="str">
        <f t="shared" si="141"/>
        <v>Norrviken 4</v>
      </c>
      <c r="M2479" s="1" t="s">
        <v>184</v>
      </c>
      <c r="Q2479" s="6">
        <v>5</v>
      </c>
      <c r="R2479" s="6">
        <v>16.399999999999999</v>
      </c>
      <c r="S2479" s="6">
        <v>126</v>
      </c>
    </row>
    <row r="2480" spans="1:43" x14ac:dyDescent="0.3">
      <c r="A2480" s="1">
        <v>39446</v>
      </c>
      <c r="B2480" s="1" t="s">
        <v>233</v>
      </c>
      <c r="C2480" s="1" t="s">
        <v>209</v>
      </c>
      <c r="D2480" s="2">
        <f t="shared" si="139"/>
        <v>2015</v>
      </c>
      <c r="E2480" s="2">
        <f t="shared" si="140"/>
        <v>4</v>
      </c>
      <c r="F2480" s="3" t="s">
        <v>178</v>
      </c>
      <c r="G2480" s="4">
        <v>42108</v>
      </c>
      <c r="H2480" s="1">
        <v>6600935</v>
      </c>
      <c r="I2480" s="1">
        <v>1626764</v>
      </c>
      <c r="J2480" s="1" t="s">
        <v>191</v>
      </c>
      <c r="K2480" s="1" t="s">
        <v>210</v>
      </c>
      <c r="L2480" s="1" t="str">
        <f t="shared" si="141"/>
        <v>Vallentunasjön Va2</v>
      </c>
      <c r="M2480" s="1" t="s">
        <v>177</v>
      </c>
      <c r="N2480" s="1">
        <v>0.5</v>
      </c>
      <c r="O2480" s="1">
        <v>0.5</v>
      </c>
      <c r="P2480" s="1">
        <v>1.4</v>
      </c>
      <c r="Q2480" s="1">
        <v>7.2</v>
      </c>
      <c r="R2480" s="1">
        <v>12.7</v>
      </c>
      <c r="S2480" s="1">
        <v>105</v>
      </c>
    </row>
    <row r="2481" spans="1:51" x14ac:dyDescent="0.3">
      <c r="A2481" s="1">
        <v>39447</v>
      </c>
      <c r="B2481" s="1" t="s">
        <v>233</v>
      </c>
      <c r="C2481" s="1" t="s">
        <v>209</v>
      </c>
      <c r="D2481" s="2">
        <f t="shared" si="139"/>
        <v>2015</v>
      </c>
      <c r="E2481" s="2">
        <f t="shared" si="140"/>
        <v>4</v>
      </c>
      <c r="F2481" s="3" t="s">
        <v>178</v>
      </c>
      <c r="G2481" s="4">
        <v>42108</v>
      </c>
      <c r="H2481" s="1">
        <v>6600935</v>
      </c>
      <c r="I2481" s="1">
        <v>1626764</v>
      </c>
      <c r="J2481" s="1" t="s">
        <v>191</v>
      </c>
      <c r="K2481" s="1" t="s">
        <v>210</v>
      </c>
      <c r="L2481" s="1" t="str">
        <f t="shared" si="141"/>
        <v>Vallentunasjön Va2</v>
      </c>
      <c r="M2481" s="1" t="s">
        <v>211</v>
      </c>
      <c r="N2481" s="1">
        <v>1</v>
      </c>
      <c r="O2481" s="1">
        <v>1</v>
      </c>
      <c r="Q2481" s="1">
        <v>7.2</v>
      </c>
      <c r="R2481" s="1">
        <v>12.7</v>
      </c>
      <c r="S2481" s="1">
        <v>105</v>
      </c>
    </row>
    <row r="2482" spans="1:51" x14ac:dyDescent="0.3">
      <c r="A2482" s="1">
        <v>39448</v>
      </c>
      <c r="B2482" s="1" t="s">
        <v>233</v>
      </c>
      <c r="C2482" s="1" t="s">
        <v>209</v>
      </c>
      <c r="D2482" s="2">
        <f t="shared" si="139"/>
        <v>2015</v>
      </c>
      <c r="E2482" s="2">
        <f t="shared" si="140"/>
        <v>4</v>
      </c>
      <c r="F2482" s="3" t="s">
        <v>178</v>
      </c>
      <c r="G2482" s="4">
        <v>42108</v>
      </c>
      <c r="H2482" s="1">
        <v>6600935</v>
      </c>
      <c r="I2482" s="1">
        <v>1626764</v>
      </c>
      <c r="J2482" s="1" t="s">
        <v>191</v>
      </c>
      <c r="K2482" s="1" t="s">
        <v>210</v>
      </c>
      <c r="L2482" s="1" t="str">
        <f t="shared" si="141"/>
        <v>Vallentunasjön Va2</v>
      </c>
      <c r="M2482" s="1" t="s">
        <v>212</v>
      </c>
      <c r="N2482" s="1">
        <v>2</v>
      </c>
      <c r="O2482" s="1">
        <v>2</v>
      </c>
      <c r="Q2482" s="1">
        <v>7.2</v>
      </c>
      <c r="R2482" s="1">
        <v>12.7</v>
      </c>
      <c r="S2482" s="1">
        <v>105</v>
      </c>
    </row>
    <row r="2483" spans="1:51" x14ac:dyDescent="0.3">
      <c r="A2483" s="1">
        <v>39449</v>
      </c>
      <c r="B2483" s="1" t="s">
        <v>233</v>
      </c>
      <c r="C2483" s="1" t="s">
        <v>209</v>
      </c>
      <c r="D2483" s="2">
        <f t="shared" si="139"/>
        <v>2015</v>
      </c>
      <c r="E2483" s="2">
        <f t="shared" si="140"/>
        <v>4</v>
      </c>
      <c r="F2483" s="3" t="s">
        <v>178</v>
      </c>
      <c r="G2483" s="4">
        <v>42108</v>
      </c>
      <c r="H2483" s="1">
        <v>6600935</v>
      </c>
      <c r="I2483" s="1">
        <v>1626764</v>
      </c>
      <c r="J2483" s="1" t="s">
        <v>191</v>
      </c>
      <c r="K2483" s="1" t="s">
        <v>210</v>
      </c>
      <c r="L2483" s="1" t="str">
        <f t="shared" si="141"/>
        <v>Vallentunasjön Va2</v>
      </c>
      <c r="M2483" s="1" t="s">
        <v>213</v>
      </c>
      <c r="N2483" s="1">
        <v>3</v>
      </c>
      <c r="O2483" s="1">
        <v>3</v>
      </c>
      <c r="Q2483" s="1">
        <v>7.2</v>
      </c>
      <c r="R2483" s="1">
        <v>12.7</v>
      </c>
      <c r="S2483" s="1">
        <v>106</v>
      </c>
    </row>
    <row r="2484" spans="1:51" x14ac:dyDescent="0.3">
      <c r="A2484" s="1">
        <v>39450</v>
      </c>
      <c r="B2484" s="1" t="s">
        <v>233</v>
      </c>
      <c r="C2484" s="1" t="s">
        <v>209</v>
      </c>
      <c r="D2484" s="2">
        <f t="shared" si="139"/>
        <v>2015</v>
      </c>
      <c r="E2484" s="2">
        <f t="shared" si="140"/>
        <v>4</v>
      </c>
      <c r="F2484" s="3" t="s">
        <v>178</v>
      </c>
      <c r="G2484" s="4">
        <v>42108</v>
      </c>
      <c r="H2484" s="1">
        <v>6600935</v>
      </c>
      <c r="I2484" s="1">
        <v>1626764</v>
      </c>
      <c r="J2484" s="1" t="s">
        <v>191</v>
      </c>
      <c r="K2484" s="1" t="s">
        <v>210</v>
      </c>
      <c r="L2484" s="1" t="str">
        <f t="shared" si="141"/>
        <v>Vallentunasjön Va2</v>
      </c>
      <c r="M2484" s="1" t="s">
        <v>214</v>
      </c>
      <c r="N2484" s="1">
        <v>4</v>
      </c>
      <c r="O2484" s="1">
        <v>4</v>
      </c>
      <c r="Q2484" s="1">
        <v>7.2</v>
      </c>
      <c r="R2484" s="1">
        <v>12.7</v>
      </c>
      <c r="S2484" s="1">
        <v>106</v>
      </c>
    </row>
    <row r="2485" spans="1:51" x14ac:dyDescent="0.3">
      <c r="A2485" s="1">
        <v>39451</v>
      </c>
      <c r="B2485" s="1" t="s">
        <v>233</v>
      </c>
      <c r="C2485" s="1" t="s">
        <v>209</v>
      </c>
      <c r="D2485" s="2">
        <f t="shared" si="139"/>
        <v>2015</v>
      </c>
      <c r="E2485" s="2">
        <f t="shared" si="140"/>
        <v>4</v>
      </c>
      <c r="F2485" s="3" t="s">
        <v>178</v>
      </c>
      <c r="G2485" s="4">
        <v>42108</v>
      </c>
      <c r="H2485" s="1">
        <v>6600935</v>
      </c>
      <c r="I2485" s="1">
        <v>1626764</v>
      </c>
      <c r="J2485" s="1" t="s">
        <v>191</v>
      </c>
      <c r="K2485" s="1" t="s">
        <v>210</v>
      </c>
      <c r="L2485" s="1" t="str">
        <f t="shared" si="141"/>
        <v>Vallentunasjön Va2</v>
      </c>
      <c r="M2485" s="1" t="s">
        <v>184</v>
      </c>
      <c r="N2485" s="1">
        <v>4.5</v>
      </c>
      <c r="O2485" s="1">
        <v>4.5</v>
      </c>
      <c r="Q2485" s="1">
        <v>7.2</v>
      </c>
      <c r="R2485" s="1">
        <v>12.7</v>
      </c>
      <c r="S2485" s="1">
        <v>106</v>
      </c>
    </row>
    <row r="2486" spans="1:51" x14ac:dyDescent="0.3">
      <c r="A2486" s="1">
        <v>39452</v>
      </c>
      <c r="B2486" s="1" t="s">
        <v>233</v>
      </c>
      <c r="C2486" s="1" t="s">
        <v>209</v>
      </c>
      <c r="D2486" s="2">
        <f t="shared" si="139"/>
        <v>2015</v>
      </c>
      <c r="E2486" s="2">
        <f t="shared" si="140"/>
        <v>4</v>
      </c>
      <c r="F2486" s="3" t="s">
        <v>178</v>
      </c>
      <c r="G2486" s="4">
        <v>42108</v>
      </c>
      <c r="J2486" s="1" t="s">
        <v>191</v>
      </c>
      <c r="K2486" s="1" t="s">
        <v>206</v>
      </c>
      <c r="L2486" s="1" t="str">
        <f t="shared" si="141"/>
        <v>Vallentunasjön Blandprov</v>
      </c>
      <c r="M2486" s="1" t="s">
        <v>177</v>
      </c>
      <c r="N2486" s="1">
        <v>4</v>
      </c>
      <c r="O2486" s="1">
        <v>0</v>
      </c>
      <c r="W2486" s="1">
        <v>219.11160000000001</v>
      </c>
      <c r="Z2486" s="1">
        <v>0</v>
      </c>
      <c r="AB2486" s="1">
        <v>25.562314285999999</v>
      </c>
      <c r="AD2486" s="1">
        <v>212.9</v>
      </c>
      <c r="AG2486" s="1">
        <v>8.6666666666999994</v>
      </c>
      <c r="AK2486" s="1">
        <v>42.08</v>
      </c>
      <c r="AL2486" s="1">
        <v>1428.93</v>
      </c>
    </row>
    <row r="2487" spans="1:51" x14ac:dyDescent="0.3">
      <c r="D2487" s="2">
        <f t="shared" si="139"/>
        <v>2015</v>
      </c>
      <c r="E2487" s="2">
        <f t="shared" si="140"/>
        <v>4</v>
      </c>
      <c r="F2487" s="3" t="s">
        <v>178</v>
      </c>
      <c r="G2487" s="4">
        <v>42108</v>
      </c>
      <c r="H2487" s="1">
        <v>6606238</v>
      </c>
      <c r="I2487" s="1">
        <v>661152</v>
      </c>
      <c r="J2487" s="5" t="s">
        <v>176</v>
      </c>
      <c r="K2487" s="1"/>
      <c r="L2487" s="1" t="str">
        <f t="shared" si="141"/>
        <v xml:space="preserve">Oxundaån </v>
      </c>
      <c r="M2487" s="1" t="s">
        <v>177</v>
      </c>
      <c r="N2487" s="1">
        <v>0.1</v>
      </c>
      <c r="O2487" s="1">
        <v>0.1</v>
      </c>
      <c r="Q2487" s="1">
        <v>6.8</v>
      </c>
      <c r="T2487" s="1">
        <v>44.9</v>
      </c>
      <c r="V2487" s="1">
        <v>2.327</v>
      </c>
      <c r="W2487" s="1">
        <v>18</v>
      </c>
      <c r="X2487" s="1">
        <f>W2487 * (1/((10^((0.0901821 + (2729.92 /(273.15 + Q2487)))-AE2487)+1)))</f>
        <v>0.30632353468404577</v>
      </c>
      <c r="Y2487" s="1">
        <v>5.5E-2</v>
      </c>
      <c r="Z2487" s="1">
        <v>1.5</v>
      </c>
      <c r="AA2487" s="1">
        <v>5.4</v>
      </c>
      <c r="AD2487" s="1">
        <v>464</v>
      </c>
      <c r="AE2487" s="1">
        <v>8.08</v>
      </c>
      <c r="AI2487" s="1">
        <v>12.8</v>
      </c>
      <c r="AK2487" s="1">
        <v>35</v>
      </c>
      <c r="AL2487" s="1">
        <v>1210</v>
      </c>
      <c r="AR2487" s="1">
        <v>50.8</v>
      </c>
      <c r="AT2487" s="1">
        <v>5.0048000000000004</v>
      </c>
      <c r="AU2487" s="1">
        <v>8.4820999999999991</v>
      </c>
      <c r="AV2487" s="1">
        <v>36.407150000000001</v>
      </c>
      <c r="AW2487" s="1">
        <v>25.463400000000004</v>
      </c>
      <c r="AX2487" s="1">
        <v>50.596649999999997</v>
      </c>
      <c r="AY2487" s="1">
        <v>4</v>
      </c>
    </row>
    <row r="2488" spans="1:51" x14ac:dyDescent="0.3">
      <c r="A2488" s="6">
        <v>39456</v>
      </c>
      <c r="B2488" s="5" t="s">
        <v>234</v>
      </c>
      <c r="C2488" s="5" t="s">
        <v>231</v>
      </c>
      <c r="D2488" s="2">
        <f t="shared" si="139"/>
        <v>2015</v>
      </c>
      <c r="E2488" s="2">
        <f t="shared" si="140"/>
        <v>4</v>
      </c>
      <c r="F2488" s="3" t="s">
        <v>178</v>
      </c>
      <c r="G2488" s="7">
        <v>42109</v>
      </c>
      <c r="H2488" s="6">
        <v>6595400</v>
      </c>
      <c r="I2488" s="6">
        <v>1624045</v>
      </c>
      <c r="J2488" s="5" t="s">
        <v>183</v>
      </c>
      <c r="K2488" s="1"/>
      <c r="L2488" s="1" t="str">
        <f t="shared" si="141"/>
        <v xml:space="preserve">Fjäturen </v>
      </c>
      <c r="M2488" s="1" t="s">
        <v>177</v>
      </c>
      <c r="N2488" s="6">
        <v>0.5</v>
      </c>
      <c r="O2488" s="6">
        <v>0.5</v>
      </c>
      <c r="P2488" s="6">
        <v>2</v>
      </c>
      <c r="Q2488" s="6">
        <v>7.7</v>
      </c>
      <c r="R2488" s="6">
        <v>12.4</v>
      </c>
      <c r="S2488" s="6">
        <v>105</v>
      </c>
      <c r="V2488" s="6">
        <v>1.9110168673999999</v>
      </c>
      <c r="W2488" s="6">
        <v>3.0920999999999998</v>
      </c>
      <c r="X2488" s="1">
        <f>W2488 * (1/((10^((0.0901821 + (2729.92 /(273.15 + Q2488)))-AE2488)+1)))</f>
        <v>2.9898210143900081E-2</v>
      </c>
      <c r="Y2488" s="6">
        <v>9.8000000000000004E-2</v>
      </c>
      <c r="Z2488" s="6">
        <v>1.65</v>
      </c>
      <c r="AA2488" s="6">
        <v>4.0999999999999996</v>
      </c>
      <c r="AD2488" s="6">
        <v>324.64</v>
      </c>
      <c r="AE2488" s="6">
        <v>7.8</v>
      </c>
      <c r="AK2488" s="6">
        <v>21.56</v>
      </c>
      <c r="AL2488" s="6">
        <v>1006.88</v>
      </c>
      <c r="AM2488" s="6"/>
      <c r="AN2488" s="6"/>
      <c r="AO2488" s="6"/>
      <c r="AP2488" s="6"/>
      <c r="AQ2488" s="6"/>
    </row>
    <row r="2489" spans="1:51" x14ac:dyDescent="0.3">
      <c r="A2489" s="6">
        <v>39457</v>
      </c>
      <c r="B2489" s="5" t="s">
        <v>234</v>
      </c>
      <c r="C2489" s="5" t="s">
        <v>231</v>
      </c>
      <c r="D2489" s="2">
        <f t="shared" si="139"/>
        <v>2015</v>
      </c>
      <c r="E2489" s="2">
        <f t="shared" si="140"/>
        <v>4</v>
      </c>
      <c r="F2489" s="3" t="s">
        <v>178</v>
      </c>
      <c r="G2489" s="7">
        <v>42109</v>
      </c>
      <c r="H2489" s="6">
        <v>6595400</v>
      </c>
      <c r="I2489" s="6">
        <v>1624045</v>
      </c>
      <c r="J2489" s="5" t="s">
        <v>183</v>
      </c>
      <c r="K2489" s="1"/>
      <c r="L2489" s="1" t="str">
        <f t="shared" si="141"/>
        <v xml:space="preserve">Fjäturen </v>
      </c>
      <c r="M2489" s="5" t="s">
        <v>211</v>
      </c>
      <c r="N2489" s="6">
        <v>1</v>
      </c>
      <c r="O2489" s="6">
        <v>1</v>
      </c>
      <c r="Q2489" s="6">
        <v>7.1</v>
      </c>
      <c r="R2489" s="6">
        <v>12.4</v>
      </c>
      <c r="S2489" s="6">
        <v>104</v>
      </c>
    </row>
    <row r="2490" spans="1:51" x14ac:dyDescent="0.3">
      <c r="A2490" s="6">
        <v>39458</v>
      </c>
      <c r="B2490" s="5" t="s">
        <v>234</v>
      </c>
      <c r="C2490" s="5" t="s">
        <v>231</v>
      </c>
      <c r="D2490" s="2">
        <f t="shared" si="139"/>
        <v>2015</v>
      </c>
      <c r="E2490" s="2">
        <f t="shared" si="140"/>
        <v>4</v>
      </c>
      <c r="F2490" s="3" t="s">
        <v>178</v>
      </c>
      <c r="G2490" s="7">
        <v>42109</v>
      </c>
      <c r="H2490" s="6">
        <v>6595400</v>
      </c>
      <c r="I2490" s="6">
        <v>1624045</v>
      </c>
      <c r="J2490" s="5" t="s">
        <v>183</v>
      </c>
      <c r="K2490" s="1"/>
      <c r="L2490" s="1" t="str">
        <f t="shared" si="141"/>
        <v xml:space="preserve">Fjäturen </v>
      </c>
      <c r="M2490" s="5" t="s">
        <v>212</v>
      </c>
      <c r="N2490" s="6">
        <v>2</v>
      </c>
      <c r="O2490" s="6">
        <v>2</v>
      </c>
      <c r="Q2490" s="6">
        <v>6.7</v>
      </c>
      <c r="R2490" s="6">
        <v>12.4</v>
      </c>
      <c r="S2490" s="6">
        <v>103</v>
      </c>
    </row>
    <row r="2491" spans="1:51" x14ac:dyDescent="0.3">
      <c r="A2491" s="6">
        <v>39459</v>
      </c>
      <c r="B2491" s="5" t="s">
        <v>234</v>
      </c>
      <c r="C2491" s="5" t="s">
        <v>231</v>
      </c>
      <c r="D2491" s="2">
        <f t="shared" si="139"/>
        <v>2015</v>
      </c>
      <c r="E2491" s="2">
        <f t="shared" si="140"/>
        <v>4</v>
      </c>
      <c r="F2491" s="3" t="s">
        <v>178</v>
      </c>
      <c r="G2491" s="7">
        <v>42109</v>
      </c>
      <c r="H2491" s="6">
        <v>6595400</v>
      </c>
      <c r="I2491" s="6">
        <v>1624045</v>
      </c>
      <c r="J2491" s="5" t="s">
        <v>183</v>
      </c>
      <c r="K2491" s="1"/>
      <c r="L2491" s="1" t="str">
        <f t="shared" si="141"/>
        <v xml:space="preserve">Fjäturen </v>
      </c>
      <c r="M2491" s="5" t="s">
        <v>213</v>
      </c>
      <c r="N2491" s="6">
        <v>3</v>
      </c>
      <c r="O2491" s="6">
        <v>3</v>
      </c>
      <c r="Q2491" s="6">
        <v>6.5</v>
      </c>
      <c r="R2491" s="6">
        <v>12.4</v>
      </c>
      <c r="S2491" s="6">
        <v>102</v>
      </c>
    </row>
    <row r="2492" spans="1:51" x14ac:dyDescent="0.3">
      <c r="A2492" s="6">
        <v>39460</v>
      </c>
      <c r="B2492" s="5" t="s">
        <v>234</v>
      </c>
      <c r="C2492" s="5" t="s">
        <v>231</v>
      </c>
      <c r="D2492" s="2">
        <f t="shared" si="139"/>
        <v>2015</v>
      </c>
      <c r="E2492" s="2">
        <f t="shared" si="140"/>
        <v>4</v>
      </c>
      <c r="F2492" s="3" t="s">
        <v>178</v>
      </c>
      <c r="G2492" s="7">
        <v>42109</v>
      </c>
      <c r="H2492" s="6">
        <v>6595400</v>
      </c>
      <c r="I2492" s="6">
        <v>1624045</v>
      </c>
      <c r="J2492" s="5" t="s">
        <v>183</v>
      </c>
      <c r="K2492" s="1"/>
      <c r="L2492" s="1" t="str">
        <f t="shared" si="141"/>
        <v xml:space="preserve">Fjäturen </v>
      </c>
      <c r="M2492" s="5" t="s">
        <v>214</v>
      </c>
      <c r="N2492" s="6">
        <v>4</v>
      </c>
      <c r="O2492" s="6">
        <v>4</v>
      </c>
      <c r="Q2492" s="6">
        <v>6.5</v>
      </c>
      <c r="R2492" s="6">
        <v>12.3</v>
      </c>
      <c r="S2492" s="6">
        <v>101</v>
      </c>
    </row>
    <row r="2493" spans="1:51" x14ac:dyDescent="0.3">
      <c r="A2493" s="6">
        <v>39461</v>
      </c>
      <c r="B2493" s="5" t="s">
        <v>234</v>
      </c>
      <c r="C2493" s="5" t="s">
        <v>231</v>
      </c>
      <c r="D2493" s="2">
        <f t="shared" si="139"/>
        <v>2015</v>
      </c>
      <c r="E2493" s="2">
        <f t="shared" si="140"/>
        <v>4</v>
      </c>
      <c r="F2493" s="3" t="s">
        <v>178</v>
      </c>
      <c r="G2493" s="7">
        <v>42109</v>
      </c>
      <c r="H2493" s="6">
        <v>6595400</v>
      </c>
      <c r="I2493" s="6">
        <v>1624045</v>
      </c>
      <c r="J2493" s="5" t="s">
        <v>183</v>
      </c>
      <c r="K2493" s="1"/>
      <c r="L2493" s="1" t="str">
        <f t="shared" si="141"/>
        <v xml:space="preserve">Fjäturen </v>
      </c>
      <c r="M2493" s="5" t="s">
        <v>217</v>
      </c>
      <c r="N2493" s="6">
        <v>5</v>
      </c>
      <c r="O2493" s="6">
        <v>5</v>
      </c>
      <c r="Q2493" s="6">
        <v>6.4</v>
      </c>
      <c r="R2493" s="6">
        <v>12.2</v>
      </c>
      <c r="S2493" s="6">
        <v>101</v>
      </c>
    </row>
    <row r="2494" spans="1:51" x14ac:dyDescent="0.3">
      <c r="A2494" s="6">
        <v>39462</v>
      </c>
      <c r="B2494" s="5" t="s">
        <v>234</v>
      </c>
      <c r="C2494" s="5" t="s">
        <v>231</v>
      </c>
      <c r="D2494" s="2">
        <f t="shared" si="139"/>
        <v>2015</v>
      </c>
      <c r="E2494" s="2">
        <f t="shared" si="140"/>
        <v>4</v>
      </c>
      <c r="F2494" s="3" t="s">
        <v>178</v>
      </c>
      <c r="G2494" s="7">
        <v>42109</v>
      </c>
      <c r="H2494" s="6">
        <v>6595400</v>
      </c>
      <c r="I2494" s="6">
        <v>1624045</v>
      </c>
      <c r="J2494" s="5" t="s">
        <v>183</v>
      </c>
      <c r="K2494" s="1"/>
      <c r="L2494" s="1" t="str">
        <f t="shared" si="141"/>
        <v xml:space="preserve">Fjäturen </v>
      </c>
      <c r="M2494" s="5" t="s">
        <v>218</v>
      </c>
      <c r="N2494" s="6">
        <v>6</v>
      </c>
      <c r="O2494" s="6">
        <v>6</v>
      </c>
      <c r="Q2494" s="6">
        <v>6.4</v>
      </c>
      <c r="R2494" s="6">
        <v>12.2</v>
      </c>
      <c r="S2494" s="6">
        <v>100</v>
      </c>
    </row>
    <row r="2495" spans="1:51" x14ac:dyDescent="0.3">
      <c r="A2495" s="6">
        <v>39463</v>
      </c>
      <c r="B2495" s="5" t="s">
        <v>234</v>
      </c>
      <c r="C2495" s="5" t="s">
        <v>231</v>
      </c>
      <c r="D2495" s="2">
        <f t="shared" si="139"/>
        <v>2015</v>
      </c>
      <c r="E2495" s="2">
        <f t="shared" si="140"/>
        <v>4</v>
      </c>
      <c r="F2495" s="3" t="s">
        <v>178</v>
      </c>
      <c r="G2495" s="7">
        <v>42109</v>
      </c>
      <c r="H2495" s="6">
        <v>6595400</v>
      </c>
      <c r="I2495" s="6">
        <v>1624045</v>
      </c>
      <c r="J2495" s="5" t="s">
        <v>183</v>
      </c>
      <c r="K2495" s="1"/>
      <c r="L2495" s="1" t="str">
        <f t="shared" si="141"/>
        <v xml:space="preserve">Fjäturen </v>
      </c>
      <c r="M2495" s="5" t="s">
        <v>219</v>
      </c>
      <c r="N2495" s="6">
        <v>7</v>
      </c>
      <c r="O2495" s="6">
        <v>7</v>
      </c>
      <c r="Q2495" s="6">
        <v>6.4</v>
      </c>
      <c r="R2495" s="6">
        <v>12.1</v>
      </c>
      <c r="S2495" s="6">
        <v>100</v>
      </c>
    </row>
    <row r="2496" spans="1:51" x14ac:dyDescent="0.3">
      <c r="A2496" s="6">
        <v>39464</v>
      </c>
      <c r="B2496" s="5" t="s">
        <v>234</v>
      </c>
      <c r="C2496" s="5" t="s">
        <v>231</v>
      </c>
      <c r="D2496" s="2">
        <f t="shared" si="139"/>
        <v>2015</v>
      </c>
      <c r="E2496" s="2">
        <f t="shared" si="140"/>
        <v>4</v>
      </c>
      <c r="F2496" s="3" t="s">
        <v>178</v>
      </c>
      <c r="G2496" s="7">
        <v>42109</v>
      </c>
      <c r="H2496" s="6">
        <v>6595400</v>
      </c>
      <c r="I2496" s="6">
        <v>1624045</v>
      </c>
      <c r="J2496" s="5" t="s">
        <v>183</v>
      </c>
      <c r="K2496" s="1"/>
      <c r="L2496" s="1" t="str">
        <f t="shared" si="141"/>
        <v xml:space="preserve">Fjäturen </v>
      </c>
      <c r="M2496" s="5" t="s">
        <v>220</v>
      </c>
      <c r="N2496" s="6">
        <v>8</v>
      </c>
      <c r="O2496" s="6">
        <v>8</v>
      </c>
      <c r="Q2496" s="6">
        <v>6.3</v>
      </c>
      <c r="R2496" s="6">
        <v>12.1</v>
      </c>
      <c r="S2496" s="6">
        <v>100</v>
      </c>
    </row>
    <row r="2497" spans="1:67" x14ac:dyDescent="0.3">
      <c r="A2497" s="6">
        <v>39465</v>
      </c>
      <c r="B2497" s="5" t="s">
        <v>234</v>
      </c>
      <c r="C2497" s="5" t="s">
        <v>231</v>
      </c>
      <c r="D2497" s="2">
        <f t="shared" si="139"/>
        <v>2015</v>
      </c>
      <c r="E2497" s="2">
        <f t="shared" si="140"/>
        <v>4</v>
      </c>
      <c r="F2497" s="3" t="s">
        <v>178</v>
      </c>
      <c r="G2497" s="7">
        <v>42109</v>
      </c>
      <c r="H2497" s="6">
        <v>6595400</v>
      </c>
      <c r="I2497" s="6">
        <v>1624045</v>
      </c>
      <c r="J2497" s="5" t="s">
        <v>183</v>
      </c>
      <c r="K2497" s="1"/>
      <c r="L2497" s="1" t="str">
        <f t="shared" si="141"/>
        <v xml:space="preserve">Fjäturen </v>
      </c>
      <c r="M2497" s="1" t="s">
        <v>184</v>
      </c>
      <c r="N2497" s="6">
        <v>8.9</v>
      </c>
      <c r="O2497" s="6">
        <v>8.9</v>
      </c>
      <c r="Q2497" s="6">
        <v>6.3</v>
      </c>
      <c r="R2497" s="6">
        <v>12</v>
      </c>
      <c r="S2497" s="6">
        <v>98</v>
      </c>
    </row>
    <row r="2498" spans="1:67" x14ac:dyDescent="0.3">
      <c r="A2498" s="6">
        <v>39466</v>
      </c>
      <c r="B2498" s="5" t="s">
        <v>234</v>
      </c>
      <c r="C2498" s="5" t="s">
        <v>231</v>
      </c>
      <c r="D2498" s="2">
        <f t="shared" ref="D2498:D2561" si="142">YEAR(G2498)</f>
        <v>2015</v>
      </c>
      <c r="E2498" s="2">
        <f t="shared" ref="E2498:E2561" si="143">MONTH(G2498)</f>
        <v>4</v>
      </c>
      <c r="F2498" s="3" t="s">
        <v>178</v>
      </c>
      <c r="G2498" s="7">
        <v>42109</v>
      </c>
      <c r="H2498" s="6">
        <v>6593820</v>
      </c>
      <c r="I2498" s="6">
        <v>1624215</v>
      </c>
      <c r="J2498" s="5" t="s">
        <v>189</v>
      </c>
      <c r="K2498" s="1"/>
      <c r="L2498" s="1" t="str">
        <f t="shared" ref="L2498:L2561" si="144">CONCATENATE(J2498," ",K2498)</f>
        <v xml:space="preserve">Rösjön </v>
      </c>
      <c r="M2498" s="1" t="s">
        <v>177</v>
      </c>
      <c r="N2498" s="6">
        <v>0.5</v>
      </c>
      <c r="O2498" s="6">
        <v>0.5</v>
      </c>
      <c r="P2498" s="6">
        <v>2.5</v>
      </c>
      <c r="Q2498" s="6">
        <v>7.2</v>
      </c>
      <c r="R2498" s="6">
        <v>12.6</v>
      </c>
      <c r="S2498" s="6">
        <v>106</v>
      </c>
      <c r="V2498" s="6">
        <v>1.6943036143999999</v>
      </c>
      <c r="W2498" s="6">
        <v>1.5687</v>
      </c>
      <c r="X2498" s="1">
        <f>W2498 * (1/((10^((0.0901821 + (2729.92 /(273.15 + Q2498)))-AE2498)+1)))</f>
        <v>1.5972423195617681E-2</v>
      </c>
      <c r="Y2498" s="6">
        <v>5.1999999999999998E-2</v>
      </c>
      <c r="Z2498" s="6">
        <v>0.37</v>
      </c>
      <c r="AA2498" s="6">
        <v>2.2000000000000002</v>
      </c>
      <c r="AD2498" s="6">
        <v>31.71</v>
      </c>
      <c r="AE2498" s="6">
        <v>7.84</v>
      </c>
      <c r="AK2498" s="6">
        <v>14.19</v>
      </c>
      <c r="AL2498" s="6">
        <v>556.13</v>
      </c>
      <c r="AM2498" s="6"/>
      <c r="AN2498" s="6"/>
      <c r="AO2498" s="6"/>
      <c r="AP2498" s="6"/>
      <c r="AQ2498" s="6"/>
      <c r="AR2498" s="6">
        <v>26.7</v>
      </c>
      <c r="AS2498" s="6">
        <v>4.1099999999999901E-2</v>
      </c>
      <c r="AT2498" s="6">
        <v>1.91</v>
      </c>
      <c r="AU2498" s="6">
        <v>3.76</v>
      </c>
      <c r="AW2498" s="6">
        <v>13.4</v>
      </c>
      <c r="AY2498" s="6">
        <v>2.02</v>
      </c>
      <c r="AZ2498" s="6">
        <v>31.6</v>
      </c>
      <c r="BA2498" s="6">
        <v>0.47799999999999898</v>
      </c>
      <c r="BB2498" s="6">
        <v>13.4</v>
      </c>
      <c r="BC2498" s="6">
        <v>1E-3</v>
      </c>
      <c r="BD2498" s="6">
        <v>2.8500000000000001E-2</v>
      </c>
      <c r="BE2498" s="6">
        <v>8.9899999999999897E-2</v>
      </c>
      <c r="BF2498" s="6">
        <v>2.64</v>
      </c>
      <c r="BG2498" s="6">
        <v>1E-3</v>
      </c>
      <c r="BH2498" s="6">
        <v>8.86</v>
      </c>
      <c r="BI2498" s="6">
        <v>0.47599999999999898</v>
      </c>
      <c r="BJ2498" s="6">
        <v>0.61699999999999899</v>
      </c>
      <c r="BK2498" s="6">
        <v>9.76</v>
      </c>
      <c r="BL2498" s="6">
        <v>7.3099999999999901E-2</v>
      </c>
      <c r="BM2498" s="6">
        <v>70.2</v>
      </c>
      <c r="BN2498" s="6">
        <v>0.218</v>
      </c>
      <c r="BO2498" s="6">
        <v>0.83499999999999897</v>
      </c>
    </row>
    <row r="2499" spans="1:67" x14ac:dyDescent="0.3">
      <c r="A2499" s="6">
        <v>39467</v>
      </c>
      <c r="B2499" s="5" t="s">
        <v>234</v>
      </c>
      <c r="C2499" s="5" t="s">
        <v>231</v>
      </c>
      <c r="D2499" s="2">
        <f t="shared" si="142"/>
        <v>2015</v>
      </c>
      <c r="E2499" s="2">
        <f t="shared" si="143"/>
        <v>4</v>
      </c>
      <c r="F2499" s="3" t="s">
        <v>178</v>
      </c>
      <c r="G2499" s="7">
        <v>42109</v>
      </c>
      <c r="H2499" s="6">
        <v>6593820</v>
      </c>
      <c r="I2499" s="6">
        <v>1624215</v>
      </c>
      <c r="J2499" s="5" t="s">
        <v>189</v>
      </c>
      <c r="K2499" s="1"/>
      <c r="L2499" s="1" t="str">
        <f t="shared" si="144"/>
        <v xml:space="preserve">Rösjön </v>
      </c>
      <c r="M2499" s="5" t="s">
        <v>211</v>
      </c>
      <c r="N2499" s="6">
        <v>1</v>
      </c>
      <c r="O2499" s="6">
        <v>1</v>
      </c>
      <c r="Q2499" s="6">
        <v>7</v>
      </c>
      <c r="R2499" s="6">
        <v>12.7</v>
      </c>
      <c r="S2499" s="6">
        <v>106</v>
      </c>
    </row>
    <row r="2500" spans="1:67" x14ac:dyDescent="0.3">
      <c r="A2500" s="6">
        <v>39468</v>
      </c>
      <c r="B2500" s="5" t="s">
        <v>234</v>
      </c>
      <c r="C2500" s="5" t="s">
        <v>231</v>
      </c>
      <c r="D2500" s="2">
        <f t="shared" si="142"/>
        <v>2015</v>
      </c>
      <c r="E2500" s="2">
        <f t="shared" si="143"/>
        <v>4</v>
      </c>
      <c r="F2500" s="3" t="s">
        <v>178</v>
      </c>
      <c r="G2500" s="7">
        <v>42109</v>
      </c>
      <c r="H2500" s="6">
        <v>6593820</v>
      </c>
      <c r="I2500" s="6">
        <v>1624215</v>
      </c>
      <c r="J2500" s="5" t="s">
        <v>189</v>
      </c>
      <c r="K2500" s="1"/>
      <c r="L2500" s="1" t="str">
        <f t="shared" si="144"/>
        <v xml:space="preserve">Rösjön </v>
      </c>
      <c r="M2500" s="5" t="s">
        <v>212</v>
      </c>
      <c r="N2500" s="6">
        <v>2</v>
      </c>
      <c r="O2500" s="6">
        <v>2</v>
      </c>
      <c r="Q2500" s="6">
        <v>6.9</v>
      </c>
      <c r="R2500" s="6">
        <v>12.7</v>
      </c>
      <c r="S2500" s="6">
        <v>105</v>
      </c>
    </row>
    <row r="2501" spans="1:67" x14ac:dyDescent="0.3">
      <c r="A2501" s="6">
        <v>39469</v>
      </c>
      <c r="B2501" s="5" t="s">
        <v>234</v>
      </c>
      <c r="C2501" s="5" t="s">
        <v>231</v>
      </c>
      <c r="D2501" s="2">
        <f t="shared" si="142"/>
        <v>2015</v>
      </c>
      <c r="E2501" s="2">
        <f t="shared" si="143"/>
        <v>4</v>
      </c>
      <c r="F2501" s="3" t="s">
        <v>178</v>
      </c>
      <c r="G2501" s="7">
        <v>42109</v>
      </c>
      <c r="H2501" s="6">
        <v>6593820</v>
      </c>
      <c r="I2501" s="6">
        <v>1624215</v>
      </c>
      <c r="J2501" s="5" t="s">
        <v>189</v>
      </c>
      <c r="K2501" s="1"/>
      <c r="L2501" s="1" t="str">
        <f t="shared" si="144"/>
        <v xml:space="preserve">Rösjön </v>
      </c>
      <c r="M2501" s="5" t="s">
        <v>213</v>
      </c>
      <c r="N2501" s="6">
        <v>3</v>
      </c>
      <c r="O2501" s="6">
        <v>3</v>
      </c>
      <c r="Q2501" s="6">
        <v>6.8</v>
      </c>
      <c r="R2501" s="6">
        <v>12.7</v>
      </c>
      <c r="S2501" s="6">
        <v>105</v>
      </c>
    </row>
    <row r="2502" spans="1:67" x14ac:dyDescent="0.3">
      <c r="A2502" s="6">
        <v>39470</v>
      </c>
      <c r="B2502" s="5" t="s">
        <v>234</v>
      </c>
      <c r="C2502" s="5" t="s">
        <v>231</v>
      </c>
      <c r="D2502" s="2">
        <f t="shared" si="142"/>
        <v>2015</v>
      </c>
      <c r="E2502" s="2">
        <f t="shared" si="143"/>
        <v>4</v>
      </c>
      <c r="F2502" s="3" t="s">
        <v>178</v>
      </c>
      <c r="G2502" s="7">
        <v>42109</v>
      </c>
      <c r="H2502" s="6">
        <v>6593820</v>
      </c>
      <c r="I2502" s="6">
        <v>1624215</v>
      </c>
      <c r="J2502" s="5" t="s">
        <v>189</v>
      </c>
      <c r="K2502" s="1"/>
      <c r="L2502" s="1" t="str">
        <f t="shared" si="144"/>
        <v xml:space="preserve">Rösjön </v>
      </c>
      <c r="M2502" s="5" t="s">
        <v>214</v>
      </c>
      <c r="N2502" s="6">
        <v>4</v>
      </c>
      <c r="O2502" s="6">
        <v>4</v>
      </c>
      <c r="Q2502" s="6">
        <v>6.8</v>
      </c>
      <c r="R2502" s="6">
        <v>12.6</v>
      </c>
      <c r="S2502" s="6">
        <v>105</v>
      </c>
    </row>
    <row r="2503" spans="1:67" x14ac:dyDescent="0.3">
      <c r="A2503" s="6">
        <v>39471</v>
      </c>
      <c r="B2503" s="5" t="s">
        <v>234</v>
      </c>
      <c r="C2503" s="5" t="s">
        <v>231</v>
      </c>
      <c r="D2503" s="2">
        <f t="shared" si="142"/>
        <v>2015</v>
      </c>
      <c r="E2503" s="2">
        <f t="shared" si="143"/>
        <v>4</v>
      </c>
      <c r="F2503" s="3" t="s">
        <v>178</v>
      </c>
      <c r="G2503" s="7">
        <v>42109</v>
      </c>
      <c r="H2503" s="6">
        <v>6593820</v>
      </c>
      <c r="I2503" s="6">
        <v>1624215</v>
      </c>
      <c r="J2503" s="5" t="s">
        <v>189</v>
      </c>
      <c r="K2503" s="1"/>
      <c r="L2503" s="1" t="str">
        <f t="shared" si="144"/>
        <v xml:space="preserve">Rösjön </v>
      </c>
      <c r="M2503" s="5" t="s">
        <v>217</v>
      </c>
      <c r="N2503" s="6">
        <v>5</v>
      </c>
      <c r="O2503" s="6">
        <v>5</v>
      </c>
      <c r="Q2503" s="6">
        <v>6.7</v>
      </c>
      <c r="R2503" s="6">
        <v>12.6</v>
      </c>
      <c r="S2503" s="6">
        <v>104</v>
      </c>
    </row>
    <row r="2504" spans="1:67" x14ac:dyDescent="0.3">
      <c r="A2504" s="6">
        <v>39472</v>
      </c>
      <c r="B2504" s="5" t="s">
        <v>234</v>
      </c>
      <c r="C2504" s="5" t="s">
        <v>231</v>
      </c>
      <c r="D2504" s="2">
        <f t="shared" si="142"/>
        <v>2015</v>
      </c>
      <c r="E2504" s="2">
        <f t="shared" si="143"/>
        <v>4</v>
      </c>
      <c r="F2504" s="3" t="s">
        <v>178</v>
      </c>
      <c r="G2504" s="7">
        <v>42109</v>
      </c>
      <c r="H2504" s="6">
        <v>6593820</v>
      </c>
      <c r="I2504" s="6">
        <v>1624215</v>
      </c>
      <c r="J2504" s="5" t="s">
        <v>189</v>
      </c>
      <c r="K2504" s="1"/>
      <c r="L2504" s="1" t="str">
        <f t="shared" si="144"/>
        <v xml:space="preserve">Rösjön </v>
      </c>
      <c r="M2504" s="5" t="s">
        <v>218</v>
      </c>
      <c r="N2504" s="6">
        <v>6</v>
      </c>
      <c r="O2504" s="6">
        <v>6</v>
      </c>
      <c r="Q2504" s="6">
        <v>6.6</v>
      </c>
      <c r="R2504" s="6">
        <v>12.5</v>
      </c>
      <c r="S2504" s="6">
        <v>104</v>
      </c>
    </row>
    <row r="2505" spans="1:67" x14ac:dyDescent="0.3">
      <c r="A2505" s="6">
        <v>39473</v>
      </c>
      <c r="B2505" s="5" t="s">
        <v>234</v>
      </c>
      <c r="C2505" s="5" t="s">
        <v>231</v>
      </c>
      <c r="D2505" s="2">
        <f t="shared" si="142"/>
        <v>2015</v>
      </c>
      <c r="E2505" s="2">
        <f t="shared" si="143"/>
        <v>4</v>
      </c>
      <c r="F2505" s="3" t="s">
        <v>178</v>
      </c>
      <c r="G2505" s="7">
        <v>42109</v>
      </c>
      <c r="H2505" s="6">
        <v>6593820</v>
      </c>
      <c r="I2505" s="6">
        <v>1624215</v>
      </c>
      <c r="J2505" s="5" t="s">
        <v>189</v>
      </c>
      <c r="K2505" s="1"/>
      <c r="L2505" s="1" t="str">
        <f t="shared" si="144"/>
        <v xml:space="preserve">Rösjön </v>
      </c>
      <c r="M2505" s="1" t="s">
        <v>184</v>
      </c>
      <c r="N2505" s="6">
        <v>6.6</v>
      </c>
      <c r="O2505" s="6">
        <v>6.6</v>
      </c>
      <c r="Q2505" s="6">
        <v>6.6</v>
      </c>
      <c r="R2505" s="6">
        <v>12.4</v>
      </c>
      <c r="S2505" s="6">
        <v>102</v>
      </c>
    </row>
    <row r="2506" spans="1:67" x14ac:dyDescent="0.3">
      <c r="A2506" s="6">
        <v>39474</v>
      </c>
      <c r="B2506" s="5" t="s">
        <v>234</v>
      </c>
      <c r="C2506" s="5" t="s">
        <v>231</v>
      </c>
      <c r="D2506" s="2">
        <f t="shared" si="142"/>
        <v>2015</v>
      </c>
      <c r="E2506" s="2">
        <f t="shared" si="143"/>
        <v>4</v>
      </c>
      <c r="F2506" s="3" t="s">
        <v>178</v>
      </c>
      <c r="G2506" s="7">
        <v>42109</v>
      </c>
      <c r="H2506" s="6">
        <v>6594980</v>
      </c>
      <c r="I2506" s="6">
        <v>1622960</v>
      </c>
      <c r="J2506" s="5" t="s">
        <v>192</v>
      </c>
      <c r="K2506" s="1"/>
      <c r="L2506" s="1" t="str">
        <f t="shared" si="144"/>
        <v xml:space="preserve">Väsjön </v>
      </c>
      <c r="M2506" s="1" t="s">
        <v>177</v>
      </c>
      <c r="N2506" s="6">
        <v>0.5</v>
      </c>
      <c r="O2506" s="6">
        <v>0.5</v>
      </c>
      <c r="P2506" s="6">
        <v>2.5</v>
      </c>
      <c r="Q2506" s="6">
        <v>8.1999999999999993</v>
      </c>
      <c r="R2506" s="6">
        <v>11.5</v>
      </c>
      <c r="S2506" s="6">
        <v>99</v>
      </c>
      <c r="V2506" s="6">
        <v>3.0339855420999999</v>
      </c>
      <c r="W2506" s="6">
        <v>1.8460000000000001</v>
      </c>
      <c r="X2506" s="1">
        <f>W2506 * (1/((10^((0.0901821 + (2729.92 /(273.15 + Q2506)))-AE2506)+1)))</f>
        <v>2.3848989126213634E-2</v>
      </c>
      <c r="Y2506" s="6">
        <v>9.1999999999999998E-2</v>
      </c>
      <c r="Z2506" s="6">
        <v>0.05</v>
      </c>
      <c r="AA2506" s="6">
        <v>2.4</v>
      </c>
      <c r="AD2506" s="6">
        <v>0.63</v>
      </c>
      <c r="AE2506" s="6">
        <v>7.91</v>
      </c>
      <c r="AK2506" s="6">
        <v>21.02</v>
      </c>
      <c r="AL2506" s="6">
        <v>641.04</v>
      </c>
      <c r="AM2506" s="6"/>
      <c r="AN2506" s="6"/>
      <c r="AO2506" s="6"/>
      <c r="AP2506" s="6"/>
      <c r="AQ2506" s="6"/>
      <c r="AR2506" s="6">
        <v>46.8</v>
      </c>
      <c r="AS2506" s="6">
        <v>4.56999999999999E-2</v>
      </c>
      <c r="AT2506" s="6">
        <v>4.0199999999999898</v>
      </c>
      <c r="AU2506" s="6">
        <v>6.54</v>
      </c>
      <c r="AW2506" s="6">
        <v>31.6</v>
      </c>
      <c r="AY2506" s="6">
        <v>3.05</v>
      </c>
      <c r="AZ2506" s="6">
        <v>27.7</v>
      </c>
      <c r="BA2506" s="6">
        <v>0.40899999999999898</v>
      </c>
      <c r="BB2506" s="6">
        <v>26.7</v>
      </c>
      <c r="BC2506" s="6">
        <v>1E-3</v>
      </c>
      <c r="BD2506" s="6">
        <v>5.8799999999999901E-2</v>
      </c>
      <c r="BE2506" s="6">
        <v>0.16800000000000001</v>
      </c>
      <c r="BF2506" s="6">
        <v>38.299999999999898</v>
      </c>
      <c r="BG2506" s="6">
        <v>1E-3</v>
      </c>
      <c r="BH2506" s="6">
        <v>47.9</v>
      </c>
      <c r="BI2506" s="6">
        <v>0.67900000000000005</v>
      </c>
      <c r="BJ2506" s="6">
        <v>0.58699999999999897</v>
      </c>
      <c r="BK2506" s="6">
        <v>16.8</v>
      </c>
      <c r="BL2506" s="6">
        <v>0.106</v>
      </c>
      <c r="BM2506" s="6">
        <v>113</v>
      </c>
      <c r="BN2506" s="6">
        <v>0.21</v>
      </c>
      <c r="BO2506" s="6">
        <v>4.5599999999999898</v>
      </c>
    </row>
    <row r="2507" spans="1:67" x14ac:dyDescent="0.3">
      <c r="A2507" s="6">
        <v>39475</v>
      </c>
      <c r="B2507" s="5" t="s">
        <v>234</v>
      </c>
      <c r="C2507" s="5" t="s">
        <v>231</v>
      </c>
      <c r="D2507" s="2">
        <f t="shared" si="142"/>
        <v>2015</v>
      </c>
      <c r="E2507" s="2">
        <f t="shared" si="143"/>
        <v>4</v>
      </c>
      <c r="F2507" s="3" t="s">
        <v>178</v>
      </c>
      <c r="G2507" s="7">
        <v>42109</v>
      </c>
      <c r="H2507" s="6">
        <v>6594980</v>
      </c>
      <c r="I2507" s="6">
        <v>1622960</v>
      </c>
      <c r="J2507" s="5" t="s">
        <v>192</v>
      </c>
      <c r="K2507" s="1"/>
      <c r="L2507" s="1" t="str">
        <f t="shared" si="144"/>
        <v xml:space="preserve">Väsjön </v>
      </c>
      <c r="M2507" s="5" t="s">
        <v>211</v>
      </c>
      <c r="N2507" s="6">
        <v>1</v>
      </c>
      <c r="O2507" s="6">
        <v>1</v>
      </c>
      <c r="Q2507" s="6">
        <v>8.1</v>
      </c>
      <c r="R2507" s="6">
        <v>11.5</v>
      </c>
      <c r="S2507" s="6">
        <v>99</v>
      </c>
    </row>
    <row r="2508" spans="1:67" x14ac:dyDescent="0.3">
      <c r="A2508" s="6">
        <v>39476</v>
      </c>
      <c r="B2508" s="5" t="s">
        <v>234</v>
      </c>
      <c r="C2508" s="5" t="s">
        <v>231</v>
      </c>
      <c r="D2508" s="2">
        <f t="shared" si="142"/>
        <v>2015</v>
      </c>
      <c r="E2508" s="2">
        <f t="shared" si="143"/>
        <v>4</v>
      </c>
      <c r="F2508" s="3" t="s">
        <v>178</v>
      </c>
      <c r="G2508" s="7">
        <v>42109</v>
      </c>
      <c r="H2508" s="6">
        <v>6594980</v>
      </c>
      <c r="I2508" s="6">
        <v>1622960</v>
      </c>
      <c r="J2508" s="5" t="s">
        <v>192</v>
      </c>
      <c r="K2508" s="1"/>
      <c r="L2508" s="1" t="str">
        <f t="shared" si="144"/>
        <v xml:space="preserve">Väsjön </v>
      </c>
      <c r="M2508" s="5" t="s">
        <v>212</v>
      </c>
      <c r="N2508" s="6">
        <v>2</v>
      </c>
      <c r="O2508" s="6">
        <v>2</v>
      </c>
      <c r="Q2508" s="6">
        <v>8</v>
      </c>
      <c r="R2508" s="6">
        <v>11.6</v>
      </c>
      <c r="S2508" s="6">
        <v>99</v>
      </c>
    </row>
    <row r="2509" spans="1:67" x14ac:dyDescent="0.3">
      <c r="A2509" s="6">
        <v>39477</v>
      </c>
      <c r="B2509" s="5" t="s">
        <v>234</v>
      </c>
      <c r="C2509" s="5" t="s">
        <v>231</v>
      </c>
      <c r="D2509" s="2">
        <f t="shared" si="142"/>
        <v>2015</v>
      </c>
      <c r="E2509" s="2">
        <f t="shared" si="143"/>
        <v>4</v>
      </c>
      <c r="F2509" s="3" t="s">
        <v>178</v>
      </c>
      <c r="G2509" s="7">
        <v>42109</v>
      </c>
      <c r="H2509" s="6">
        <v>6594980</v>
      </c>
      <c r="I2509" s="6">
        <v>1622960</v>
      </c>
      <c r="J2509" s="5" t="s">
        <v>192</v>
      </c>
      <c r="K2509" s="1"/>
      <c r="L2509" s="1" t="str">
        <f t="shared" si="144"/>
        <v xml:space="preserve">Väsjön </v>
      </c>
      <c r="M2509" s="1" t="s">
        <v>184</v>
      </c>
      <c r="N2509" s="6">
        <v>2.6</v>
      </c>
      <c r="O2509" s="6">
        <v>2.6</v>
      </c>
      <c r="Q2509" s="6">
        <v>7.8</v>
      </c>
      <c r="R2509" s="6">
        <v>11.6</v>
      </c>
      <c r="S2509" s="6">
        <v>98</v>
      </c>
    </row>
    <row r="2510" spans="1:67" x14ac:dyDescent="0.3">
      <c r="A2510" s="6">
        <v>39478</v>
      </c>
      <c r="B2510" s="5" t="s">
        <v>234</v>
      </c>
      <c r="C2510" s="5" t="s">
        <v>231</v>
      </c>
      <c r="D2510" s="2">
        <f t="shared" si="142"/>
        <v>2015</v>
      </c>
      <c r="E2510" s="2">
        <f t="shared" si="143"/>
        <v>4</v>
      </c>
      <c r="F2510" s="3" t="s">
        <v>178</v>
      </c>
      <c r="G2510" s="7">
        <v>42109</v>
      </c>
      <c r="H2510" s="6">
        <v>6599695</v>
      </c>
      <c r="I2510" s="6">
        <v>1617290</v>
      </c>
      <c r="J2510" s="5" t="s">
        <v>182</v>
      </c>
      <c r="K2510" s="1"/>
      <c r="L2510" s="1" t="str">
        <f t="shared" si="144"/>
        <v xml:space="preserve">Edssjön </v>
      </c>
      <c r="M2510" s="1" t="s">
        <v>177</v>
      </c>
      <c r="N2510" s="6">
        <v>0.5</v>
      </c>
      <c r="O2510" s="6">
        <v>0.5</v>
      </c>
      <c r="P2510" s="6">
        <v>1.4</v>
      </c>
      <c r="Q2510" s="6">
        <v>6.8</v>
      </c>
      <c r="R2510" s="6">
        <v>13</v>
      </c>
      <c r="S2510" s="6">
        <v>108</v>
      </c>
      <c r="V2510" s="6">
        <v>2.6202602409</v>
      </c>
      <c r="W2510" s="6">
        <v>4.2881</v>
      </c>
      <c r="X2510" s="1">
        <f>W2510 * (1/((10^((0.0901821 + (2729.92 /(273.15 + Q2510)))-AE2510)+1)))</f>
        <v>0.10706465499434716</v>
      </c>
      <c r="Y2510" s="6">
        <v>6.7000000000000004E-2</v>
      </c>
      <c r="Z2510" s="6">
        <v>1.29</v>
      </c>
      <c r="AA2510" s="6">
        <v>5.3</v>
      </c>
      <c r="AD2510" s="6">
        <v>131.41</v>
      </c>
      <c r="AE2510" s="6">
        <v>8.25</v>
      </c>
      <c r="AK2510" s="6">
        <v>36.090000000000003</v>
      </c>
      <c r="AL2510" s="6">
        <v>940.19</v>
      </c>
      <c r="AM2510" s="6"/>
      <c r="AN2510" s="6"/>
      <c r="AO2510" s="6"/>
      <c r="AP2510" s="6"/>
      <c r="AQ2510" s="6"/>
    </row>
    <row r="2511" spans="1:67" x14ac:dyDescent="0.3">
      <c r="A2511" s="6">
        <v>39479</v>
      </c>
      <c r="B2511" s="5" t="s">
        <v>234</v>
      </c>
      <c r="C2511" s="5" t="s">
        <v>231</v>
      </c>
      <c r="D2511" s="2">
        <f t="shared" si="142"/>
        <v>2015</v>
      </c>
      <c r="E2511" s="2">
        <f t="shared" si="143"/>
        <v>4</v>
      </c>
      <c r="F2511" s="3" t="s">
        <v>178</v>
      </c>
      <c r="G2511" s="7">
        <v>42109</v>
      </c>
      <c r="H2511" s="6">
        <v>6599695</v>
      </c>
      <c r="I2511" s="6">
        <v>1617290</v>
      </c>
      <c r="J2511" s="5" t="s">
        <v>182</v>
      </c>
      <c r="K2511" s="1"/>
      <c r="L2511" s="1" t="str">
        <f t="shared" si="144"/>
        <v xml:space="preserve">Edssjön </v>
      </c>
      <c r="M2511" s="5" t="s">
        <v>211</v>
      </c>
      <c r="N2511" s="6">
        <v>1</v>
      </c>
      <c r="O2511" s="6">
        <v>1</v>
      </c>
      <c r="Q2511" s="6">
        <v>6.8</v>
      </c>
      <c r="R2511" s="6">
        <v>13</v>
      </c>
      <c r="S2511" s="6">
        <v>108</v>
      </c>
    </row>
    <row r="2512" spans="1:67" x14ac:dyDescent="0.3">
      <c r="A2512" s="6">
        <v>39480</v>
      </c>
      <c r="B2512" s="5" t="s">
        <v>234</v>
      </c>
      <c r="C2512" s="5" t="s">
        <v>231</v>
      </c>
      <c r="D2512" s="2">
        <f t="shared" si="142"/>
        <v>2015</v>
      </c>
      <c r="E2512" s="2">
        <f t="shared" si="143"/>
        <v>4</v>
      </c>
      <c r="F2512" s="3" t="s">
        <v>178</v>
      </c>
      <c r="G2512" s="7">
        <v>42109</v>
      </c>
      <c r="H2512" s="6">
        <v>6599695</v>
      </c>
      <c r="I2512" s="6">
        <v>1617290</v>
      </c>
      <c r="J2512" s="5" t="s">
        <v>182</v>
      </c>
      <c r="K2512" s="1"/>
      <c r="L2512" s="1" t="str">
        <f t="shared" si="144"/>
        <v xml:space="preserve">Edssjön </v>
      </c>
      <c r="M2512" s="5" t="s">
        <v>212</v>
      </c>
      <c r="N2512" s="6">
        <v>2</v>
      </c>
      <c r="O2512" s="6">
        <v>2</v>
      </c>
      <c r="Q2512" s="6">
        <v>6.8</v>
      </c>
      <c r="R2512" s="6">
        <v>13</v>
      </c>
      <c r="S2512" s="6">
        <v>108</v>
      </c>
    </row>
    <row r="2513" spans="1:43" x14ac:dyDescent="0.3">
      <c r="A2513" s="6">
        <v>39481</v>
      </c>
      <c r="B2513" s="5" t="s">
        <v>234</v>
      </c>
      <c r="C2513" s="5" t="s">
        <v>231</v>
      </c>
      <c r="D2513" s="2">
        <f t="shared" si="142"/>
        <v>2015</v>
      </c>
      <c r="E2513" s="2">
        <f t="shared" si="143"/>
        <v>4</v>
      </c>
      <c r="F2513" s="3" t="s">
        <v>178</v>
      </c>
      <c r="G2513" s="7">
        <v>42109</v>
      </c>
      <c r="H2513" s="6">
        <v>6599695</v>
      </c>
      <c r="I2513" s="6">
        <v>1617290</v>
      </c>
      <c r="J2513" s="5" t="s">
        <v>182</v>
      </c>
      <c r="K2513" s="1"/>
      <c r="L2513" s="1" t="str">
        <f t="shared" si="144"/>
        <v xml:space="preserve">Edssjön </v>
      </c>
      <c r="M2513" s="5" t="s">
        <v>213</v>
      </c>
      <c r="N2513" s="6">
        <v>3</v>
      </c>
      <c r="O2513" s="6">
        <v>3</v>
      </c>
      <c r="Q2513" s="6">
        <v>6.7</v>
      </c>
      <c r="R2513" s="6">
        <v>13</v>
      </c>
      <c r="S2513" s="6">
        <v>107</v>
      </c>
    </row>
    <row r="2514" spans="1:43" x14ac:dyDescent="0.3">
      <c r="A2514" s="6">
        <v>39482</v>
      </c>
      <c r="B2514" s="5" t="s">
        <v>234</v>
      </c>
      <c r="C2514" s="5" t="s">
        <v>231</v>
      </c>
      <c r="D2514" s="2">
        <f t="shared" si="142"/>
        <v>2015</v>
      </c>
      <c r="E2514" s="2">
        <f t="shared" si="143"/>
        <v>4</v>
      </c>
      <c r="F2514" s="3" t="s">
        <v>178</v>
      </c>
      <c r="G2514" s="7">
        <v>42109</v>
      </c>
      <c r="H2514" s="6">
        <v>6599695</v>
      </c>
      <c r="I2514" s="6">
        <v>1617290</v>
      </c>
      <c r="J2514" s="5" t="s">
        <v>182</v>
      </c>
      <c r="K2514" s="1"/>
      <c r="L2514" s="1" t="str">
        <f t="shared" si="144"/>
        <v xml:space="preserve">Edssjön </v>
      </c>
      <c r="M2514" s="5" t="s">
        <v>214</v>
      </c>
      <c r="N2514" s="6">
        <v>4</v>
      </c>
      <c r="O2514" s="6">
        <v>4</v>
      </c>
      <c r="Q2514" s="6">
        <v>6.7</v>
      </c>
      <c r="R2514" s="6">
        <v>13</v>
      </c>
      <c r="S2514" s="6">
        <v>107</v>
      </c>
    </row>
    <row r="2515" spans="1:43" x14ac:dyDescent="0.3">
      <c r="A2515" s="6">
        <v>39483</v>
      </c>
      <c r="B2515" s="5" t="s">
        <v>234</v>
      </c>
      <c r="C2515" s="5" t="s">
        <v>231</v>
      </c>
      <c r="D2515" s="2">
        <f t="shared" si="142"/>
        <v>2015</v>
      </c>
      <c r="E2515" s="2">
        <f t="shared" si="143"/>
        <v>4</v>
      </c>
      <c r="F2515" s="3" t="s">
        <v>178</v>
      </c>
      <c r="G2515" s="7">
        <v>42109</v>
      </c>
      <c r="H2515" s="6">
        <v>6599695</v>
      </c>
      <c r="I2515" s="6">
        <v>1617290</v>
      </c>
      <c r="J2515" s="5" t="s">
        <v>182</v>
      </c>
      <c r="K2515" s="1"/>
      <c r="L2515" s="1" t="str">
        <f t="shared" si="144"/>
        <v xml:space="preserve">Edssjön </v>
      </c>
      <c r="M2515" s="1" t="s">
        <v>184</v>
      </c>
      <c r="N2515" s="6">
        <v>4.9000000000000004</v>
      </c>
      <c r="O2515" s="6">
        <v>4.9000000000000004</v>
      </c>
      <c r="Q2515" s="6">
        <v>6.7</v>
      </c>
      <c r="R2515" s="6">
        <v>12.9</v>
      </c>
      <c r="S2515" s="6">
        <v>106</v>
      </c>
    </row>
    <row r="2516" spans="1:43" x14ac:dyDescent="0.3">
      <c r="A2516" s="6">
        <v>39484</v>
      </c>
      <c r="B2516" s="5" t="s">
        <v>234</v>
      </c>
      <c r="C2516" s="5" t="s">
        <v>231</v>
      </c>
      <c r="D2516" s="2">
        <f t="shared" si="142"/>
        <v>2015</v>
      </c>
      <c r="E2516" s="2">
        <f t="shared" si="143"/>
        <v>4</v>
      </c>
      <c r="F2516" s="3" t="s">
        <v>178</v>
      </c>
      <c r="G2516" s="7">
        <v>42109</v>
      </c>
      <c r="H2516" s="6">
        <v>6593820</v>
      </c>
      <c r="I2516" s="6">
        <v>1619360</v>
      </c>
      <c r="J2516" s="5" t="s">
        <v>188</v>
      </c>
      <c r="K2516" s="1"/>
      <c r="L2516" s="1" t="str">
        <f t="shared" si="144"/>
        <v xml:space="preserve">Ravalen </v>
      </c>
      <c r="M2516" s="1" t="s">
        <v>177</v>
      </c>
      <c r="N2516" s="6">
        <v>0.5</v>
      </c>
      <c r="O2516" s="6">
        <v>0.5</v>
      </c>
      <c r="P2516" s="6">
        <v>1.6</v>
      </c>
      <c r="Q2516" s="6">
        <v>8.1</v>
      </c>
      <c r="R2516" s="6">
        <v>12.5</v>
      </c>
      <c r="S2516" s="6">
        <v>107</v>
      </c>
      <c r="V2516" s="6">
        <v>2.8763759036000001</v>
      </c>
      <c r="W2516" s="6">
        <v>0.11360000000000001</v>
      </c>
      <c r="X2516" s="1">
        <f>W2516 * (1/((10^((0.0901821 + (2729.92 /(273.15 + Q2516)))-AE2516)+1)))</f>
        <v>3.4315698141714531E-3</v>
      </c>
      <c r="Y2516" s="6">
        <v>8.6999999999999994E-2</v>
      </c>
      <c r="Z2516" s="6">
        <v>0</v>
      </c>
      <c r="AA2516" s="6">
        <v>2.4</v>
      </c>
      <c r="AD2516" s="6">
        <v>1.6600000000000001</v>
      </c>
      <c r="AE2516" s="6">
        <v>8.2899999999999991</v>
      </c>
      <c r="AK2516" s="6">
        <v>37.979999999999997</v>
      </c>
      <c r="AL2516" s="6">
        <v>711.4</v>
      </c>
      <c r="AM2516" s="6"/>
      <c r="AN2516" s="6"/>
      <c r="AO2516" s="6"/>
      <c r="AP2516" s="6"/>
      <c r="AQ2516" s="6"/>
    </row>
    <row r="2517" spans="1:43" x14ac:dyDescent="0.3">
      <c r="A2517" s="6">
        <v>39485</v>
      </c>
      <c r="B2517" s="5" t="s">
        <v>234</v>
      </c>
      <c r="C2517" s="5" t="s">
        <v>231</v>
      </c>
      <c r="D2517" s="2">
        <f t="shared" si="142"/>
        <v>2015</v>
      </c>
      <c r="E2517" s="2">
        <f t="shared" si="143"/>
        <v>4</v>
      </c>
      <c r="F2517" s="3" t="s">
        <v>178</v>
      </c>
      <c r="G2517" s="7">
        <v>42109</v>
      </c>
      <c r="H2517" s="6">
        <v>6593820</v>
      </c>
      <c r="I2517" s="6">
        <v>1619360</v>
      </c>
      <c r="J2517" s="5" t="s">
        <v>188</v>
      </c>
      <c r="K2517" s="1"/>
      <c r="L2517" s="1" t="str">
        <f t="shared" si="144"/>
        <v xml:space="preserve">Ravalen </v>
      </c>
      <c r="M2517" s="5" t="s">
        <v>211</v>
      </c>
      <c r="N2517" s="6">
        <v>1</v>
      </c>
      <c r="O2517" s="6">
        <v>1</v>
      </c>
      <c r="Q2517" s="6">
        <v>8</v>
      </c>
      <c r="R2517" s="6">
        <v>12.5</v>
      </c>
      <c r="S2517" s="6">
        <v>107</v>
      </c>
    </row>
    <row r="2518" spans="1:43" x14ac:dyDescent="0.3">
      <c r="A2518" s="6">
        <v>39486</v>
      </c>
      <c r="B2518" s="5" t="s">
        <v>234</v>
      </c>
      <c r="C2518" s="5" t="s">
        <v>231</v>
      </c>
      <c r="D2518" s="2">
        <f t="shared" si="142"/>
        <v>2015</v>
      </c>
      <c r="E2518" s="2">
        <f t="shared" si="143"/>
        <v>4</v>
      </c>
      <c r="F2518" s="3" t="s">
        <v>178</v>
      </c>
      <c r="G2518" s="7">
        <v>42109</v>
      </c>
      <c r="H2518" s="6">
        <v>6593820</v>
      </c>
      <c r="I2518" s="6">
        <v>1619360</v>
      </c>
      <c r="J2518" s="5" t="s">
        <v>188</v>
      </c>
      <c r="K2518" s="1"/>
      <c r="L2518" s="1" t="str">
        <f t="shared" si="144"/>
        <v xml:space="preserve">Ravalen </v>
      </c>
      <c r="M2518" s="1" t="s">
        <v>184</v>
      </c>
      <c r="N2518" s="6">
        <v>1.6</v>
      </c>
      <c r="O2518" s="6">
        <v>1.6</v>
      </c>
      <c r="Q2518" s="6">
        <v>7.9</v>
      </c>
      <c r="R2518" s="6">
        <v>12.5</v>
      </c>
      <c r="S2518" s="6">
        <v>107</v>
      </c>
    </row>
    <row r="2519" spans="1:43" x14ac:dyDescent="0.3">
      <c r="A2519" s="6">
        <v>39487</v>
      </c>
      <c r="B2519" s="5" t="s">
        <v>234</v>
      </c>
      <c r="C2519" s="5" t="s">
        <v>231</v>
      </c>
      <c r="D2519" s="2">
        <f t="shared" si="142"/>
        <v>2015</v>
      </c>
      <c r="E2519" s="2">
        <f t="shared" si="143"/>
        <v>4</v>
      </c>
      <c r="F2519" s="3" t="s">
        <v>178</v>
      </c>
      <c r="G2519" s="7">
        <v>42109</v>
      </c>
      <c r="H2519" s="6">
        <v>6594420</v>
      </c>
      <c r="I2519" s="6">
        <v>1615795</v>
      </c>
      <c r="J2519" s="5" t="s">
        <v>193</v>
      </c>
      <c r="K2519" s="1"/>
      <c r="L2519" s="1" t="str">
        <f t="shared" si="144"/>
        <v xml:space="preserve">Översjön </v>
      </c>
      <c r="M2519" s="1" t="s">
        <v>177</v>
      </c>
      <c r="N2519" s="6">
        <v>0.5</v>
      </c>
      <c r="O2519" s="6">
        <v>0.5</v>
      </c>
      <c r="Q2519" s="6">
        <v>7.5</v>
      </c>
      <c r="R2519" s="6">
        <v>13</v>
      </c>
      <c r="S2519" s="6">
        <v>110</v>
      </c>
      <c r="V2519" s="6">
        <v>1.7731084337</v>
      </c>
      <c r="W2519" s="6">
        <v>4.7092000000000001</v>
      </c>
      <c r="X2519" s="1">
        <f>W2519 * (1/((10^((0.0901821 + (2729.92 /(273.15 + Q2519)))-AE2519)+1)))</f>
        <v>8.6610351706788782E-2</v>
      </c>
      <c r="Y2519" s="6">
        <v>7.5999999999999998E-2</v>
      </c>
      <c r="Z2519" s="6">
        <v>0.12</v>
      </c>
      <c r="AA2519" s="6">
        <v>2.2999999999999998</v>
      </c>
      <c r="AD2519" s="6">
        <v>12.31</v>
      </c>
      <c r="AE2519" s="6">
        <v>8.09</v>
      </c>
      <c r="AK2519" s="6">
        <v>25.48</v>
      </c>
      <c r="AL2519" s="6">
        <v>833.46</v>
      </c>
      <c r="AM2519" s="6"/>
      <c r="AN2519" s="6"/>
      <c r="AO2519" s="6"/>
      <c r="AP2519" s="6"/>
      <c r="AQ2519" s="6"/>
    </row>
    <row r="2520" spans="1:43" x14ac:dyDescent="0.3">
      <c r="A2520" s="6">
        <v>39488</v>
      </c>
      <c r="B2520" s="5" t="s">
        <v>234</v>
      </c>
      <c r="C2520" s="5" t="s">
        <v>231</v>
      </c>
      <c r="D2520" s="2">
        <f t="shared" si="142"/>
        <v>2015</v>
      </c>
      <c r="E2520" s="2">
        <f t="shared" si="143"/>
        <v>4</v>
      </c>
      <c r="F2520" s="3" t="s">
        <v>178</v>
      </c>
      <c r="G2520" s="7">
        <v>42109</v>
      </c>
      <c r="H2520" s="6">
        <v>6594420</v>
      </c>
      <c r="I2520" s="6">
        <v>1615795</v>
      </c>
      <c r="J2520" s="5" t="s">
        <v>193</v>
      </c>
      <c r="K2520" s="1"/>
      <c r="L2520" s="1" t="str">
        <f t="shared" si="144"/>
        <v xml:space="preserve">Översjön </v>
      </c>
      <c r="M2520" s="5" t="s">
        <v>211</v>
      </c>
      <c r="N2520" s="6">
        <v>1</v>
      </c>
      <c r="O2520" s="6">
        <v>1</v>
      </c>
      <c r="Q2520" s="6">
        <v>7.5</v>
      </c>
      <c r="R2520" s="6">
        <v>13</v>
      </c>
      <c r="S2520" s="6">
        <v>110</v>
      </c>
    </row>
    <row r="2521" spans="1:43" x14ac:dyDescent="0.3">
      <c r="A2521" s="6">
        <v>39489</v>
      </c>
      <c r="B2521" s="5" t="s">
        <v>234</v>
      </c>
      <c r="C2521" s="5" t="s">
        <v>231</v>
      </c>
      <c r="D2521" s="2">
        <f t="shared" si="142"/>
        <v>2015</v>
      </c>
      <c r="E2521" s="2">
        <f t="shared" si="143"/>
        <v>4</v>
      </c>
      <c r="F2521" s="3" t="s">
        <v>178</v>
      </c>
      <c r="G2521" s="7">
        <v>42109</v>
      </c>
      <c r="H2521" s="6">
        <v>6594420</v>
      </c>
      <c r="I2521" s="6">
        <v>1615795</v>
      </c>
      <c r="J2521" s="5" t="s">
        <v>193</v>
      </c>
      <c r="K2521" s="1"/>
      <c r="L2521" s="1" t="str">
        <f t="shared" si="144"/>
        <v xml:space="preserve">Översjön </v>
      </c>
      <c r="M2521" s="5" t="s">
        <v>212</v>
      </c>
      <c r="N2521" s="6">
        <v>2</v>
      </c>
      <c r="O2521" s="6">
        <v>2</v>
      </c>
      <c r="Q2521" s="6">
        <v>7.4</v>
      </c>
      <c r="R2521" s="6">
        <v>13</v>
      </c>
      <c r="S2521" s="6">
        <v>109</v>
      </c>
    </row>
    <row r="2522" spans="1:43" x14ac:dyDescent="0.3">
      <c r="A2522" s="6">
        <v>39490</v>
      </c>
      <c r="B2522" s="5" t="s">
        <v>234</v>
      </c>
      <c r="C2522" s="5" t="s">
        <v>231</v>
      </c>
      <c r="D2522" s="2">
        <f t="shared" si="142"/>
        <v>2015</v>
      </c>
      <c r="E2522" s="2">
        <f t="shared" si="143"/>
        <v>4</v>
      </c>
      <c r="F2522" s="3" t="s">
        <v>178</v>
      </c>
      <c r="G2522" s="7">
        <v>42109</v>
      </c>
      <c r="H2522" s="6">
        <v>6594420</v>
      </c>
      <c r="I2522" s="6">
        <v>1615795</v>
      </c>
      <c r="J2522" s="5" t="s">
        <v>193</v>
      </c>
      <c r="K2522" s="1"/>
      <c r="L2522" s="1" t="str">
        <f t="shared" si="144"/>
        <v xml:space="preserve">Översjön </v>
      </c>
      <c r="M2522" s="5" t="s">
        <v>213</v>
      </c>
      <c r="N2522" s="6">
        <v>3</v>
      </c>
      <c r="O2522" s="6">
        <v>3</v>
      </c>
      <c r="Q2522" s="6">
        <v>7.4</v>
      </c>
      <c r="R2522" s="6">
        <v>13</v>
      </c>
      <c r="S2522" s="6">
        <v>109</v>
      </c>
    </row>
    <row r="2523" spans="1:43" x14ac:dyDescent="0.3">
      <c r="A2523" s="6">
        <v>39491</v>
      </c>
      <c r="B2523" s="5" t="s">
        <v>234</v>
      </c>
      <c r="C2523" s="5" t="s">
        <v>231</v>
      </c>
      <c r="D2523" s="2">
        <f t="shared" si="142"/>
        <v>2015</v>
      </c>
      <c r="E2523" s="2">
        <f t="shared" si="143"/>
        <v>4</v>
      </c>
      <c r="F2523" s="3" t="s">
        <v>178</v>
      </c>
      <c r="G2523" s="7">
        <v>42109</v>
      </c>
      <c r="H2523" s="6">
        <v>6594420</v>
      </c>
      <c r="I2523" s="6">
        <v>1615795</v>
      </c>
      <c r="J2523" s="5" t="s">
        <v>193</v>
      </c>
      <c r="K2523" s="1"/>
      <c r="L2523" s="1" t="str">
        <f t="shared" si="144"/>
        <v xml:space="preserve">Översjön </v>
      </c>
      <c r="M2523" s="1" t="s">
        <v>184</v>
      </c>
      <c r="N2523" s="6">
        <v>3.7</v>
      </c>
      <c r="O2523" s="6">
        <v>3.7</v>
      </c>
      <c r="Q2523" s="6">
        <v>7.3</v>
      </c>
      <c r="R2523" s="6">
        <v>12.9</v>
      </c>
      <c r="S2523" s="6">
        <v>108</v>
      </c>
    </row>
    <row r="2524" spans="1:43" x14ac:dyDescent="0.3">
      <c r="A2524" s="6">
        <v>39492</v>
      </c>
      <c r="B2524" s="5" t="s">
        <v>234</v>
      </c>
      <c r="C2524" s="5" t="s">
        <v>231</v>
      </c>
      <c r="D2524" s="2">
        <f t="shared" si="142"/>
        <v>2015</v>
      </c>
      <c r="E2524" s="2">
        <f t="shared" si="143"/>
        <v>4</v>
      </c>
      <c r="F2524" s="3" t="s">
        <v>178</v>
      </c>
      <c r="G2524" s="7">
        <v>42109</v>
      </c>
      <c r="H2524" s="6">
        <v>6606035</v>
      </c>
      <c r="I2524" s="6">
        <v>1615620</v>
      </c>
      <c r="J2524" s="5" t="s">
        <v>187</v>
      </c>
      <c r="K2524" s="1"/>
      <c r="L2524" s="1" t="str">
        <f t="shared" si="144"/>
        <v xml:space="preserve">Oxundasjön </v>
      </c>
      <c r="M2524" s="1" t="s">
        <v>177</v>
      </c>
      <c r="N2524" s="6">
        <v>0.5</v>
      </c>
      <c r="O2524" s="6">
        <v>0.5</v>
      </c>
      <c r="P2524" s="6">
        <v>1.5</v>
      </c>
      <c r="Q2524" s="6">
        <v>6.7</v>
      </c>
      <c r="R2524" s="6">
        <v>12.7</v>
      </c>
      <c r="S2524" s="6">
        <v>105</v>
      </c>
      <c r="V2524" s="6">
        <v>2.4035469879</v>
      </c>
      <c r="W2524" s="6">
        <v>3.8296999999999999</v>
      </c>
      <c r="X2524" s="1">
        <f>W2524 * (1/((10^((0.0901821 + (2729.92 /(273.15 + Q2524)))-AE2524)+1)))</f>
        <v>5.9059917146317947E-2</v>
      </c>
      <c r="Y2524" s="6">
        <v>7.1999999999999995E-2</v>
      </c>
      <c r="Z2524" s="6">
        <v>1.22</v>
      </c>
      <c r="AA2524" s="6">
        <v>5.6</v>
      </c>
      <c r="AD2524" s="6">
        <v>422.2</v>
      </c>
      <c r="AE2524" s="6">
        <v>8.0399999999999991</v>
      </c>
      <c r="AK2524" s="6">
        <v>34.67</v>
      </c>
      <c r="AL2524" s="6">
        <v>1160.32</v>
      </c>
      <c r="AM2524" s="6"/>
      <c r="AN2524" s="6"/>
      <c r="AO2524" s="6"/>
      <c r="AP2524" s="6"/>
      <c r="AQ2524" s="6"/>
    </row>
    <row r="2525" spans="1:43" x14ac:dyDescent="0.3">
      <c r="A2525" s="6">
        <v>39493</v>
      </c>
      <c r="B2525" s="5" t="s">
        <v>234</v>
      </c>
      <c r="C2525" s="5" t="s">
        <v>231</v>
      </c>
      <c r="D2525" s="2">
        <f t="shared" si="142"/>
        <v>2015</v>
      </c>
      <c r="E2525" s="2">
        <f t="shared" si="143"/>
        <v>4</v>
      </c>
      <c r="F2525" s="3" t="s">
        <v>178</v>
      </c>
      <c r="G2525" s="7">
        <v>42109</v>
      </c>
      <c r="H2525" s="6">
        <v>6606035</v>
      </c>
      <c r="I2525" s="6">
        <v>1615620</v>
      </c>
      <c r="J2525" s="5" t="s">
        <v>187</v>
      </c>
      <c r="K2525" s="1"/>
      <c r="L2525" s="1" t="str">
        <f t="shared" si="144"/>
        <v xml:space="preserve">Oxundasjön </v>
      </c>
      <c r="M2525" s="5" t="s">
        <v>211</v>
      </c>
      <c r="N2525" s="6">
        <v>1</v>
      </c>
      <c r="O2525" s="6">
        <v>1</v>
      </c>
      <c r="Q2525" s="6">
        <v>6.7</v>
      </c>
      <c r="R2525" s="6">
        <v>12.7</v>
      </c>
      <c r="S2525" s="6">
        <v>105</v>
      </c>
    </row>
    <row r="2526" spans="1:43" x14ac:dyDescent="0.3">
      <c r="A2526" s="6">
        <v>39494</v>
      </c>
      <c r="B2526" s="5" t="s">
        <v>234</v>
      </c>
      <c r="C2526" s="5" t="s">
        <v>231</v>
      </c>
      <c r="D2526" s="2">
        <f t="shared" si="142"/>
        <v>2015</v>
      </c>
      <c r="E2526" s="2">
        <f t="shared" si="143"/>
        <v>4</v>
      </c>
      <c r="F2526" s="3" t="s">
        <v>178</v>
      </c>
      <c r="G2526" s="7">
        <v>42109</v>
      </c>
      <c r="H2526" s="6">
        <v>6606035</v>
      </c>
      <c r="I2526" s="6">
        <v>1615620</v>
      </c>
      <c r="J2526" s="5" t="s">
        <v>187</v>
      </c>
      <c r="K2526" s="1"/>
      <c r="L2526" s="1" t="str">
        <f t="shared" si="144"/>
        <v xml:space="preserve">Oxundasjön </v>
      </c>
      <c r="M2526" s="5" t="s">
        <v>212</v>
      </c>
      <c r="N2526" s="6">
        <v>2</v>
      </c>
      <c r="O2526" s="6">
        <v>2</v>
      </c>
      <c r="Q2526" s="6">
        <v>6.7</v>
      </c>
      <c r="R2526" s="6">
        <v>12.7</v>
      </c>
      <c r="S2526" s="6">
        <v>105</v>
      </c>
    </row>
    <row r="2527" spans="1:43" x14ac:dyDescent="0.3">
      <c r="A2527" s="6">
        <v>39495</v>
      </c>
      <c r="B2527" s="5" t="s">
        <v>234</v>
      </c>
      <c r="C2527" s="5" t="s">
        <v>231</v>
      </c>
      <c r="D2527" s="2">
        <f t="shared" si="142"/>
        <v>2015</v>
      </c>
      <c r="E2527" s="2">
        <f t="shared" si="143"/>
        <v>4</v>
      </c>
      <c r="F2527" s="3" t="s">
        <v>178</v>
      </c>
      <c r="G2527" s="7">
        <v>42109</v>
      </c>
      <c r="H2527" s="6">
        <v>6606035</v>
      </c>
      <c r="I2527" s="6">
        <v>1615620</v>
      </c>
      <c r="J2527" s="5" t="s">
        <v>187</v>
      </c>
      <c r="K2527" s="1"/>
      <c r="L2527" s="1" t="str">
        <f t="shared" si="144"/>
        <v xml:space="preserve">Oxundasjön </v>
      </c>
      <c r="M2527" s="5" t="s">
        <v>213</v>
      </c>
      <c r="N2527" s="6">
        <v>3</v>
      </c>
      <c r="O2527" s="6">
        <v>3</v>
      </c>
      <c r="Q2527" s="6">
        <v>6.7</v>
      </c>
      <c r="R2527" s="6">
        <v>12.7</v>
      </c>
      <c r="S2527" s="6">
        <v>105</v>
      </c>
    </row>
    <row r="2528" spans="1:43" x14ac:dyDescent="0.3">
      <c r="A2528" s="6">
        <v>39496</v>
      </c>
      <c r="B2528" s="5" t="s">
        <v>234</v>
      </c>
      <c r="C2528" s="5" t="s">
        <v>231</v>
      </c>
      <c r="D2528" s="2">
        <f t="shared" si="142"/>
        <v>2015</v>
      </c>
      <c r="E2528" s="2">
        <f t="shared" si="143"/>
        <v>4</v>
      </c>
      <c r="F2528" s="3" t="s">
        <v>178</v>
      </c>
      <c r="G2528" s="7">
        <v>42109</v>
      </c>
      <c r="H2528" s="6">
        <v>6606035</v>
      </c>
      <c r="I2528" s="6">
        <v>1615620</v>
      </c>
      <c r="J2528" s="5" t="s">
        <v>187</v>
      </c>
      <c r="K2528" s="1"/>
      <c r="L2528" s="1" t="str">
        <f t="shared" si="144"/>
        <v xml:space="preserve">Oxundasjön </v>
      </c>
      <c r="M2528" s="5" t="s">
        <v>214</v>
      </c>
      <c r="N2528" s="6">
        <v>4</v>
      </c>
      <c r="O2528" s="6">
        <v>4</v>
      </c>
      <c r="Q2528" s="6">
        <v>6.7</v>
      </c>
      <c r="R2528" s="6">
        <v>12.6</v>
      </c>
      <c r="S2528" s="6">
        <v>104</v>
      </c>
    </row>
    <row r="2529" spans="1:52" x14ac:dyDescent="0.3">
      <c r="A2529" s="6">
        <v>39497</v>
      </c>
      <c r="B2529" s="5" t="s">
        <v>234</v>
      </c>
      <c r="C2529" s="5" t="s">
        <v>231</v>
      </c>
      <c r="D2529" s="2">
        <f t="shared" si="142"/>
        <v>2015</v>
      </c>
      <c r="E2529" s="2">
        <f t="shared" si="143"/>
        <v>4</v>
      </c>
      <c r="F2529" s="3" t="s">
        <v>178</v>
      </c>
      <c r="G2529" s="7">
        <v>42109</v>
      </c>
      <c r="H2529" s="6">
        <v>6606035</v>
      </c>
      <c r="I2529" s="6">
        <v>1615620</v>
      </c>
      <c r="J2529" s="5" t="s">
        <v>187</v>
      </c>
      <c r="K2529" s="1"/>
      <c r="L2529" s="1" t="str">
        <f t="shared" si="144"/>
        <v xml:space="preserve">Oxundasjön </v>
      </c>
      <c r="M2529" s="5" t="s">
        <v>217</v>
      </c>
      <c r="N2529" s="6">
        <v>5</v>
      </c>
      <c r="O2529" s="6">
        <v>5</v>
      </c>
      <c r="Q2529" s="6">
        <v>6.7</v>
      </c>
      <c r="R2529" s="6">
        <v>12.6</v>
      </c>
      <c r="S2529" s="6">
        <v>104</v>
      </c>
    </row>
    <row r="2530" spans="1:52" x14ac:dyDescent="0.3">
      <c r="A2530" s="6">
        <v>39498</v>
      </c>
      <c r="B2530" s="5" t="s">
        <v>234</v>
      </c>
      <c r="C2530" s="5" t="s">
        <v>231</v>
      </c>
      <c r="D2530" s="2">
        <f t="shared" si="142"/>
        <v>2015</v>
      </c>
      <c r="E2530" s="2">
        <f t="shared" si="143"/>
        <v>4</v>
      </c>
      <c r="F2530" s="3" t="s">
        <v>178</v>
      </c>
      <c r="G2530" s="7">
        <v>42109</v>
      </c>
      <c r="H2530" s="6">
        <v>6606035</v>
      </c>
      <c r="I2530" s="6">
        <v>1615620</v>
      </c>
      <c r="J2530" s="5" t="s">
        <v>187</v>
      </c>
      <c r="K2530" s="1"/>
      <c r="L2530" s="1" t="str">
        <f t="shared" si="144"/>
        <v xml:space="preserve">Oxundasjön </v>
      </c>
      <c r="M2530" s="1" t="s">
        <v>184</v>
      </c>
      <c r="N2530" s="6">
        <v>5.8</v>
      </c>
      <c r="O2530" s="6">
        <v>5.8</v>
      </c>
      <c r="Q2530" s="6">
        <v>6.7</v>
      </c>
      <c r="R2530" s="6">
        <v>12.5</v>
      </c>
      <c r="S2530" s="6">
        <v>103</v>
      </c>
    </row>
    <row r="2531" spans="1:52" x14ac:dyDescent="0.3">
      <c r="A2531" s="6">
        <v>39499</v>
      </c>
      <c r="B2531" s="5" t="s">
        <v>234</v>
      </c>
      <c r="C2531" s="5" t="s">
        <v>231</v>
      </c>
      <c r="D2531" s="2">
        <f t="shared" si="142"/>
        <v>2015</v>
      </c>
      <c r="E2531" s="2">
        <f t="shared" si="143"/>
        <v>4</v>
      </c>
      <c r="F2531" s="3" t="s">
        <v>178</v>
      </c>
      <c r="G2531" s="7">
        <v>42109</v>
      </c>
      <c r="H2531" s="6">
        <v>6595515</v>
      </c>
      <c r="I2531" s="6">
        <v>1624630</v>
      </c>
      <c r="J2531" s="5" t="s">
        <v>207</v>
      </c>
      <c r="K2531" s="1"/>
      <c r="L2531" s="1" t="str">
        <f t="shared" si="144"/>
        <v xml:space="preserve">Käringsjön </v>
      </c>
      <c r="M2531" s="1" t="s">
        <v>177</v>
      </c>
      <c r="N2531" s="6">
        <v>0.5</v>
      </c>
      <c r="O2531" s="6">
        <v>1</v>
      </c>
      <c r="P2531" s="6">
        <v>0.6</v>
      </c>
      <c r="Q2531" s="6">
        <v>7.9</v>
      </c>
      <c r="R2531" s="6">
        <v>8.9</v>
      </c>
      <c r="S2531" s="6">
        <v>78</v>
      </c>
      <c r="V2531" s="6">
        <v>0.49909718874999998</v>
      </c>
      <c r="W2531" s="6">
        <v>0</v>
      </c>
      <c r="X2531" s="1">
        <f>W2531 * (1/((10^((0.0901821 + (2729.92 /(273.15 + Q2531)))-AE2531)+1)))</f>
        <v>0</v>
      </c>
      <c r="Y2531" s="6">
        <v>0.60299999999999998</v>
      </c>
      <c r="Z2531" s="6">
        <v>1.38</v>
      </c>
      <c r="AA2531" s="6">
        <v>3.4</v>
      </c>
      <c r="AD2531" s="6">
        <v>90.59</v>
      </c>
      <c r="AE2531" s="6">
        <v>6.74</v>
      </c>
      <c r="AK2531" s="6">
        <v>27.01</v>
      </c>
      <c r="AL2531" s="6">
        <v>1189.29</v>
      </c>
      <c r="AM2531" s="6"/>
      <c r="AN2531" s="6"/>
      <c r="AO2531" s="6"/>
      <c r="AP2531" s="6"/>
      <c r="AQ2531" s="6"/>
    </row>
    <row r="2532" spans="1:52" x14ac:dyDescent="0.3">
      <c r="A2532" s="6">
        <v>39500</v>
      </c>
      <c r="B2532" s="5" t="s">
        <v>234</v>
      </c>
      <c r="C2532" s="5" t="s">
        <v>231</v>
      </c>
      <c r="D2532" s="2">
        <f t="shared" si="142"/>
        <v>2015</v>
      </c>
      <c r="E2532" s="2">
        <f t="shared" si="143"/>
        <v>4</v>
      </c>
      <c r="F2532" s="3" t="s">
        <v>178</v>
      </c>
      <c r="G2532" s="7">
        <v>42109</v>
      </c>
      <c r="H2532" s="6">
        <v>6595515</v>
      </c>
      <c r="I2532" s="6">
        <v>1624630</v>
      </c>
      <c r="J2532" s="5" t="s">
        <v>207</v>
      </c>
      <c r="K2532" s="1"/>
      <c r="L2532" s="1" t="str">
        <f t="shared" si="144"/>
        <v xml:space="preserve">Käringsjön </v>
      </c>
      <c r="M2532" s="5" t="s">
        <v>211</v>
      </c>
      <c r="N2532" s="6">
        <v>1</v>
      </c>
      <c r="O2532" s="6">
        <v>1</v>
      </c>
      <c r="Q2532" s="6">
        <v>7.3</v>
      </c>
      <c r="R2532" s="6">
        <v>8.8000000000000007</v>
      </c>
      <c r="S2532" s="6">
        <v>74</v>
      </c>
    </row>
    <row r="2533" spans="1:52" x14ac:dyDescent="0.3">
      <c r="A2533" s="6">
        <v>39501</v>
      </c>
      <c r="B2533" s="5" t="s">
        <v>234</v>
      </c>
      <c r="C2533" s="5" t="s">
        <v>231</v>
      </c>
      <c r="D2533" s="2">
        <f t="shared" si="142"/>
        <v>2015</v>
      </c>
      <c r="E2533" s="2">
        <f t="shared" si="143"/>
        <v>4</v>
      </c>
      <c r="F2533" s="3" t="s">
        <v>178</v>
      </c>
      <c r="G2533" s="7">
        <v>42109</v>
      </c>
      <c r="H2533" s="6">
        <v>6595515</v>
      </c>
      <c r="I2533" s="6">
        <v>1624630</v>
      </c>
      <c r="J2533" s="5" t="s">
        <v>207</v>
      </c>
      <c r="K2533" s="1"/>
      <c r="L2533" s="1" t="str">
        <f t="shared" si="144"/>
        <v xml:space="preserve">Käringsjön </v>
      </c>
      <c r="M2533" s="5" t="s">
        <v>212</v>
      </c>
      <c r="N2533" s="6">
        <v>2</v>
      </c>
      <c r="O2533" s="6">
        <v>2</v>
      </c>
      <c r="Q2533" s="6">
        <v>7</v>
      </c>
      <c r="R2533" s="6">
        <v>8.4</v>
      </c>
      <c r="S2533" s="6">
        <v>70</v>
      </c>
    </row>
    <row r="2534" spans="1:52" x14ac:dyDescent="0.3">
      <c r="A2534" s="6">
        <v>39502</v>
      </c>
      <c r="B2534" s="5" t="s">
        <v>234</v>
      </c>
      <c r="C2534" s="5" t="s">
        <v>231</v>
      </c>
      <c r="D2534" s="2">
        <f t="shared" si="142"/>
        <v>2015</v>
      </c>
      <c r="E2534" s="2">
        <f t="shared" si="143"/>
        <v>4</v>
      </c>
      <c r="F2534" s="3" t="s">
        <v>178</v>
      </c>
      <c r="G2534" s="7">
        <v>42109</v>
      </c>
      <c r="H2534" s="6">
        <v>6595515</v>
      </c>
      <c r="I2534" s="6">
        <v>1624630</v>
      </c>
      <c r="J2534" s="5" t="s">
        <v>207</v>
      </c>
      <c r="K2534" s="1"/>
      <c r="L2534" s="1" t="str">
        <f t="shared" si="144"/>
        <v xml:space="preserve">Käringsjön </v>
      </c>
      <c r="M2534" s="5" t="s">
        <v>213</v>
      </c>
      <c r="N2534" s="6">
        <v>3</v>
      </c>
      <c r="O2534" s="6">
        <v>3</v>
      </c>
      <c r="Q2534" s="6">
        <v>6.8</v>
      </c>
      <c r="R2534" s="6">
        <v>8</v>
      </c>
      <c r="S2534" s="6">
        <v>67</v>
      </c>
    </row>
    <row r="2535" spans="1:52" x14ac:dyDescent="0.3">
      <c r="A2535" s="6">
        <v>39503</v>
      </c>
      <c r="B2535" s="5" t="s">
        <v>234</v>
      </c>
      <c r="C2535" s="5" t="s">
        <v>231</v>
      </c>
      <c r="D2535" s="2">
        <f t="shared" si="142"/>
        <v>2015</v>
      </c>
      <c r="E2535" s="2">
        <f t="shared" si="143"/>
        <v>4</v>
      </c>
      <c r="F2535" s="3" t="s">
        <v>178</v>
      </c>
      <c r="G2535" s="7">
        <v>42109</v>
      </c>
      <c r="H2535" s="6">
        <v>6595515</v>
      </c>
      <c r="I2535" s="6">
        <v>1624630</v>
      </c>
      <c r="J2535" s="5" t="s">
        <v>207</v>
      </c>
      <c r="K2535" s="1"/>
      <c r="L2535" s="1" t="str">
        <f t="shared" si="144"/>
        <v xml:space="preserve">Käringsjön </v>
      </c>
      <c r="M2535" s="1" t="s">
        <v>184</v>
      </c>
      <c r="N2535" s="6">
        <v>3.4</v>
      </c>
      <c r="O2535" s="6">
        <v>3.4</v>
      </c>
      <c r="Q2535" s="6">
        <v>6.7</v>
      </c>
      <c r="R2535" s="6">
        <v>7.9</v>
      </c>
      <c r="S2535" s="6">
        <v>66</v>
      </c>
    </row>
    <row r="2536" spans="1:52" x14ac:dyDescent="0.3">
      <c r="A2536" s="6">
        <v>39504</v>
      </c>
      <c r="B2536" s="5" t="s">
        <v>234</v>
      </c>
      <c r="C2536" s="5" t="s">
        <v>231</v>
      </c>
      <c r="D2536" s="2">
        <f t="shared" si="142"/>
        <v>2015</v>
      </c>
      <c r="E2536" s="2">
        <f t="shared" si="143"/>
        <v>4</v>
      </c>
      <c r="F2536" s="3" t="s">
        <v>178</v>
      </c>
      <c r="G2536" s="7">
        <v>42109</v>
      </c>
      <c r="H2536" s="6">
        <v>6595470</v>
      </c>
      <c r="I2536" s="6">
        <v>1622370</v>
      </c>
      <c r="J2536" s="5" t="s">
        <v>190</v>
      </c>
      <c r="K2536" s="1"/>
      <c r="L2536" s="1" t="str">
        <f t="shared" si="144"/>
        <v xml:space="preserve">Snuggan </v>
      </c>
      <c r="M2536" s="1" t="s">
        <v>177</v>
      </c>
      <c r="N2536" s="6">
        <v>0.5</v>
      </c>
      <c r="O2536" s="6">
        <v>0.5</v>
      </c>
      <c r="P2536" s="6">
        <v>0.6</v>
      </c>
      <c r="Q2536" s="6">
        <v>8.3000000000000007</v>
      </c>
      <c r="R2536" s="6">
        <v>9.6999999999999993</v>
      </c>
      <c r="S2536" s="6">
        <v>84</v>
      </c>
      <c r="V2536" s="6">
        <v>1.9701204819E-2</v>
      </c>
      <c r="W2536" s="6">
        <v>176.44820000000001</v>
      </c>
      <c r="X2536" s="1">
        <f>W2536 * (1/((10^((0.0901821 + (2729.92 /(273.15 + Q2536)))-AE2536)+1)))</f>
        <v>7.5323723697105745E-3</v>
      </c>
      <c r="Y2536" s="6">
        <v>0.73</v>
      </c>
      <c r="Z2536" s="6">
        <v>0.28999999999999998</v>
      </c>
      <c r="AA2536" s="6">
        <v>3.2</v>
      </c>
      <c r="AD2536" s="6">
        <v>22.6</v>
      </c>
      <c r="AE2536" s="6">
        <v>5.42</v>
      </c>
      <c r="AI2536" s="6">
        <v>32.369999999999997</v>
      </c>
      <c r="AK2536" s="6">
        <v>22.12</v>
      </c>
      <c r="AL2536" s="6">
        <v>1168.0999999999999</v>
      </c>
      <c r="AM2536" s="6"/>
      <c r="AN2536" s="6"/>
      <c r="AO2536" s="6"/>
      <c r="AP2536" s="6"/>
      <c r="AQ2536" s="6"/>
    </row>
    <row r="2537" spans="1:52" x14ac:dyDescent="0.3">
      <c r="A2537" s="6">
        <v>39505</v>
      </c>
      <c r="B2537" s="5" t="s">
        <v>234</v>
      </c>
      <c r="C2537" s="5" t="s">
        <v>231</v>
      </c>
      <c r="D2537" s="2">
        <f t="shared" si="142"/>
        <v>2015</v>
      </c>
      <c r="E2537" s="2">
        <f t="shared" si="143"/>
        <v>4</v>
      </c>
      <c r="F2537" s="3" t="s">
        <v>178</v>
      </c>
      <c r="G2537" s="7">
        <v>42109</v>
      </c>
      <c r="H2537" s="6">
        <v>6595470</v>
      </c>
      <c r="I2537" s="6">
        <v>1622370</v>
      </c>
      <c r="J2537" s="5" t="s">
        <v>190</v>
      </c>
      <c r="K2537" s="1"/>
      <c r="L2537" s="1" t="str">
        <f t="shared" si="144"/>
        <v xml:space="preserve">Snuggan </v>
      </c>
      <c r="M2537" s="5" t="s">
        <v>211</v>
      </c>
      <c r="N2537" s="6">
        <v>1</v>
      </c>
      <c r="O2537" s="6">
        <v>1</v>
      </c>
      <c r="Q2537" s="6">
        <v>8</v>
      </c>
      <c r="R2537" s="6">
        <v>9.6999999999999993</v>
      </c>
      <c r="S2537" s="6">
        <v>83</v>
      </c>
    </row>
    <row r="2538" spans="1:52" x14ac:dyDescent="0.3">
      <c r="A2538" s="6">
        <v>39506</v>
      </c>
      <c r="B2538" s="5" t="s">
        <v>234</v>
      </c>
      <c r="C2538" s="5" t="s">
        <v>231</v>
      </c>
      <c r="D2538" s="2">
        <f t="shared" si="142"/>
        <v>2015</v>
      </c>
      <c r="E2538" s="2">
        <f t="shared" si="143"/>
        <v>4</v>
      </c>
      <c r="F2538" s="3" t="s">
        <v>178</v>
      </c>
      <c r="G2538" s="7">
        <v>42109</v>
      </c>
      <c r="H2538" s="6">
        <v>6595470</v>
      </c>
      <c r="I2538" s="6">
        <v>1622370</v>
      </c>
      <c r="J2538" s="5" t="s">
        <v>190</v>
      </c>
      <c r="K2538" s="1"/>
      <c r="L2538" s="1" t="str">
        <f t="shared" si="144"/>
        <v xml:space="preserve">Snuggan </v>
      </c>
      <c r="M2538" s="5" t="s">
        <v>212</v>
      </c>
      <c r="N2538" s="6">
        <v>2</v>
      </c>
      <c r="O2538" s="6">
        <v>2</v>
      </c>
      <c r="Q2538" s="6">
        <v>7.7</v>
      </c>
      <c r="R2538" s="6">
        <v>9.6</v>
      </c>
      <c r="S2538" s="6">
        <v>82</v>
      </c>
    </row>
    <row r="2539" spans="1:52" x14ac:dyDescent="0.3">
      <c r="A2539" s="6">
        <v>39507</v>
      </c>
      <c r="B2539" s="5" t="s">
        <v>234</v>
      </c>
      <c r="C2539" s="5" t="s">
        <v>231</v>
      </c>
      <c r="D2539" s="2">
        <f t="shared" si="142"/>
        <v>2015</v>
      </c>
      <c r="E2539" s="2">
        <f t="shared" si="143"/>
        <v>4</v>
      </c>
      <c r="F2539" s="3" t="s">
        <v>178</v>
      </c>
      <c r="G2539" s="7">
        <v>42109</v>
      </c>
      <c r="H2539" s="6">
        <v>6595470</v>
      </c>
      <c r="I2539" s="6">
        <v>1622370</v>
      </c>
      <c r="J2539" s="5" t="s">
        <v>190</v>
      </c>
      <c r="K2539" s="1"/>
      <c r="L2539" s="1" t="str">
        <f t="shared" si="144"/>
        <v xml:space="preserve">Snuggan </v>
      </c>
      <c r="M2539" s="1" t="s">
        <v>184</v>
      </c>
      <c r="N2539" s="6">
        <v>2.8</v>
      </c>
      <c r="O2539" s="6">
        <v>2.8</v>
      </c>
      <c r="Q2539" s="6">
        <v>7.3</v>
      </c>
      <c r="R2539" s="6">
        <v>9.6</v>
      </c>
      <c r="S2539" s="6">
        <v>81</v>
      </c>
    </row>
    <row r="2540" spans="1:52" x14ac:dyDescent="0.3">
      <c r="D2540" s="2">
        <f t="shared" si="142"/>
        <v>2015</v>
      </c>
      <c r="E2540" s="2">
        <f t="shared" si="143"/>
        <v>4</v>
      </c>
      <c r="F2540" s="3" t="s">
        <v>178</v>
      </c>
      <c r="G2540" s="4">
        <v>42109</v>
      </c>
      <c r="J2540" s="1" t="s">
        <v>181</v>
      </c>
      <c r="K2540" s="1"/>
      <c r="L2540" s="1" t="str">
        <f t="shared" si="144"/>
        <v xml:space="preserve">Fysingen </v>
      </c>
      <c r="M2540" s="1" t="s">
        <v>177</v>
      </c>
      <c r="N2540" s="1">
        <v>0.5</v>
      </c>
      <c r="O2540" s="1">
        <v>0.5</v>
      </c>
      <c r="P2540" s="1">
        <v>1.4</v>
      </c>
      <c r="Q2540" s="1">
        <v>8.3000000000000007</v>
      </c>
      <c r="V2540" s="1">
        <v>1.9790000000000001</v>
      </c>
      <c r="W2540" s="1">
        <v>19</v>
      </c>
      <c r="X2540" s="1">
        <f>W2540 * (1/((10^((0.0901821 + (2729.92 /(273.15 + Q2540)))-AE2540)+1)))</f>
        <v>0.28350299952667424</v>
      </c>
      <c r="Y2540" s="1">
        <v>5.2999999999999999E-2</v>
      </c>
      <c r="Z2540" s="1">
        <v>1.5</v>
      </c>
      <c r="AA2540" s="1">
        <v>4.5999999999999996</v>
      </c>
      <c r="AB2540" s="1">
        <v>11</v>
      </c>
      <c r="AC2540" s="1">
        <v>47.2</v>
      </c>
      <c r="AD2540" s="1">
        <v>876</v>
      </c>
      <c r="AE2540" s="1">
        <v>7.97</v>
      </c>
      <c r="AI2540" s="1">
        <v>9.3000000000000007</v>
      </c>
      <c r="AK2540" s="1">
        <v>30.6</v>
      </c>
      <c r="AL2540" s="1">
        <v>1320</v>
      </c>
      <c r="AR2540" s="1">
        <v>55</v>
      </c>
      <c r="AS2540" s="1">
        <v>0.25</v>
      </c>
      <c r="AT2540" s="1">
        <v>5.3567000000000009</v>
      </c>
      <c r="AU2540" s="1">
        <v>10.902100000000001</v>
      </c>
      <c r="AV2540" s="1">
        <v>32.472200000000001</v>
      </c>
      <c r="AW2540" s="1">
        <v>23.857600000000001</v>
      </c>
      <c r="AX2540" s="1">
        <v>77.744900000000001</v>
      </c>
      <c r="AY2540" s="1">
        <v>5.8</v>
      </c>
      <c r="AZ2540" s="1">
        <v>270</v>
      </c>
    </row>
    <row r="2541" spans="1:52" x14ac:dyDescent="0.3">
      <c r="A2541" s="6">
        <v>39508</v>
      </c>
      <c r="B2541" s="5" t="s">
        <v>234</v>
      </c>
      <c r="C2541" s="5" t="s">
        <v>231</v>
      </c>
      <c r="D2541" s="2">
        <f t="shared" si="142"/>
        <v>2015</v>
      </c>
      <c r="E2541" s="2">
        <f t="shared" si="143"/>
        <v>4</v>
      </c>
      <c r="F2541" s="3" t="s">
        <v>178</v>
      </c>
      <c r="G2541" s="7">
        <v>42110</v>
      </c>
      <c r="H2541" s="6">
        <v>6597555</v>
      </c>
      <c r="I2541" s="6">
        <v>1629125</v>
      </c>
      <c r="J2541" s="5" t="s">
        <v>185</v>
      </c>
      <c r="K2541" s="1"/>
      <c r="L2541" s="1" t="str">
        <f t="shared" si="144"/>
        <v xml:space="preserve">Gullsjön </v>
      </c>
      <c r="M2541" s="1" t="s">
        <v>177</v>
      </c>
      <c r="N2541" s="6">
        <v>0.5</v>
      </c>
      <c r="O2541" s="6">
        <v>0.5</v>
      </c>
      <c r="P2541" s="6">
        <v>2</v>
      </c>
      <c r="Q2541" s="6">
        <v>7.4</v>
      </c>
      <c r="R2541" s="6">
        <v>10</v>
      </c>
      <c r="S2541" s="6">
        <v>84</v>
      </c>
      <c r="V2541" s="6">
        <v>1.4578891566000001</v>
      </c>
      <c r="W2541" s="6">
        <v>1.6480999999999999</v>
      </c>
      <c r="X2541" s="1">
        <f>W2541 * (1/((10^((0.0901821 + (2729.92 /(273.15 + Q2541)))-AE2541)+1)))</f>
        <v>4.8408691998193107E-3</v>
      </c>
      <c r="Y2541" s="6">
        <v>0.159</v>
      </c>
      <c r="Z2541" s="6">
        <v>2.2800000000000002</v>
      </c>
      <c r="AA2541" s="6">
        <v>2.4</v>
      </c>
      <c r="AD2541" s="6">
        <v>0.47</v>
      </c>
      <c r="AE2541" s="6">
        <v>7.29</v>
      </c>
      <c r="AK2541" s="6">
        <v>24.04</v>
      </c>
      <c r="AL2541" s="6">
        <v>735.86</v>
      </c>
      <c r="AM2541" s="6"/>
      <c r="AN2541" s="6"/>
      <c r="AO2541" s="6"/>
      <c r="AP2541" s="6"/>
      <c r="AQ2541" s="6"/>
    </row>
    <row r="2542" spans="1:52" x14ac:dyDescent="0.3">
      <c r="A2542" s="6">
        <v>39509</v>
      </c>
      <c r="B2542" s="5" t="s">
        <v>234</v>
      </c>
      <c r="C2542" s="5" t="s">
        <v>231</v>
      </c>
      <c r="D2542" s="2">
        <f t="shared" si="142"/>
        <v>2015</v>
      </c>
      <c r="E2542" s="2">
        <f t="shared" si="143"/>
        <v>4</v>
      </c>
      <c r="F2542" s="3" t="s">
        <v>178</v>
      </c>
      <c r="G2542" s="7">
        <v>42110</v>
      </c>
      <c r="H2542" s="6">
        <v>6597555</v>
      </c>
      <c r="I2542" s="6">
        <v>1629125</v>
      </c>
      <c r="J2542" s="5" t="s">
        <v>185</v>
      </c>
      <c r="K2542" s="1"/>
      <c r="L2542" s="1" t="str">
        <f t="shared" si="144"/>
        <v xml:space="preserve">Gullsjön </v>
      </c>
      <c r="M2542" s="5" t="s">
        <v>211</v>
      </c>
      <c r="N2542" s="6">
        <v>1</v>
      </c>
      <c r="O2542" s="6">
        <v>1</v>
      </c>
      <c r="Q2542" s="6">
        <v>7.4</v>
      </c>
      <c r="R2542" s="6">
        <v>9.8000000000000007</v>
      </c>
      <c r="S2542" s="6">
        <v>83</v>
      </c>
    </row>
    <row r="2543" spans="1:52" x14ac:dyDescent="0.3">
      <c r="A2543" s="6">
        <v>39510</v>
      </c>
      <c r="B2543" s="5" t="s">
        <v>234</v>
      </c>
      <c r="C2543" s="5" t="s">
        <v>231</v>
      </c>
      <c r="D2543" s="2">
        <f t="shared" si="142"/>
        <v>2015</v>
      </c>
      <c r="E2543" s="2">
        <f t="shared" si="143"/>
        <v>4</v>
      </c>
      <c r="F2543" s="3" t="s">
        <v>178</v>
      </c>
      <c r="G2543" s="7">
        <v>42110</v>
      </c>
      <c r="H2543" s="6">
        <v>6597555</v>
      </c>
      <c r="I2543" s="6">
        <v>1629125</v>
      </c>
      <c r="J2543" s="5" t="s">
        <v>185</v>
      </c>
      <c r="K2543" s="1"/>
      <c r="L2543" s="1" t="str">
        <f t="shared" si="144"/>
        <v xml:space="preserve">Gullsjön </v>
      </c>
      <c r="M2543" s="1" t="s">
        <v>184</v>
      </c>
      <c r="N2543" s="6">
        <v>2</v>
      </c>
      <c r="O2543" s="6">
        <v>2</v>
      </c>
      <c r="Q2543" s="6">
        <v>7.3</v>
      </c>
      <c r="R2543" s="6">
        <v>8.9</v>
      </c>
      <c r="S2543" s="6">
        <v>75</v>
      </c>
    </row>
    <row r="2544" spans="1:52" x14ac:dyDescent="0.3">
      <c r="A2544" s="6">
        <v>39511</v>
      </c>
      <c r="B2544" s="5" t="s">
        <v>234</v>
      </c>
      <c r="C2544" s="5" t="s">
        <v>231</v>
      </c>
      <c r="D2544" s="2">
        <f t="shared" si="142"/>
        <v>2015</v>
      </c>
      <c r="E2544" s="2">
        <f t="shared" si="143"/>
        <v>4</v>
      </c>
      <c r="F2544" s="3" t="s">
        <v>178</v>
      </c>
      <c r="G2544" s="7">
        <v>42110</v>
      </c>
      <c r="H2544" s="6">
        <v>6594430</v>
      </c>
      <c r="I2544" s="6">
        <v>1625370</v>
      </c>
      <c r="J2544" s="5" t="s">
        <v>201</v>
      </c>
      <c r="K2544" s="1"/>
      <c r="L2544" s="1" t="str">
        <f t="shared" si="144"/>
        <v xml:space="preserve">Mörtsjön </v>
      </c>
      <c r="M2544" s="1" t="s">
        <v>177</v>
      </c>
      <c r="N2544" s="6">
        <v>0.5</v>
      </c>
      <c r="O2544" s="6">
        <v>0.5</v>
      </c>
      <c r="P2544" s="6">
        <v>2</v>
      </c>
      <c r="Q2544" s="6">
        <v>7.5</v>
      </c>
      <c r="R2544" s="6">
        <v>10.5</v>
      </c>
      <c r="S2544" s="6">
        <v>89</v>
      </c>
      <c r="V2544" s="6">
        <v>2.0883277107999998</v>
      </c>
      <c r="W2544" s="6">
        <v>3.8853999999999997</v>
      </c>
      <c r="X2544" s="1">
        <f>W2544 * (1/((10^((0.0901821 + (2729.92 /(273.15 + Q2544)))-AE2544)+1)))</f>
        <v>1.9053957014672811E-2</v>
      </c>
      <c r="Y2544" s="6">
        <v>0.19500000000000001</v>
      </c>
      <c r="Z2544" s="6">
        <v>2.11</v>
      </c>
      <c r="AA2544" s="6">
        <v>3.2</v>
      </c>
      <c r="AD2544" s="6">
        <v>739.87</v>
      </c>
      <c r="AE2544" s="6">
        <v>7.51</v>
      </c>
      <c r="AK2544" s="6">
        <v>20.84</v>
      </c>
      <c r="AL2544" s="6">
        <v>1447.08</v>
      </c>
      <c r="AM2544" s="6"/>
      <c r="AN2544" s="6"/>
      <c r="AO2544" s="6"/>
      <c r="AP2544" s="6"/>
      <c r="AQ2544" s="6"/>
    </row>
    <row r="2545" spans="1:38" x14ac:dyDescent="0.3">
      <c r="A2545" s="6">
        <v>39512</v>
      </c>
      <c r="B2545" s="5" t="s">
        <v>234</v>
      </c>
      <c r="C2545" s="5" t="s">
        <v>231</v>
      </c>
      <c r="D2545" s="2">
        <f t="shared" si="142"/>
        <v>2015</v>
      </c>
      <c r="E2545" s="2">
        <f t="shared" si="143"/>
        <v>4</v>
      </c>
      <c r="F2545" s="3" t="s">
        <v>178</v>
      </c>
      <c r="G2545" s="7">
        <v>42110</v>
      </c>
      <c r="H2545" s="6">
        <v>6594430</v>
      </c>
      <c r="I2545" s="6">
        <v>1625370</v>
      </c>
      <c r="J2545" s="5" t="s">
        <v>201</v>
      </c>
      <c r="K2545" s="1"/>
      <c r="L2545" s="1" t="str">
        <f t="shared" si="144"/>
        <v xml:space="preserve">Mörtsjön </v>
      </c>
      <c r="M2545" s="5" t="s">
        <v>211</v>
      </c>
      <c r="N2545" s="6">
        <v>1</v>
      </c>
      <c r="O2545" s="6">
        <v>1</v>
      </c>
      <c r="Q2545" s="6">
        <v>7.4</v>
      </c>
      <c r="R2545" s="6">
        <v>10.4</v>
      </c>
      <c r="S2545" s="6">
        <v>88</v>
      </c>
    </row>
    <row r="2546" spans="1:38" x14ac:dyDescent="0.3">
      <c r="A2546" s="6">
        <v>39513</v>
      </c>
      <c r="B2546" s="5" t="s">
        <v>234</v>
      </c>
      <c r="C2546" s="5" t="s">
        <v>231</v>
      </c>
      <c r="D2546" s="2">
        <f t="shared" si="142"/>
        <v>2015</v>
      </c>
      <c r="E2546" s="2">
        <f t="shared" si="143"/>
        <v>4</v>
      </c>
      <c r="F2546" s="3" t="s">
        <v>178</v>
      </c>
      <c r="G2546" s="7">
        <v>42110</v>
      </c>
      <c r="H2546" s="6">
        <v>6594430</v>
      </c>
      <c r="I2546" s="6">
        <v>1625370</v>
      </c>
      <c r="J2546" s="5" t="s">
        <v>201</v>
      </c>
      <c r="K2546" s="1"/>
      <c r="L2546" s="1" t="str">
        <f t="shared" si="144"/>
        <v xml:space="preserve">Mörtsjön </v>
      </c>
      <c r="M2546" s="5" t="s">
        <v>212</v>
      </c>
      <c r="N2546" s="6">
        <v>2</v>
      </c>
      <c r="O2546" s="6">
        <v>2</v>
      </c>
      <c r="Q2546" s="6">
        <v>7.4</v>
      </c>
      <c r="R2546" s="6">
        <v>10.4</v>
      </c>
      <c r="S2546" s="6">
        <v>88</v>
      </c>
    </row>
    <row r="2547" spans="1:38" x14ac:dyDescent="0.3">
      <c r="A2547" s="6">
        <v>39514</v>
      </c>
      <c r="B2547" s="5" t="s">
        <v>234</v>
      </c>
      <c r="C2547" s="5" t="s">
        <v>231</v>
      </c>
      <c r="D2547" s="2">
        <f t="shared" si="142"/>
        <v>2015</v>
      </c>
      <c r="E2547" s="2">
        <f t="shared" si="143"/>
        <v>4</v>
      </c>
      <c r="F2547" s="3" t="s">
        <v>178</v>
      </c>
      <c r="G2547" s="7">
        <v>42110</v>
      </c>
      <c r="H2547" s="6">
        <v>6594430</v>
      </c>
      <c r="I2547" s="6">
        <v>1625370</v>
      </c>
      <c r="J2547" s="5" t="s">
        <v>201</v>
      </c>
      <c r="K2547" s="1"/>
      <c r="L2547" s="1" t="str">
        <f t="shared" si="144"/>
        <v xml:space="preserve">Mörtsjön </v>
      </c>
      <c r="M2547" s="5" t="s">
        <v>213</v>
      </c>
      <c r="N2547" s="6">
        <v>3</v>
      </c>
      <c r="O2547" s="6">
        <v>3</v>
      </c>
      <c r="Q2547" s="6">
        <v>7.4</v>
      </c>
      <c r="R2547" s="6">
        <v>10.4</v>
      </c>
      <c r="S2547" s="6">
        <v>88</v>
      </c>
    </row>
    <row r="2548" spans="1:38" x14ac:dyDescent="0.3">
      <c r="A2548" s="6">
        <v>39515</v>
      </c>
      <c r="B2548" s="5" t="s">
        <v>234</v>
      </c>
      <c r="C2548" s="5" t="s">
        <v>231</v>
      </c>
      <c r="D2548" s="2">
        <f t="shared" si="142"/>
        <v>2015</v>
      </c>
      <c r="E2548" s="2">
        <f t="shared" si="143"/>
        <v>4</v>
      </c>
      <c r="F2548" s="3" t="s">
        <v>178</v>
      </c>
      <c r="G2548" s="7">
        <v>42110</v>
      </c>
      <c r="H2548" s="6">
        <v>6594430</v>
      </c>
      <c r="I2548" s="6">
        <v>1625370</v>
      </c>
      <c r="J2548" s="5" t="s">
        <v>201</v>
      </c>
      <c r="K2548" s="1"/>
      <c r="L2548" s="1" t="str">
        <f t="shared" si="144"/>
        <v xml:space="preserve">Mörtsjön </v>
      </c>
      <c r="M2548" s="5" t="s">
        <v>214</v>
      </c>
      <c r="N2548" s="6">
        <v>4</v>
      </c>
      <c r="O2548" s="6">
        <v>4</v>
      </c>
      <c r="Q2548" s="6">
        <v>7.2</v>
      </c>
      <c r="R2548" s="6">
        <v>9.9</v>
      </c>
      <c r="S2548" s="6">
        <v>84</v>
      </c>
    </row>
    <row r="2549" spans="1:38" x14ac:dyDescent="0.3">
      <c r="A2549" s="6">
        <v>39516</v>
      </c>
      <c r="B2549" s="5" t="s">
        <v>234</v>
      </c>
      <c r="C2549" s="5" t="s">
        <v>231</v>
      </c>
      <c r="D2549" s="2">
        <f t="shared" si="142"/>
        <v>2015</v>
      </c>
      <c r="E2549" s="2">
        <f t="shared" si="143"/>
        <v>4</v>
      </c>
      <c r="F2549" s="3" t="s">
        <v>178</v>
      </c>
      <c r="G2549" s="7">
        <v>42110</v>
      </c>
      <c r="H2549" s="6">
        <v>6594430</v>
      </c>
      <c r="I2549" s="6">
        <v>1625370</v>
      </c>
      <c r="J2549" s="5" t="s">
        <v>201</v>
      </c>
      <c r="K2549" s="1"/>
      <c r="L2549" s="1" t="str">
        <f t="shared" si="144"/>
        <v xml:space="preserve">Mörtsjön </v>
      </c>
      <c r="M2549" s="1" t="s">
        <v>184</v>
      </c>
      <c r="N2549" s="6">
        <v>4.3</v>
      </c>
      <c r="O2549" s="6">
        <v>4.3</v>
      </c>
      <c r="Q2549" s="6">
        <v>7.1</v>
      </c>
      <c r="R2549" s="6">
        <v>9.6999999999999993</v>
      </c>
      <c r="S2549" s="6">
        <v>82</v>
      </c>
    </row>
    <row r="2550" spans="1:38" x14ac:dyDescent="0.3">
      <c r="A2550" s="1">
        <v>40045</v>
      </c>
      <c r="B2550" s="1" t="s">
        <v>233</v>
      </c>
      <c r="C2550" s="1" t="s">
        <v>209</v>
      </c>
      <c r="D2550" s="2">
        <f t="shared" si="142"/>
        <v>2015</v>
      </c>
      <c r="E2550" s="2">
        <f t="shared" si="143"/>
        <v>4</v>
      </c>
      <c r="F2550" s="3" t="s">
        <v>178</v>
      </c>
      <c r="G2550" s="4">
        <v>42122</v>
      </c>
      <c r="H2550" s="1">
        <v>6600935</v>
      </c>
      <c r="I2550" s="1">
        <v>1626764</v>
      </c>
      <c r="J2550" s="1" t="s">
        <v>191</v>
      </c>
      <c r="K2550" s="1" t="s">
        <v>210</v>
      </c>
      <c r="L2550" s="1" t="str">
        <f t="shared" si="144"/>
        <v>Vallentunasjön Va2</v>
      </c>
      <c r="M2550" s="1" t="s">
        <v>177</v>
      </c>
      <c r="N2550" s="1">
        <v>0.5</v>
      </c>
      <c r="O2550" s="1">
        <v>0.5</v>
      </c>
      <c r="P2550" s="1">
        <v>1</v>
      </c>
      <c r="R2550" s="1">
        <v>12.6</v>
      </c>
      <c r="S2550" s="1">
        <v>114</v>
      </c>
    </row>
    <row r="2551" spans="1:38" x14ac:dyDescent="0.3">
      <c r="A2551" s="1">
        <v>40046</v>
      </c>
      <c r="B2551" s="1" t="s">
        <v>233</v>
      </c>
      <c r="C2551" s="1" t="s">
        <v>209</v>
      </c>
      <c r="D2551" s="2">
        <f t="shared" si="142"/>
        <v>2015</v>
      </c>
      <c r="E2551" s="2">
        <f t="shared" si="143"/>
        <v>4</v>
      </c>
      <c r="F2551" s="3" t="s">
        <v>178</v>
      </c>
      <c r="G2551" s="4">
        <v>42122</v>
      </c>
      <c r="H2551" s="1">
        <v>6600935</v>
      </c>
      <c r="I2551" s="1">
        <v>1626764</v>
      </c>
      <c r="J2551" s="1" t="s">
        <v>191</v>
      </c>
      <c r="K2551" s="1" t="s">
        <v>210</v>
      </c>
      <c r="L2551" s="1" t="str">
        <f t="shared" si="144"/>
        <v>Vallentunasjön Va2</v>
      </c>
      <c r="M2551" s="1" t="s">
        <v>211</v>
      </c>
      <c r="N2551" s="1">
        <v>1</v>
      </c>
      <c r="O2551" s="1">
        <v>1</v>
      </c>
      <c r="R2551" s="1">
        <v>13</v>
      </c>
      <c r="S2551" s="1">
        <v>117</v>
      </c>
    </row>
    <row r="2552" spans="1:38" x14ac:dyDescent="0.3">
      <c r="A2552" s="1">
        <v>40047</v>
      </c>
      <c r="B2552" s="1" t="s">
        <v>233</v>
      </c>
      <c r="C2552" s="1" t="s">
        <v>209</v>
      </c>
      <c r="D2552" s="2">
        <f t="shared" si="142"/>
        <v>2015</v>
      </c>
      <c r="E2552" s="2">
        <f t="shared" si="143"/>
        <v>4</v>
      </c>
      <c r="F2552" s="3" t="s">
        <v>178</v>
      </c>
      <c r="G2552" s="4">
        <v>42122</v>
      </c>
      <c r="H2552" s="1">
        <v>6600935</v>
      </c>
      <c r="I2552" s="1">
        <v>1626764</v>
      </c>
      <c r="J2552" s="1" t="s">
        <v>191</v>
      </c>
      <c r="K2552" s="1" t="s">
        <v>210</v>
      </c>
      <c r="L2552" s="1" t="str">
        <f t="shared" si="144"/>
        <v>Vallentunasjön Va2</v>
      </c>
      <c r="M2552" s="1" t="s">
        <v>212</v>
      </c>
      <c r="N2552" s="1">
        <v>2</v>
      </c>
      <c r="O2552" s="1">
        <v>2</v>
      </c>
      <c r="R2552" s="1">
        <v>13.4</v>
      </c>
      <c r="S2552" s="1">
        <v>121</v>
      </c>
    </row>
    <row r="2553" spans="1:38" x14ac:dyDescent="0.3">
      <c r="A2553" s="1">
        <v>40048</v>
      </c>
      <c r="B2553" s="1" t="s">
        <v>233</v>
      </c>
      <c r="C2553" s="1" t="s">
        <v>209</v>
      </c>
      <c r="D2553" s="2">
        <f t="shared" si="142"/>
        <v>2015</v>
      </c>
      <c r="E2553" s="2">
        <f t="shared" si="143"/>
        <v>4</v>
      </c>
      <c r="F2553" s="3" t="s">
        <v>178</v>
      </c>
      <c r="G2553" s="4">
        <v>42122</v>
      </c>
      <c r="H2553" s="1">
        <v>6600935</v>
      </c>
      <c r="I2553" s="1">
        <v>1626764</v>
      </c>
      <c r="J2553" s="1" t="s">
        <v>191</v>
      </c>
      <c r="K2553" s="1" t="s">
        <v>210</v>
      </c>
      <c r="L2553" s="1" t="str">
        <f t="shared" si="144"/>
        <v>Vallentunasjön Va2</v>
      </c>
      <c r="M2553" s="1" t="s">
        <v>213</v>
      </c>
      <c r="N2553" s="1">
        <v>3</v>
      </c>
      <c r="O2553" s="1">
        <v>3</v>
      </c>
      <c r="R2553" s="1">
        <v>13.4</v>
      </c>
      <c r="S2553" s="1">
        <v>121</v>
      </c>
    </row>
    <row r="2554" spans="1:38" x14ac:dyDescent="0.3">
      <c r="A2554" s="1">
        <v>40049</v>
      </c>
      <c r="B2554" s="1" t="s">
        <v>233</v>
      </c>
      <c r="C2554" s="1" t="s">
        <v>209</v>
      </c>
      <c r="D2554" s="2">
        <f t="shared" si="142"/>
        <v>2015</v>
      </c>
      <c r="E2554" s="2">
        <f t="shared" si="143"/>
        <v>4</v>
      </c>
      <c r="F2554" s="3" t="s">
        <v>178</v>
      </c>
      <c r="G2554" s="4">
        <v>42122</v>
      </c>
      <c r="H2554" s="1">
        <v>6600935</v>
      </c>
      <c r="I2554" s="1">
        <v>1626764</v>
      </c>
      <c r="J2554" s="1" t="s">
        <v>191</v>
      </c>
      <c r="K2554" s="1" t="s">
        <v>210</v>
      </c>
      <c r="L2554" s="1" t="str">
        <f t="shared" si="144"/>
        <v>Vallentunasjön Va2</v>
      </c>
      <c r="M2554" s="1" t="s">
        <v>214</v>
      </c>
      <c r="N2554" s="1">
        <v>4</v>
      </c>
      <c r="O2554" s="1">
        <v>4</v>
      </c>
      <c r="R2554" s="1">
        <v>13.4</v>
      </c>
      <c r="S2554" s="1">
        <v>121</v>
      </c>
    </row>
    <row r="2555" spans="1:38" x14ac:dyDescent="0.3">
      <c r="A2555" s="1">
        <v>40050</v>
      </c>
      <c r="B2555" s="1" t="s">
        <v>233</v>
      </c>
      <c r="C2555" s="1" t="s">
        <v>209</v>
      </c>
      <c r="D2555" s="2">
        <f t="shared" si="142"/>
        <v>2015</v>
      </c>
      <c r="E2555" s="2">
        <f t="shared" si="143"/>
        <v>4</v>
      </c>
      <c r="F2555" s="3" t="s">
        <v>178</v>
      </c>
      <c r="G2555" s="4">
        <v>42122</v>
      </c>
      <c r="H2555" s="1">
        <v>6600935</v>
      </c>
      <c r="I2555" s="1">
        <v>1626764</v>
      </c>
      <c r="J2555" s="1" t="s">
        <v>191</v>
      </c>
      <c r="K2555" s="1" t="s">
        <v>210</v>
      </c>
      <c r="L2555" s="1" t="str">
        <f t="shared" si="144"/>
        <v>Vallentunasjön Va2</v>
      </c>
      <c r="M2555" s="1" t="s">
        <v>184</v>
      </c>
      <c r="N2555" s="1">
        <v>4.3</v>
      </c>
      <c r="O2555" s="1">
        <v>4.3</v>
      </c>
      <c r="R2555" s="1">
        <v>13.3</v>
      </c>
      <c r="S2555" s="1">
        <v>121</v>
      </c>
    </row>
    <row r="2556" spans="1:38" x14ac:dyDescent="0.3">
      <c r="A2556" s="1">
        <v>40051</v>
      </c>
      <c r="B2556" s="1" t="s">
        <v>233</v>
      </c>
      <c r="C2556" s="1" t="s">
        <v>209</v>
      </c>
      <c r="D2556" s="2">
        <f t="shared" si="142"/>
        <v>2015</v>
      </c>
      <c r="E2556" s="2">
        <f t="shared" si="143"/>
        <v>4</v>
      </c>
      <c r="F2556" s="3" t="s">
        <v>178</v>
      </c>
      <c r="G2556" s="4">
        <v>42122</v>
      </c>
      <c r="J2556" s="1" t="s">
        <v>191</v>
      </c>
      <c r="K2556" s="1" t="s">
        <v>206</v>
      </c>
      <c r="L2556" s="1" t="str">
        <f t="shared" si="144"/>
        <v>Vallentunasjön Blandprov</v>
      </c>
      <c r="M2556" s="1" t="s">
        <v>177</v>
      </c>
      <c r="N2556" s="1">
        <v>4</v>
      </c>
      <c r="O2556" s="1">
        <v>0</v>
      </c>
      <c r="W2556" s="1">
        <v>4.0891999999999999</v>
      </c>
      <c r="Z2556" s="1">
        <v>0</v>
      </c>
      <c r="AB2556" s="1">
        <v>28.850999999999999</v>
      </c>
      <c r="AD2556" s="1">
        <v>138.84</v>
      </c>
      <c r="AG2556" s="1">
        <v>10.666666666999999</v>
      </c>
      <c r="AK2556" s="1">
        <v>41.64</v>
      </c>
      <c r="AL2556" s="1">
        <v>1236.29</v>
      </c>
    </row>
    <row r="2557" spans="1:38" x14ac:dyDescent="0.3">
      <c r="A2557" s="1">
        <v>40589</v>
      </c>
      <c r="B2557" s="1" t="s">
        <v>233</v>
      </c>
      <c r="C2557" s="1" t="s">
        <v>209</v>
      </c>
      <c r="D2557" s="2">
        <f t="shared" si="142"/>
        <v>2015</v>
      </c>
      <c r="E2557" s="2">
        <f t="shared" si="143"/>
        <v>5</v>
      </c>
      <c r="F2557" s="3" t="s">
        <v>178</v>
      </c>
      <c r="G2557" s="4">
        <v>42136</v>
      </c>
      <c r="H2557" s="1">
        <v>6600935</v>
      </c>
      <c r="I2557" s="1">
        <v>1626764</v>
      </c>
      <c r="J2557" s="1" t="s">
        <v>191</v>
      </c>
      <c r="K2557" s="1" t="s">
        <v>210</v>
      </c>
      <c r="L2557" s="1" t="str">
        <f t="shared" si="144"/>
        <v>Vallentunasjön Va2</v>
      </c>
      <c r="M2557" s="1" t="s">
        <v>177</v>
      </c>
      <c r="N2557" s="1">
        <v>0.5</v>
      </c>
      <c r="O2557" s="1">
        <v>0.5</v>
      </c>
      <c r="P2557" s="1">
        <v>0.7</v>
      </c>
      <c r="Q2557" s="1">
        <v>12.7</v>
      </c>
      <c r="R2557" s="1">
        <v>10.6</v>
      </c>
      <c r="S2557" s="1">
        <v>102</v>
      </c>
    </row>
    <row r="2558" spans="1:38" x14ac:dyDescent="0.3">
      <c r="A2558" s="1">
        <v>40590</v>
      </c>
      <c r="B2558" s="1" t="s">
        <v>233</v>
      </c>
      <c r="C2558" s="1" t="s">
        <v>209</v>
      </c>
      <c r="D2558" s="2">
        <f t="shared" si="142"/>
        <v>2015</v>
      </c>
      <c r="E2558" s="2">
        <f t="shared" si="143"/>
        <v>5</v>
      </c>
      <c r="F2558" s="3" t="s">
        <v>178</v>
      </c>
      <c r="G2558" s="4">
        <v>42136</v>
      </c>
      <c r="H2558" s="1">
        <v>6600935</v>
      </c>
      <c r="I2558" s="1">
        <v>1626764</v>
      </c>
      <c r="J2558" s="1" t="s">
        <v>191</v>
      </c>
      <c r="K2558" s="1" t="s">
        <v>210</v>
      </c>
      <c r="L2558" s="1" t="str">
        <f t="shared" si="144"/>
        <v>Vallentunasjön Va2</v>
      </c>
      <c r="M2558" s="1" t="s">
        <v>211</v>
      </c>
      <c r="N2558" s="1">
        <v>1</v>
      </c>
      <c r="O2558" s="1">
        <v>1</v>
      </c>
      <c r="Q2558" s="1">
        <v>12.7</v>
      </c>
      <c r="R2558" s="1">
        <v>10.7</v>
      </c>
      <c r="S2558" s="1">
        <v>103</v>
      </c>
    </row>
    <row r="2559" spans="1:38" x14ac:dyDescent="0.3">
      <c r="A2559" s="1">
        <v>40591</v>
      </c>
      <c r="B2559" s="1" t="s">
        <v>233</v>
      </c>
      <c r="C2559" s="1" t="s">
        <v>209</v>
      </c>
      <c r="D2559" s="2">
        <f t="shared" si="142"/>
        <v>2015</v>
      </c>
      <c r="E2559" s="2">
        <f t="shared" si="143"/>
        <v>5</v>
      </c>
      <c r="F2559" s="3" t="s">
        <v>178</v>
      </c>
      <c r="G2559" s="4">
        <v>42136</v>
      </c>
      <c r="H2559" s="1">
        <v>6600935</v>
      </c>
      <c r="I2559" s="1">
        <v>1626764</v>
      </c>
      <c r="J2559" s="1" t="s">
        <v>191</v>
      </c>
      <c r="K2559" s="1" t="s">
        <v>210</v>
      </c>
      <c r="L2559" s="1" t="str">
        <f t="shared" si="144"/>
        <v>Vallentunasjön Va2</v>
      </c>
      <c r="M2559" s="1" t="s">
        <v>212</v>
      </c>
      <c r="N2559" s="1">
        <v>2</v>
      </c>
      <c r="O2559" s="1">
        <v>2</v>
      </c>
      <c r="Q2559" s="1">
        <v>12.7</v>
      </c>
      <c r="R2559" s="1">
        <v>11</v>
      </c>
      <c r="S2559" s="1">
        <v>106</v>
      </c>
    </row>
    <row r="2560" spans="1:38" x14ac:dyDescent="0.3">
      <c r="A2560" s="1">
        <v>40592</v>
      </c>
      <c r="B2560" s="1" t="s">
        <v>233</v>
      </c>
      <c r="C2560" s="1" t="s">
        <v>209</v>
      </c>
      <c r="D2560" s="2">
        <f t="shared" si="142"/>
        <v>2015</v>
      </c>
      <c r="E2560" s="2">
        <f t="shared" si="143"/>
        <v>5</v>
      </c>
      <c r="F2560" s="3" t="s">
        <v>178</v>
      </c>
      <c r="G2560" s="4">
        <v>42136</v>
      </c>
      <c r="H2560" s="1">
        <v>6600935</v>
      </c>
      <c r="I2560" s="1">
        <v>1626764</v>
      </c>
      <c r="J2560" s="1" t="s">
        <v>191</v>
      </c>
      <c r="K2560" s="1" t="s">
        <v>210</v>
      </c>
      <c r="L2560" s="1" t="str">
        <f t="shared" si="144"/>
        <v>Vallentunasjön Va2</v>
      </c>
      <c r="M2560" s="1" t="s">
        <v>213</v>
      </c>
      <c r="N2560" s="1">
        <v>3</v>
      </c>
      <c r="O2560" s="1">
        <v>3</v>
      </c>
      <c r="Q2560" s="1">
        <v>12.6</v>
      </c>
      <c r="R2560" s="1">
        <v>11.2</v>
      </c>
      <c r="S2560" s="1">
        <v>107</v>
      </c>
    </row>
    <row r="2561" spans="1:51" x14ac:dyDescent="0.3">
      <c r="A2561" s="1">
        <v>40593</v>
      </c>
      <c r="B2561" s="1" t="s">
        <v>233</v>
      </c>
      <c r="C2561" s="1" t="s">
        <v>209</v>
      </c>
      <c r="D2561" s="2">
        <f t="shared" si="142"/>
        <v>2015</v>
      </c>
      <c r="E2561" s="2">
        <f t="shared" si="143"/>
        <v>5</v>
      </c>
      <c r="F2561" s="3" t="s">
        <v>178</v>
      </c>
      <c r="G2561" s="4">
        <v>42136</v>
      </c>
      <c r="H2561" s="1">
        <v>6600935</v>
      </c>
      <c r="I2561" s="1">
        <v>1626764</v>
      </c>
      <c r="J2561" s="1" t="s">
        <v>191</v>
      </c>
      <c r="K2561" s="1" t="s">
        <v>210</v>
      </c>
      <c r="L2561" s="1" t="str">
        <f t="shared" si="144"/>
        <v>Vallentunasjön Va2</v>
      </c>
      <c r="M2561" s="1" t="s">
        <v>214</v>
      </c>
      <c r="N2561" s="1">
        <v>4</v>
      </c>
      <c r="O2561" s="1">
        <v>4</v>
      </c>
      <c r="Q2561" s="1">
        <v>12.6</v>
      </c>
      <c r="R2561" s="1">
        <v>11.3</v>
      </c>
      <c r="S2561" s="1">
        <v>108</v>
      </c>
    </row>
    <row r="2562" spans="1:51" x14ac:dyDescent="0.3">
      <c r="A2562" s="1">
        <v>40594</v>
      </c>
      <c r="B2562" s="1" t="s">
        <v>233</v>
      </c>
      <c r="C2562" s="1" t="s">
        <v>209</v>
      </c>
      <c r="D2562" s="2">
        <f t="shared" ref="D2562:D2625" si="145">YEAR(G2562)</f>
        <v>2015</v>
      </c>
      <c r="E2562" s="2">
        <f t="shared" ref="E2562:E2625" si="146">MONTH(G2562)</f>
        <v>5</v>
      </c>
      <c r="F2562" s="3" t="s">
        <v>178</v>
      </c>
      <c r="G2562" s="4">
        <v>42136</v>
      </c>
      <c r="H2562" s="1">
        <v>6600935</v>
      </c>
      <c r="I2562" s="1">
        <v>1626764</v>
      </c>
      <c r="J2562" s="1" t="s">
        <v>191</v>
      </c>
      <c r="K2562" s="1" t="s">
        <v>210</v>
      </c>
      <c r="L2562" s="1" t="str">
        <f t="shared" ref="L2562:L2625" si="147">CONCATENATE(J2562," ",K2562)</f>
        <v>Vallentunasjön Va2</v>
      </c>
      <c r="M2562" s="1" t="s">
        <v>184</v>
      </c>
      <c r="Q2562" s="1">
        <v>12.6</v>
      </c>
      <c r="R2562" s="1">
        <v>11.3</v>
      </c>
      <c r="S2562" s="1">
        <v>108</v>
      </c>
    </row>
    <row r="2563" spans="1:51" x14ac:dyDescent="0.3">
      <c r="A2563" s="1">
        <v>40595</v>
      </c>
      <c r="B2563" s="1" t="s">
        <v>233</v>
      </c>
      <c r="C2563" s="1" t="s">
        <v>209</v>
      </c>
      <c r="D2563" s="2">
        <f t="shared" si="145"/>
        <v>2015</v>
      </c>
      <c r="E2563" s="2">
        <f t="shared" si="146"/>
        <v>5</v>
      </c>
      <c r="F2563" s="3" t="s">
        <v>178</v>
      </c>
      <c r="G2563" s="4">
        <v>42136</v>
      </c>
      <c r="J2563" s="1" t="s">
        <v>191</v>
      </c>
      <c r="K2563" s="1" t="s">
        <v>206</v>
      </c>
      <c r="L2563" s="1" t="str">
        <f t="shared" si="147"/>
        <v>Vallentunasjön Blandprov</v>
      </c>
      <c r="M2563" s="1" t="s">
        <v>177</v>
      </c>
      <c r="N2563" s="1">
        <v>4</v>
      </c>
      <c r="O2563" s="1">
        <v>0</v>
      </c>
      <c r="W2563" s="1">
        <v>2.8517999999999999</v>
      </c>
      <c r="Z2563" s="1">
        <v>0</v>
      </c>
      <c r="AB2563" s="1">
        <v>28.372319999999998</v>
      </c>
      <c r="AD2563" s="1">
        <v>0.11</v>
      </c>
      <c r="AG2563" s="1">
        <v>16.8</v>
      </c>
      <c r="AK2563" s="1">
        <v>63.66</v>
      </c>
      <c r="AL2563" s="1">
        <v>1337.17</v>
      </c>
    </row>
    <row r="2564" spans="1:51" x14ac:dyDescent="0.3">
      <c r="D2564" s="2">
        <f t="shared" si="145"/>
        <v>2015</v>
      </c>
      <c r="E2564" s="2">
        <f t="shared" si="146"/>
        <v>5</v>
      </c>
      <c r="F2564" s="3" t="s">
        <v>178</v>
      </c>
      <c r="G2564" s="4">
        <v>42142</v>
      </c>
      <c r="H2564" s="1">
        <v>6606238</v>
      </c>
      <c r="I2564" s="1">
        <v>661152</v>
      </c>
      <c r="J2564" s="5" t="s">
        <v>176</v>
      </c>
      <c r="K2564" s="1"/>
      <c r="L2564" s="1" t="str">
        <f t="shared" si="147"/>
        <v xml:space="preserve">Oxundaån </v>
      </c>
      <c r="M2564" s="1" t="s">
        <v>177</v>
      </c>
      <c r="N2564" s="1">
        <v>0.2</v>
      </c>
      <c r="O2564" s="1">
        <v>0.2</v>
      </c>
      <c r="Q2564" s="1">
        <v>11.6</v>
      </c>
      <c r="T2564" s="1">
        <v>45.3</v>
      </c>
      <c r="V2564" s="1">
        <v>2.423</v>
      </c>
      <c r="W2564" s="1">
        <v>13</v>
      </c>
      <c r="X2564" s="1">
        <f>W2564 * (1/((10^((0.0901821 + (2729.92 /(273.15 + Q2564)))-AE2564)+1)))</f>
        <v>0.32051123702485457</v>
      </c>
      <c r="Y2564" s="1">
        <v>0.05</v>
      </c>
      <c r="Z2564" s="1">
        <v>8</v>
      </c>
      <c r="AA2564" s="1">
        <v>3.8</v>
      </c>
      <c r="AD2564" s="1">
        <v>15</v>
      </c>
      <c r="AE2564" s="1">
        <v>8.08</v>
      </c>
      <c r="AI2564" s="1">
        <v>10.199999999999999</v>
      </c>
      <c r="AK2564" s="1">
        <v>33.4</v>
      </c>
      <c r="AL2564" s="1">
        <v>699</v>
      </c>
      <c r="AR2564" s="1">
        <v>52</v>
      </c>
      <c r="AT2564" s="1">
        <v>5.2003000000000004</v>
      </c>
      <c r="AU2564" s="1">
        <v>8.6635999999999989</v>
      </c>
      <c r="AV2564" s="1">
        <v>37.328850000000003</v>
      </c>
      <c r="AW2564" s="1">
        <v>26.8398</v>
      </c>
      <c r="AX2564" s="1">
        <v>48.866849999999992</v>
      </c>
      <c r="AY2564" s="1">
        <v>2.2000000000000002</v>
      </c>
    </row>
    <row r="2565" spans="1:51" x14ac:dyDescent="0.3">
      <c r="A2565" s="1">
        <v>41046</v>
      </c>
      <c r="B2565" s="1" t="s">
        <v>233</v>
      </c>
      <c r="C2565" s="1" t="s">
        <v>209</v>
      </c>
      <c r="D2565" s="2">
        <f t="shared" si="145"/>
        <v>2015</v>
      </c>
      <c r="E2565" s="2">
        <f t="shared" si="146"/>
        <v>5</v>
      </c>
      <c r="F2565" s="3" t="s">
        <v>178</v>
      </c>
      <c r="G2565" s="4">
        <v>42150</v>
      </c>
      <c r="H2565" s="1">
        <v>6600935</v>
      </c>
      <c r="I2565" s="1">
        <v>1626764</v>
      </c>
      <c r="J2565" s="1" t="s">
        <v>191</v>
      </c>
      <c r="K2565" s="1" t="s">
        <v>210</v>
      </c>
      <c r="L2565" s="1" t="str">
        <f t="shared" si="147"/>
        <v>Vallentunasjön Va2</v>
      </c>
      <c r="M2565" s="1" t="s">
        <v>177</v>
      </c>
      <c r="N2565" s="1">
        <v>0.5</v>
      </c>
      <c r="O2565" s="1">
        <v>0.5</v>
      </c>
      <c r="P2565" s="1">
        <v>0.7</v>
      </c>
      <c r="Q2565" s="1">
        <v>15.6</v>
      </c>
      <c r="R2565" s="1">
        <v>11.7</v>
      </c>
      <c r="S2565" s="1">
        <v>118</v>
      </c>
    </row>
    <row r="2566" spans="1:51" x14ac:dyDescent="0.3">
      <c r="A2566" s="1">
        <v>41047</v>
      </c>
      <c r="B2566" s="1" t="s">
        <v>233</v>
      </c>
      <c r="C2566" s="1" t="s">
        <v>209</v>
      </c>
      <c r="D2566" s="2">
        <f t="shared" si="145"/>
        <v>2015</v>
      </c>
      <c r="E2566" s="2">
        <f t="shared" si="146"/>
        <v>5</v>
      </c>
      <c r="F2566" s="3" t="s">
        <v>178</v>
      </c>
      <c r="G2566" s="4">
        <v>42150</v>
      </c>
      <c r="H2566" s="1">
        <v>6600935</v>
      </c>
      <c r="I2566" s="1">
        <v>1626764</v>
      </c>
      <c r="J2566" s="1" t="s">
        <v>191</v>
      </c>
      <c r="K2566" s="1" t="s">
        <v>210</v>
      </c>
      <c r="L2566" s="1" t="str">
        <f t="shared" si="147"/>
        <v>Vallentunasjön Va2</v>
      </c>
      <c r="M2566" s="1" t="s">
        <v>211</v>
      </c>
      <c r="N2566" s="1">
        <v>1</v>
      </c>
      <c r="O2566" s="1">
        <v>1</v>
      </c>
      <c r="Q2566" s="1">
        <v>15.5</v>
      </c>
      <c r="R2566" s="1">
        <v>11.7</v>
      </c>
      <c r="S2566" s="1">
        <v>118</v>
      </c>
    </row>
    <row r="2567" spans="1:51" x14ac:dyDescent="0.3">
      <c r="A2567" s="1">
        <v>41048</v>
      </c>
      <c r="B2567" s="1" t="s">
        <v>233</v>
      </c>
      <c r="C2567" s="1" t="s">
        <v>209</v>
      </c>
      <c r="D2567" s="2">
        <f t="shared" si="145"/>
        <v>2015</v>
      </c>
      <c r="E2567" s="2">
        <f t="shared" si="146"/>
        <v>5</v>
      </c>
      <c r="F2567" s="3" t="s">
        <v>178</v>
      </c>
      <c r="G2567" s="4">
        <v>42150</v>
      </c>
      <c r="H2567" s="1">
        <v>6600935</v>
      </c>
      <c r="I2567" s="1">
        <v>1626764</v>
      </c>
      <c r="J2567" s="1" t="s">
        <v>191</v>
      </c>
      <c r="K2567" s="1" t="s">
        <v>210</v>
      </c>
      <c r="L2567" s="1" t="str">
        <f t="shared" si="147"/>
        <v>Vallentunasjön Va2</v>
      </c>
      <c r="M2567" s="1" t="s">
        <v>212</v>
      </c>
      <c r="N2567" s="1">
        <v>2</v>
      </c>
      <c r="O2567" s="1">
        <v>2</v>
      </c>
      <c r="Q2567" s="1">
        <v>15.2</v>
      </c>
      <c r="R2567" s="1">
        <v>11.6</v>
      </c>
      <c r="S2567" s="1">
        <v>116</v>
      </c>
    </row>
    <row r="2568" spans="1:51" x14ac:dyDescent="0.3">
      <c r="A2568" s="1">
        <v>41049</v>
      </c>
      <c r="B2568" s="1" t="s">
        <v>233</v>
      </c>
      <c r="C2568" s="1" t="s">
        <v>209</v>
      </c>
      <c r="D2568" s="2">
        <f t="shared" si="145"/>
        <v>2015</v>
      </c>
      <c r="E2568" s="2">
        <f t="shared" si="146"/>
        <v>5</v>
      </c>
      <c r="F2568" s="3" t="s">
        <v>178</v>
      </c>
      <c r="G2568" s="4">
        <v>42150</v>
      </c>
      <c r="H2568" s="1">
        <v>6600935</v>
      </c>
      <c r="I2568" s="1">
        <v>1626764</v>
      </c>
      <c r="J2568" s="1" t="s">
        <v>191</v>
      </c>
      <c r="K2568" s="1" t="s">
        <v>210</v>
      </c>
      <c r="L2568" s="1" t="str">
        <f t="shared" si="147"/>
        <v>Vallentunasjön Va2</v>
      </c>
      <c r="M2568" s="1" t="s">
        <v>213</v>
      </c>
      <c r="N2568" s="1">
        <v>3</v>
      </c>
      <c r="O2568" s="1">
        <v>3</v>
      </c>
      <c r="Q2568" s="1">
        <v>15.1</v>
      </c>
      <c r="R2568" s="1">
        <v>11.2</v>
      </c>
      <c r="S2568" s="1">
        <v>112</v>
      </c>
    </row>
    <row r="2569" spans="1:51" x14ac:dyDescent="0.3">
      <c r="A2569" s="1">
        <v>41050</v>
      </c>
      <c r="B2569" s="1" t="s">
        <v>233</v>
      </c>
      <c r="C2569" s="1" t="s">
        <v>209</v>
      </c>
      <c r="D2569" s="2">
        <f t="shared" si="145"/>
        <v>2015</v>
      </c>
      <c r="E2569" s="2">
        <f t="shared" si="146"/>
        <v>5</v>
      </c>
      <c r="F2569" s="3" t="s">
        <v>178</v>
      </c>
      <c r="G2569" s="4">
        <v>42150</v>
      </c>
      <c r="H2569" s="1">
        <v>6600935</v>
      </c>
      <c r="I2569" s="1">
        <v>1626764</v>
      </c>
      <c r="J2569" s="1" t="s">
        <v>191</v>
      </c>
      <c r="K2569" s="1" t="s">
        <v>210</v>
      </c>
      <c r="L2569" s="1" t="str">
        <f t="shared" si="147"/>
        <v>Vallentunasjön Va2</v>
      </c>
      <c r="M2569" s="1" t="s">
        <v>214</v>
      </c>
      <c r="N2569" s="1">
        <v>4</v>
      </c>
      <c r="O2569" s="1">
        <v>4</v>
      </c>
      <c r="Q2569" s="1">
        <v>15</v>
      </c>
      <c r="R2569" s="1">
        <v>11</v>
      </c>
      <c r="S2569" s="1">
        <v>109</v>
      </c>
    </row>
    <row r="2570" spans="1:51" x14ac:dyDescent="0.3">
      <c r="A2570" s="1">
        <v>41051</v>
      </c>
      <c r="B2570" s="1" t="s">
        <v>233</v>
      </c>
      <c r="C2570" s="1" t="s">
        <v>209</v>
      </c>
      <c r="D2570" s="2">
        <f t="shared" si="145"/>
        <v>2015</v>
      </c>
      <c r="E2570" s="2">
        <f t="shared" si="146"/>
        <v>5</v>
      </c>
      <c r="F2570" s="3" t="s">
        <v>178</v>
      </c>
      <c r="G2570" s="4">
        <v>42150</v>
      </c>
      <c r="H2570" s="1">
        <v>6600935</v>
      </c>
      <c r="I2570" s="1">
        <v>1626764</v>
      </c>
      <c r="J2570" s="1" t="s">
        <v>191</v>
      </c>
      <c r="K2570" s="1" t="s">
        <v>210</v>
      </c>
      <c r="L2570" s="1" t="str">
        <f t="shared" si="147"/>
        <v>Vallentunasjön Va2</v>
      </c>
      <c r="M2570" s="1" t="s">
        <v>184</v>
      </c>
      <c r="Q2570" s="1">
        <v>14.2</v>
      </c>
      <c r="R2570" s="1">
        <v>8.6999999999999993</v>
      </c>
      <c r="S2570" s="1">
        <v>85</v>
      </c>
    </row>
    <row r="2571" spans="1:51" x14ac:dyDescent="0.3">
      <c r="A2571" s="1">
        <v>41052</v>
      </c>
      <c r="B2571" s="1" t="s">
        <v>233</v>
      </c>
      <c r="C2571" s="1" t="s">
        <v>209</v>
      </c>
      <c r="D2571" s="2">
        <f t="shared" si="145"/>
        <v>2015</v>
      </c>
      <c r="E2571" s="2">
        <f t="shared" si="146"/>
        <v>5</v>
      </c>
      <c r="F2571" s="3" t="s">
        <v>178</v>
      </c>
      <c r="G2571" s="4">
        <v>42150</v>
      </c>
      <c r="J2571" s="1" t="s">
        <v>191</v>
      </c>
      <c r="K2571" s="1" t="s">
        <v>206</v>
      </c>
      <c r="L2571" s="1" t="str">
        <f t="shared" si="147"/>
        <v>Vallentunasjön Blandprov</v>
      </c>
      <c r="M2571" s="1" t="s">
        <v>177</v>
      </c>
      <c r="N2571" s="1">
        <v>4</v>
      </c>
      <c r="O2571" s="1">
        <v>0</v>
      </c>
      <c r="W2571" s="1">
        <v>4.3400000000000001E-2</v>
      </c>
      <c r="Z2571" s="1">
        <v>0.16</v>
      </c>
      <c r="AB2571" s="1">
        <v>28.180350000000001</v>
      </c>
      <c r="AD2571" s="1">
        <v>0</v>
      </c>
      <c r="AG2571" s="1">
        <v>19</v>
      </c>
      <c r="AK2571" s="1">
        <v>53.41</v>
      </c>
      <c r="AL2571" s="1">
        <v>1259.6400000000001</v>
      </c>
    </row>
    <row r="2572" spans="1:51" x14ac:dyDescent="0.3">
      <c r="A2572" s="1">
        <v>41918</v>
      </c>
      <c r="B2572" s="1" t="s">
        <v>233</v>
      </c>
      <c r="C2572" s="1" t="s">
        <v>209</v>
      </c>
      <c r="D2572" s="2">
        <f t="shared" si="145"/>
        <v>2015</v>
      </c>
      <c r="E2572" s="2">
        <f t="shared" si="146"/>
        <v>6</v>
      </c>
      <c r="F2572" s="2"/>
      <c r="G2572" s="4">
        <v>42157</v>
      </c>
      <c r="H2572" s="1">
        <v>6600935</v>
      </c>
      <c r="I2572" s="1">
        <v>1626764</v>
      </c>
      <c r="J2572" s="1" t="s">
        <v>191</v>
      </c>
      <c r="K2572" s="1" t="s">
        <v>210</v>
      </c>
      <c r="L2572" s="1" t="str">
        <f t="shared" si="147"/>
        <v>Vallentunasjön Va2</v>
      </c>
      <c r="M2572" s="1" t="s">
        <v>177</v>
      </c>
      <c r="N2572" s="1">
        <v>0.5</v>
      </c>
      <c r="O2572" s="1">
        <v>0.5</v>
      </c>
      <c r="P2572" s="1">
        <v>0.6</v>
      </c>
      <c r="Q2572" s="1">
        <v>13.8</v>
      </c>
      <c r="R2572" s="1">
        <v>9.3000000000000007</v>
      </c>
      <c r="S2572" s="1">
        <v>90</v>
      </c>
    </row>
    <row r="2573" spans="1:51" x14ac:dyDescent="0.3">
      <c r="A2573" s="1">
        <v>41919</v>
      </c>
      <c r="B2573" s="1" t="s">
        <v>233</v>
      </c>
      <c r="C2573" s="1" t="s">
        <v>209</v>
      </c>
      <c r="D2573" s="2">
        <f t="shared" si="145"/>
        <v>2015</v>
      </c>
      <c r="E2573" s="2">
        <f t="shared" si="146"/>
        <v>6</v>
      </c>
      <c r="F2573" s="2"/>
      <c r="G2573" s="4">
        <v>42157</v>
      </c>
      <c r="H2573" s="1">
        <v>6600935</v>
      </c>
      <c r="I2573" s="1">
        <v>1626764</v>
      </c>
      <c r="J2573" s="1" t="s">
        <v>191</v>
      </c>
      <c r="K2573" s="1" t="s">
        <v>210</v>
      </c>
      <c r="L2573" s="1" t="str">
        <f t="shared" si="147"/>
        <v>Vallentunasjön Va2</v>
      </c>
      <c r="M2573" s="1" t="s">
        <v>211</v>
      </c>
      <c r="N2573" s="1">
        <v>1</v>
      </c>
      <c r="O2573" s="1">
        <v>1</v>
      </c>
      <c r="Q2573" s="1">
        <v>13.8</v>
      </c>
      <c r="R2573" s="1">
        <v>9.4</v>
      </c>
      <c r="S2573" s="1">
        <v>91</v>
      </c>
    </row>
    <row r="2574" spans="1:51" x14ac:dyDescent="0.3">
      <c r="A2574" s="1">
        <v>41920</v>
      </c>
      <c r="B2574" s="1" t="s">
        <v>233</v>
      </c>
      <c r="C2574" s="1" t="s">
        <v>209</v>
      </c>
      <c r="D2574" s="2">
        <f t="shared" si="145"/>
        <v>2015</v>
      </c>
      <c r="E2574" s="2">
        <f t="shared" si="146"/>
        <v>6</v>
      </c>
      <c r="F2574" s="2"/>
      <c r="G2574" s="4">
        <v>42157</v>
      </c>
      <c r="H2574" s="1">
        <v>6600935</v>
      </c>
      <c r="I2574" s="1">
        <v>1626764</v>
      </c>
      <c r="J2574" s="1" t="s">
        <v>191</v>
      </c>
      <c r="K2574" s="1" t="s">
        <v>210</v>
      </c>
      <c r="L2574" s="1" t="str">
        <f t="shared" si="147"/>
        <v>Vallentunasjön Va2</v>
      </c>
      <c r="M2574" s="1" t="s">
        <v>212</v>
      </c>
      <c r="N2574" s="1">
        <v>2</v>
      </c>
      <c r="O2574" s="1">
        <v>2</v>
      </c>
      <c r="Q2574" s="1">
        <v>13.8</v>
      </c>
      <c r="R2574" s="1">
        <v>9.6</v>
      </c>
      <c r="S2574" s="1">
        <v>93</v>
      </c>
    </row>
    <row r="2575" spans="1:51" x14ac:dyDescent="0.3">
      <c r="A2575" s="1">
        <v>41921</v>
      </c>
      <c r="B2575" s="1" t="s">
        <v>233</v>
      </c>
      <c r="C2575" s="1" t="s">
        <v>209</v>
      </c>
      <c r="D2575" s="2">
        <f t="shared" si="145"/>
        <v>2015</v>
      </c>
      <c r="E2575" s="2">
        <f t="shared" si="146"/>
        <v>6</v>
      </c>
      <c r="F2575" s="2"/>
      <c r="G2575" s="4">
        <v>42157</v>
      </c>
      <c r="H2575" s="1">
        <v>6600935</v>
      </c>
      <c r="I2575" s="1">
        <v>1626764</v>
      </c>
      <c r="J2575" s="1" t="s">
        <v>191</v>
      </c>
      <c r="K2575" s="1" t="s">
        <v>210</v>
      </c>
      <c r="L2575" s="1" t="str">
        <f t="shared" si="147"/>
        <v>Vallentunasjön Va2</v>
      </c>
      <c r="M2575" s="1" t="s">
        <v>213</v>
      </c>
      <c r="N2575" s="1">
        <v>3</v>
      </c>
      <c r="O2575" s="1">
        <v>3</v>
      </c>
      <c r="Q2575" s="1">
        <v>13.8</v>
      </c>
      <c r="R2575" s="1">
        <v>9.8000000000000007</v>
      </c>
      <c r="S2575" s="1">
        <v>95</v>
      </c>
    </row>
    <row r="2576" spans="1:51" x14ac:dyDescent="0.3">
      <c r="A2576" s="1">
        <v>41922</v>
      </c>
      <c r="B2576" s="1" t="s">
        <v>233</v>
      </c>
      <c r="C2576" s="1" t="s">
        <v>209</v>
      </c>
      <c r="D2576" s="2">
        <f t="shared" si="145"/>
        <v>2015</v>
      </c>
      <c r="E2576" s="2">
        <f t="shared" si="146"/>
        <v>6</v>
      </c>
      <c r="F2576" s="2"/>
      <c r="G2576" s="4">
        <v>42157</v>
      </c>
      <c r="H2576" s="1">
        <v>6600935</v>
      </c>
      <c r="I2576" s="1">
        <v>1626764</v>
      </c>
      <c r="J2576" s="1" t="s">
        <v>191</v>
      </c>
      <c r="K2576" s="1" t="s">
        <v>210</v>
      </c>
      <c r="L2576" s="1" t="str">
        <f t="shared" si="147"/>
        <v>Vallentunasjön Va2</v>
      </c>
      <c r="M2576" s="1" t="s">
        <v>214</v>
      </c>
      <c r="N2576" s="1">
        <v>4</v>
      </c>
      <c r="O2576" s="1">
        <v>4</v>
      </c>
      <c r="Q2576" s="1">
        <v>13.8</v>
      </c>
      <c r="R2576" s="1">
        <v>10</v>
      </c>
      <c r="S2576" s="1">
        <v>97</v>
      </c>
    </row>
    <row r="2577" spans="1:51" x14ac:dyDescent="0.3">
      <c r="A2577" s="1">
        <v>41923</v>
      </c>
      <c r="B2577" s="1" t="s">
        <v>233</v>
      </c>
      <c r="C2577" s="1" t="s">
        <v>209</v>
      </c>
      <c r="D2577" s="2">
        <f t="shared" si="145"/>
        <v>2015</v>
      </c>
      <c r="E2577" s="2">
        <f t="shared" si="146"/>
        <v>6</v>
      </c>
      <c r="F2577" s="2"/>
      <c r="G2577" s="4">
        <v>42157</v>
      </c>
      <c r="H2577" s="1">
        <v>6600935</v>
      </c>
      <c r="I2577" s="1">
        <v>1626764</v>
      </c>
      <c r="J2577" s="1" t="s">
        <v>191</v>
      </c>
      <c r="K2577" s="1" t="s">
        <v>210</v>
      </c>
      <c r="L2577" s="1" t="str">
        <f t="shared" si="147"/>
        <v>Vallentunasjön Va2</v>
      </c>
      <c r="M2577" s="1" t="s">
        <v>184</v>
      </c>
      <c r="N2577" s="1">
        <v>4.5999999999999996</v>
      </c>
      <c r="O2577" s="1">
        <v>4.5999999999999996</v>
      </c>
      <c r="Q2577" s="1">
        <v>13.8</v>
      </c>
      <c r="R2577" s="1">
        <v>10</v>
      </c>
      <c r="S2577" s="1">
        <v>97</v>
      </c>
    </row>
    <row r="2578" spans="1:51" x14ac:dyDescent="0.3">
      <c r="A2578" s="1">
        <v>41924</v>
      </c>
      <c r="B2578" s="1" t="s">
        <v>233</v>
      </c>
      <c r="C2578" s="1" t="s">
        <v>209</v>
      </c>
      <c r="D2578" s="2">
        <f t="shared" si="145"/>
        <v>2015</v>
      </c>
      <c r="E2578" s="2">
        <f t="shared" si="146"/>
        <v>6</v>
      </c>
      <c r="F2578" s="2"/>
      <c r="G2578" s="4">
        <v>42157</v>
      </c>
      <c r="J2578" s="1" t="s">
        <v>191</v>
      </c>
      <c r="K2578" s="1" t="s">
        <v>206</v>
      </c>
      <c r="L2578" s="1" t="str">
        <f t="shared" si="147"/>
        <v>Vallentunasjön Blandprov</v>
      </c>
      <c r="M2578" s="1" t="s">
        <v>177</v>
      </c>
      <c r="N2578" s="1">
        <v>4</v>
      </c>
      <c r="O2578" s="1">
        <v>0</v>
      </c>
      <c r="W2578" s="1">
        <v>81.926699999999997</v>
      </c>
      <c r="Z2578" s="1">
        <v>0.14000000000000001</v>
      </c>
      <c r="AB2578" s="1">
        <v>32.833799999999997</v>
      </c>
      <c r="AD2578" s="1">
        <v>11.02</v>
      </c>
      <c r="AG2578" s="1">
        <v>24</v>
      </c>
      <c r="AK2578" s="1">
        <v>71.5</v>
      </c>
      <c r="AL2578" s="1">
        <v>1434.25</v>
      </c>
    </row>
    <row r="2579" spans="1:51" x14ac:dyDescent="0.3">
      <c r="A2579" s="1">
        <v>42128</v>
      </c>
      <c r="B2579" s="1" t="s">
        <v>233</v>
      </c>
      <c r="C2579" s="1" t="s">
        <v>209</v>
      </c>
      <c r="D2579" s="2">
        <f t="shared" si="145"/>
        <v>2015</v>
      </c>
      <c r="E2579" s="2">
        <f t="shared" si="146"/>
        <v>6</v>
      </c>
      <c r="F2579" s="2"/>
      <c r="G2579" s="4">
        <v>42164</v>
      </c>
      <c r="H2579" s="1">
        <v>6600935</v>
      </c>
      <c r="I2579" s="1">
        <v>1626764</v>
      </c>
      <c r="J2579" s="1" t="s">
        <v>191</v>
      </c>
      <c r="K2579" s="1" t="s">
        <v>210</v>
      </c>
      <c r="L2579" s="1" t="str">
        <f t="shared" si="147"/>
        <v>Vallentunasjön Va2</v>
      </c>
      <c r="M2579" s="1" t="s">
        <v>177</v>
      </c>
      <c r="N2579" s="1">
        <v>0.5</v>
      </c>
      <c r="O2579" s="1">
        <v>0.5</v>
      </c>
      <c r="P2579" s="1">
        <v>0.5</v>
      </c>
      <c r="Q2579" s="1">
        <v>16.8</v>
      </c>
      <c r="R2579" s="1">
        <v>9.9</v>
      </c>
      <c r="S2579" s="1">
        <v>101</v>
      </c>
    </row>
    <row r="2580" spans="1:51" x14ac:dyDescent="0.3">
      <c r="A2580" s="1">
        <v>42129</v>
      </c>
      <c r="B2580" s="1" t="s">
        <v>233</v>
      </c>
      <c r="C2580" s="1" t="s">
        <v>209</v>
      </c>
      <c r="D2580" s="2">
        <f t="shared" si="145"/>
        <v>2015</v>
      </c>
      <c r="E2580" s="2">
        <f t="shared" si="146"/>
        <v>6</v>
      </c>
      <c r="F2580" s="2"/>
      <c r="G2580" s="4">
        <v>42164</v>
      </c>
      <c r="H2580" s="1">
        <v>6600935</v>
      </c>
      <c r="I2580" s="1">
        <v>1626764</v>
      </c>
      <c r="J2580" s="1" t="s">
        <v>191</v>
      </c>
      <c r="K2580" s="1" t="s">
        <v>210</v>
      </c>
      <c r="L2580" s="1" t="str">
        <f t="shared" si="147"/>
        <v>Vallentunasjön Va2</v>
      </c>
      <c r="M2580" s="1" t="s">
        <v>211</v>
      </c>
      <c r="N2580" s="1">
        <v>1</v>
      </c>
      <c r="O2580" s="1">
        <v>1</v>
      </c>
      <c r="Q2580" s="1">
        <v>16.399999999999999</v>
      </c>
      <c r="R2580" s="1">
        <v>9.9</v>
      </c>
      <c r="S2580" s="1">
        <v>101</v>
      </c>
    </row>
    <row r="2581" spans="1:51" x14ac:dyDescent="0.3">
      <c r="A2581" s="1">
        <v>42130</v>
      </c>
      <c r="B2581" s="1" t="s">
        <v>233</v>
      </c>
      <c r="C2581" s="1" t="s">
        <v>209</v>
      </c>
      <c r="D2581" s="2">
        <f t="shared" si="145"/>
        <v>2015</v>
      </c>
      <c r="E2581" s="2">
        <f t="shared" si="146"/>
        <v>6</v>
      </c>
      <c r="F2581" s="2"/>
      <c r="G2581" s="4">
        <v>42164</v>
      </c>
      <c r="H2581" s="1">
        <v>6600935</v>
      </c>
      <c r="I2581" s="1">
        <v>1626764</v>
      </c>
      <c r="J2581" s="1" t="s">
        <v>191</v>
      </c>
      <c r="K2581" s="1" t="s">
        <v>210</v>
      </c>
      <c r="L2581" s="1" t="str">
        <f t="shared" si="147"/>
        <v>Vallentunasjön Va2</v>
      </c>
      <c r="M2581" s="1" t="s">
        <v>212</v>
      </c>
      <c r="N2581" s="1">
        <v>2</v>
      </c>
      <c r="O2581" s="1">
        <v>2</v>
      </c>
      <c r="Q2581" s="1">
        <v>15.8</v>
      </c>
      <c r="R2581" s="1">
        <v>9.8000000000000007</v>
      </c>
      <c r="S2581" s="1">
        <v>99</v>
      </c>
    </row>
    <row r="2582" spans="1:51" x14ac:dyDescent="0.3">
      <c r="A2582" s="1">
        <v>42131</v>
      </c>
      <c r="B2582" s="1" t="s">
        <v>233</v>
      </c>
      <c r="C2582" s="1" t="s">
        <v>209</v>
      </c>
      <c r="D2582" s="2">
        <f t="shared" si="145"/>
        <v>2015</v>
      </c>
      <c r="E2582" s="2">
        <f t="shared" si="146"/>
        <v>6</v>
      </c>
      <c r="F2582" s="2"/>
      <c r="G2582" s="4">
        <v>42164</v>
      </c>
      <c r="H2582" s="1">
        <v>6600935</v>
      </c>
      <c r="I2582" s="1">
        <v>1626764</v>
      </c>
      <c r="J2582" s="1" t="s">
        <v>191</v>
      </c>
      <c r="K2582" s="1" t="s">
        <v>210</v>
      </c>
      <c r="L2582" s="1" t="str">
        <f t="shared" si="147"/>
        <v>Vallentunasjön Va2</v>
      </c>
      <c r="M2582" s="1" t="s">
        <v>213</v>
      </c>
      <c r="N2582" s="1">
        <v>3</v>
      </c>
      <c r="O2582" s="1">
        <v>3</v>
      </c>
      <c r="Q2582" s="1">
        <v>15.2</v>
      </c>
      <c r="R2582" s="1">
        <v>9.1999999999999993</v>
      </c>
      <c r="S2582" s="1">
        <v>92</v>
      </c>
    </row>
    <row r="2583" spans="1:51" x14ac:dyDescent="0.3">
      <c r="A2583" s="1">
        <v>42132</v>
      </c>
      <c r="B2583" s="1" t="s">
        <v>233</v>
      </c>
      <c r="C2583" s="1" t="s">
        <v>209</v>
      </c>
      <c r="D2583" s="2">
        <f t="shared" si="145"/>
        <v>2015</v>
      </c>
      <c r="E2583" s="2">
        <f t="shared" si="146"/>
        <v>6</v>
      </c>
      <c r="F2583" s="2"/>
      <c r="G2583" s="4">
        <v>42164</v>
      </c>
      <c r="H2583" s="1">
        <v>6600935</v>
      </c>
      <c r="I2583" s="1">
        <v>1626764</v>
      </c>
      <c r="J2583" s="1" t="s">
        <v>191</v>
      </c>
      <c r="K2583" s="1" t="s">
        <v>210</v>
      </c>
      <c r="L2583" s="1" t="str">
        <f t="shared" si="147"/>
        <v>Vallentunasjön Va2</v>
      </c>
      <c r="M2583" s="1" t="s">
        <v>214</v>
      </c>
      <c r="N2583" s="1">
        <v>4</v>
      </c>
      <c r="O2583" s="1">
        <v>4</v>
      </c>
      <c r="Q2583" s="1">
        <v>14.7</v>
      </c>
      <c r="R2583" s="1">
        <v>8.6</v>
      </c>
      <c r="S2583" s="1">
        <v>84</v>
      </c>
    </row>
    <row r="2584" spans="1:51" x14ac:dyDescent="0.3">
      <c r="A2584" s="1">
        <v>42133</v>
      </c>
      <c r="B2584" s="1" t="s">
        <v>233</v>
      </c>
      <c r="C2584" s="1" t="s">
        <v>209</v>
      </c>
      <c r="D2584" s="2">
        <f t="shared" si="145"/>
        <v>2015</v>
      </c>
      <c r="E2584" s="2">
        <f t="shared" si="146"/>
        <v>6</v>
      </c>
      <c r="F2584" s="2"/>
      <c r="G2584" s="4">
        <v>42164</v>
      </c>
      <c r="H2584" s="1">
        <v>6600935</v>
      </c>
      <c r="I2584" s="1">
        <v>1626764</v>
      </c>
      <c r="J2584" s="1" t="s">
        <v>191</v>
      </c>
      <c r="K2584" s="1" t="s">
        <v>210</v>
      </c>
      <c r="L2584" s="1" t="str">
        <f t="shared" si="147"/>
        <v>Vallentunasjön Va2</v>
      </c>
      <c r="M2584" s="1" t="s">
        <v>184</v>
      </c>
      <c r="N2584" s="1">
        <v>4.5</v>
      </c>
      <c r="O2584" s="1">
        <v>4.5</v>
      </c>
      <c r="Q2584" s="1">
        <v>14.7</v>
      </c>
      <c r="R2584" s="1">
        <v>8.4</v>
      </c>
      <c r="S2584" s="1">
        <v>82</v>
      </c>
    </row>
    <row r="2585" spans="1:51" x14ac:dyDescent="0.3">
      <c r="A2585" s="1">
        <v>42134</v>
      </c>
      <c r="B2585" s="1" t="s">
        <v>233</v>
      </c>
      <c r="C2585" s="1" t="s">
        <v>209</v>
      </c>
      <c r="D2585" s="2">
        <f t="shared" si="145"/>
        <v>2015</v>
      </c>
      <c r="E2585" s="2">
        <f t="shared" si="146"/>
        <v>6</v>
      </c>
      <c r="F2585" s="2"/>
      <c r="G2585" s="4">
        <v>42164</v>
      </c>
      <c r="J2585" s="1" t="s">
        <v>191</v>
      </c>
      <c r="K2585" s="1" t="s">
        <v>206</v>
      </c>
      <c r="L2585" s="1" t="str">
        <f t="shared" si="147"/>
        <v>Vallentunasjön Blandprov</v>
      </c>
      <c r="M2585" s="1" t="s">
        <v>177</v>
      </c>
      <c r="N2585" s="1">
        <v>4</v>
      </c>
      <c r="O2585" s="1">
        <v>0</v>
      </c>
      <c r="W2585" s="1">
        <v>140.3338</v>
      </c>
      <c r="Z2585" s="1">
        <v>4.1399999999999997</v>
      </c>
      <c r="AB2585" s="1">
        <v>42.351599999999998</v>
      </c>
      <c r="AD2585" s="1">
        <v>18.989999999999998</v>
      </c>
      <c r="AG2585" s="1">
        <v>30.666666667000001</v>
      </c>
      <c r="AK2585" s="1">
        <v>104.943</v>
      </c>
      <c r="AL2585" s="1">
        <v>1587.25</v>
      </c>
    </row>
    <row r="2586" spans="1:51" x14ac:dyDescent="0.3">
      <c r="D2586" s="2">
        <f t="shared" si="145"/>
        <v>2015</v>
      </c>
      <c r="E2586" s="2">
        <f t="shared" si="146"/>
        <v>6</v>
      </c>
      <c r="F2586" s="3"/>
      <c r="G2586" s="4">
        <v>42170</v>
      </c>
      <c r="H2586" s="1">
        <v>6606238</v>
      </c>
      <c r="I2586" s="1">
        <v>661152</v>
      </c>
      <c r="J2586" s="5" t="s">
        <v>176</v>
      </c>
      <c r="K2586" s="1"/>
      <c r="L2586" s="1" t="str">
        <f t="shared" si="147"/>
        <v xml:space="preserve">Oxundaån </v>
      </c>
      <c r="M2586" s="1" t="s">
        <v>177</v>
      </c>
      <c r="N2586" s="1">
        <v>0.1</v>
      </c>
      <c r="O2586" s="1">
        <v>0.1</v>
      </c>
      <c r="Q2586" s="1">
        <v>16.899999999999999</v>
      </c>
      <c r="T2586" s="1">
        <v>45.7</v>
      </c>
      <c r="V2586" s="1">
        <v>2.4809999999999999</v>
      </c>
      <c r="W2586" s="1">
        <v>38</v>
      </c>
      <c r="X2586" s="1">
        <f>W2586 * (1/((10^((0.0901821 + (2729.92 /(273.15 + Q2586)))-AE2586)+1)))</f>
        <v>0.84706459834588743</v>
      </c>
      <c r="Y2586" s="1">
        <v>4.8000000000000001E-2</v>
      </c>
      <c r="Z2586" s="1">
        <v>2</v>
      </c>
      <c r="AA2586" s="1">
        <v>3.6</v>
      </c>
      <c r="AD2586" s="1">
        <v>5</v>
      </c>
      <c r="AE2586" s="1">
        <v>7.86</v>
      </c>
      <c r="AI2586" s="1">
        <v>11.3</v>
      </c>
      <c r="AK2586" s="1">
        <v>31.4</v>
      </c>
      <c r="AL2586" s="1">
        <v>722</v>
      </c>
      <c r="AR2586" s="1">
        <v>53</v>
      </c>
      <c r="AT2586" s="1">
        <v>5.1612</v>
      </c>
      <c r="AU2586" s="1">
        <v>8.3731999999999989</v>
      </c>
      <c r="AV2586" s="1">
        <v>37.116149999999998</v>
      </c>
      <c r="AW2586" s="1">
        <v>26.151599999999998</v>
      </c>
      <c r="AX2586" s="1">
        <v>46.320199999999993</v>
      </c>
      <c r="AY2586" s="1">
        <v>1.2</v>
      </c>
    </row>
    <row r="2587" spans="1:51" x14ac:dyDescent="0.3">
      <c r="A2587" s="1">
        <v>42883</v>
      </c>
      <c r="B2587" s="1" t="s">
        <v>233</v>
      </c>
      <c r="C2587" s="1" t="s">
        <v>209</v>
      </c>
      <c r="D2587" s="2">
        <f t="shared" si="145"/>
        <v>2015</v>
      </c>
      <c r="E2587" s="2">
        <f t="shared" si="146"/>
        <v>6</v>
      </c>
      <c r="F2587" s="2"/>
      <c r="G2587" s="4">
        <v>42178</v>
      </c>
      <c r="H2587" s="1">
        <v>6600935</v>
      </c>
      <c r="I2587" s="1">
        <v>1626764</v>
      </c>
      <c r="J2587" s="1" t="s">
        <v>191</v>
      </c>
      <c r="K2587" s="1" t="s">
        <v>210</v>
      </c>
      <c r="L2587" s="1" t="str">
        <f t="shared" si="147"/>
        <v>Vallentunasjön Va2</v>
      </c>
      <c r="M2587" s="1" t="s">
        <v>177</v>
      </c>
      <c r="N2587" s="1">
        <v>0.5</v>
      </c>
      <c r="O2587" s="1">
        <v>0.5</v>
      </c>
      <c r="P2587" s="1">
        <v>0.6</v>
      </c>
      <c r="Q2587" s="1">
        <v>18</v>
      </c>
      <c r="R2587" s="1">
        <v>8.5</v>
      </c>
      <c r="S2587" s="1">
        <v>91</v>
      </c>
    </row>
    <row r="2588" spans="1:51" x14ac:dyDescent="0.3">
      <c r="A2588" s="1">
        <v>42884</v>
      </c>
      <c r="B2588" s="1" t="s">
        <v>233</v>
      </c>
      <c r="C2588" s="1" t="s">
        <v>209</v>
      </c>
      <c r="D2588" s="2">
        <f t="shared" si="145"/>
        <v>2015</v>
      </c>
      <c r="E2588" s="2">
        <f t="shared" si="146"/>
        <v>6</v>
      </c>
      <c r="F2588" s="2"/>
      <c r="G2588" s="4">
        <v>42178</v>
      </c>
      <c r="H2588" s="1">
        <v>6600935</v>
      </c>
      <c r="I2588" s="1">
        <v>1626764</v>
      </c>
      <c r="J2588" s="1" t="s">
        <v>191</v>
      </c>
      <c r="K2588" s="1" t="s">
        <v>210</v>
      </c>
      <c r="L2588" s="1" t="str">
        <f t="shared" si="147"/>
        <v>Vallentunasjön Va2</v>
      </c>
      <c r="M2588" s="1" t="s">
        <v>211</v>
      </c>
      <c r="N2588" s="1">
        <v>1</v>
      </c>
      <c r="O2588" s="1">
        <v>1</v>
      </c>
      <c r="Q2588" s="1">
        <v>17.8</v>
      </c>
      <c r="R2588" s="1">
        <v>8.4</v>
      </c>
      <c r="S2588" s="1">
        <v>90</v>
      </c>
    </row>
    <row r="2589" spans="1:51" x14ac:dyDescent="0.3">
      <c r="A2589" s="1">
        <v>42885</v>
      </c>
      <c r="B2589" s="1" t="s">
        <v>233</v>
      </c>
      <c r="C2589" s="1" t="s">
        <v>209</v>
      </c>
      <c r="D2589" s="2">
        <f t="shared" si="145"/>
        <v>2015</v>
      </c>
      <c r="E2589" s="2">
        <f t="shared" si="146"/>
        <v>6</v>
      </c>
      <c r="F2589" s="2"/>
      <c r="G2589" s="4">
        <v>42178</v>
      </c>
      <c r="H2589" s="1">
        <v>6600935</v>
      </c>
      <c r="I2589" s="1">
        <v>1626764</v>
      </c>
      <c r="J2589" s="1" t="s">
        <v>191</v>
      </c>
      <c r="K2589" s="1" t="s">
        <v>210</v>
      </c>
      <c r="L2589" s="1" t="str">
        <f t="shared" si="147"/>
        <v>Vallentunasjön Va2</v>
      </c>
      <c r="M2589" s="1" t="s">
        <v>212</v>
      </c>
      <c r="N2589" s="1">
        <v>2</v>
      </c>
      <c r="O2589" s="1">
        <v>2</v>
      </c>
      <c r="Q2589" s="1">
        <v>17.399999999999999</v>
      </c>
      <c r="R2589" s="1">
        <v>7.3</v>
      </c>
      <c r="S2589" s="1">
        <v>77</v>
      </c>
    </row>
    <row r="2590" spans="1:51" x14ac:dyDescent="0.3">
      <c r="A2590" s="1">
        <v>42886</v>
      </c>
      <c r="B2590" s="1" t="s">
        <v>233</v>
      </c>
      <c r="C2590" s="1" t="s">
        <v>209</v>
      </c>
      <c r="D2590" s="2">
        <f t="shared" si="145"/>
        <v>2015</v>
      </c>
      <c r="E2590" s="2">
        <f t="shared" si="146"/>
        <v>6</v>
      </c>
      <c r="F2590" s="2"/>
      <c r="G2590" s="4">
        <v>42178</v>
      </c>
      <c r="H2590" s="1">
        <v>6600935</v>
      </c>
      <c r="I2590" s="1">
        <v>1626764</v>
      </c>
      <c r="J2590" s="1" t="s">
        <v>191</v>
      </c>
      <c r="K2590" s="1" t="s">
        <v>210</v>
      </c>
      <c r="L2590" s="1" t="str">
        <f t="shared" si="147"/>
        <v>Vallentunasjön Va2</v>
      </c>
      <c r="M2590" s="1" t="s">
        <v>213</v>
      </c>
      <c r="N2590" s="1">
        <v>3</v>
      </c>
      <c r="O2590" s="1">
        <v>3</v>
      </c>
      <c r="Q2590" s="1">
        <v>17.2</v>
      </c>
      <c r="R2590" s="1">
        <v>6.7</v>
      </c>
      <c r="S2590" s="1">
        <v>70</v>
      </c>
    </row>
    <row r="2591" spans="1:51" x14ac:dyDescent="0.3">
      <c r="A2591" s="1">
        <v>42887</v>
      </c>
      <c r="B2591" s="1" t="s">
        <v>233</v>
      </c>
      <c r="C2591" s="1" t="s">
        <v>209</v>
      </c>
      <c r="D2591" s="2">
        <f t="shared" si="145"/>
        <v>2015</v>
      </c>
      <c r="E2591" s="2">
        <f t="shared" si="146"/>
        <v>6</v>
      </c>
      <c r="F2591" s="2"/>
      <c r="G2591" s="4">
        <v>42178</v>
      </c>
      <c r="H2591" s="1">
        <v>6600935</v>
      </c>
      <c r="I2591" s="1">
        <v>1626764</v>
      </c>
      <c r="J2591" s="1" t="s">
        <v>191</v>
      </c>
      <c r="K2591" s="1" t="s">
        <v>210</v>
      </c>
      <c r="L2591" s="1" t="str">
        <f t="shared" si="147"/>
        <v>Vallentunasjön Va2</v>
      </c>
      <c r="M2591" s="1" t="s">
        <v>214</v>
      </c>
      <c r="N2591" s="1">
        <v>4</v>
      </c>
      <c r="O2591" s="1">
        <v>4</v>
      </c>
      <c r="Q2591" s="1">
        <v>16.399999999999999</v>
      </c>
      <c r="R2591" s="1">
        <v>1</v>
      </c>
      <c r="S2591" s="1">
        <v>10</v>
      </c>
    </row>
    <row r="2592" spans="1:51" x14ac:dyDescent="0.3">
      <c r="A2592" s="1">
        <v>42888</v>
      </c>
      <c r="B2592" s="1" t="s">
        <v>233</v>
      </c>
      <c r="C2592" s="1" t="s">
        <v>209</v>
      </c>
      <c r="D2592" s="2">
        <f t="shared" si="145"/>
        <v>2015</v>
      </c>
      <c r="E2592" s="2">
        <f t="shared" si="146"/>
        <v>6</v>
      </c>
      <c r="F2592" s="2"/>
      <c r="G2592" s="4">
        <v>42178</v>
      </c>
      <c r="H2592" s="1">
        <v>6600935</v>
      </c>
      <c r="I2592" s="1">
        <v>1626764</v>
      </c>
      <c r="J2592" s="1" t="s">
        <v>191</v>
      </c>
      <c r="K2592" s="1" t="s">
        <v>210</v>
      </c>
      <c r="L2592" s="1" t="str">
        <f t="shared" si="147"/>
        <v>Vallentunasjön Va2</v>
      </c>
      <c r="M2592" s="1" t="s">
        <v>184</v>
      </c>
      <c r="N2592" s="1">
        <v>4.5999999999999996</v>
      </c>
      <c r="O2592" s="1">
        <v>4.5999999999999996</v>
      </c>
      <c r="Q2592" s="1">
        <v>16.3</v>
      </c>
      <c r="R2592" s="1">
        <v>0.6</v>
      </c>
      <c r="S2592" s="1">
        <v>6</v>
      </c>
    </row>
    <row r="2593" spans="1:51" x14ac:dyDescent="0.3">
      <c r="A2593" s="1">
        <v>42889</v>
      </c>
      <c r="B2593" s="1" t="s">
        <v>233</v>
      </c>
      <c r="C2593" s="1" t="s">
        <v>209</v>
      </c>
      <c r="D2593" s="2">
        <f t="shared" si="145"/>
        <v>2015</v>
      </c>
      <c r="E2593" s="2">
        <f t="shared" si="146"/>
        <v>6</v>
      </c>
      <c r="F2593" s="2"/>
      <c r="G2593" s="4">
        <v>42178</v>
      </c>
      <c r="J2593" s="1" t="s">
        <v>191</v>
      </c>
      <c r="K2593" s="1" t="s">
        <v>206</v>
      </c>
      <c r="L2593" s="1" t="str">
        <f t="shared" si="147"/>
        <v>Vallentunasjön Blandprov</v>
      </c>
      <c r="M2593" s="1" t="s">
        <v>177</v>
      </c>
      <c r="N2593" s="1">
        <v>4</v>
      </c>
      <c r="O2593" s="1">
        <v>0</v>
      </c>
      <c r="W2593" s="1">
        <v>345.50290000000001</v>
      </c>
      <c r="Z2593" s="1">
        <v>2.71</v>
      </c>
      <c r="AB2593" s="1">
        <v>38.27655</v>
      </c>
      <c r="AD2593" s="1">
        <v>20.38</v>
      </c>
      <c r="AG2593" s="1">
        <v>21.333333332999999</v>
      </c>
      <c r="AK2593" s="1">
        <v>91.92</v>
      </c>
      <c r="AL2593" s="1">
        <v>1687.1</v>
      </c>
    </row>
    <row r="2594" spans="1:51" x14ac:dyDescent="0.3">
      <c r="A2594" s="1">
        <v>43148</v>
      </c>
      <c r="B2594" s="1" t="s">
        <v>233</v>
      </c>
      <c r="C2594" s="1" t="s">
        <v>209</v>
      </c>
      <c r="D2594" s="2">
        <f t="shared" si="145"/>
        <v>2015</v>
      </c>
      <c r="E2594" s="2">
        <f t="shared" si="146"/>
        <v>7</v>
      </c>
      <c r="F2594" s="3" t="s">
        <v>179</v>
      </c>
      <c r="G2594" s="4">
        <v>42187</v>
      </c>
      <c r="H2594" s="1">
        <v>6600935</v>
      </c>
      <c r="I2594" s="1">
        <v>1626764</v>
      </c>
      <c r="J2594" s="1" t="s">
        <v>191</v>
      </c>
      <c r="K2594" s="1" t="s">
        <v>210</v>
      </c>
      <c r="L2594" s="1" t="str">
        <f t="shared" si="147"/>
        <v>Vallentunasjön Va2</v>
      </c>
      <c r="M2594" s="1" t="s">
        <v>177</v>
      </c>
      <c r="N2594" s="1">
        <v>0.5</v>
      </c>
      <c r="O2594" s="1">
        <v>0.5</v>
      </c>
      <c r="P2594" s="1">
        <v>0.6</v>
      </c>
      <c r="Q2594" s="1">
        <v>21.4</v>
      </c>
      <c r="R2594" s="1">
        <v>16.5</v>
      </c>
      <c r="S2594" s="1">
        <v>184</v>
      </c>
    </row>
    <row r="2595" spans="1:51" x14ac:dyDescent="0.3">
      <c r="A2595" s="1">
        <v>43149</v>
      </c>
      <c r="B2595" s="1" t="s">
        <v>233</v>
      </c>
      <c r="C2595" s="1" t="s">
        <v>209</v>
      </c>
      <c r="D2595" s="2">
        <f t="shared" si="145"/>
        <v>2015</v>
      </c>
      <c r="E2595" s="2">
        <f t="shared" si="146"/>
        <v>7</v>
      </c>
      <c r="F2595" s="3" t="s">
        <v>179</v>
      </c>
      <c r="G2595" s="4">
        <v>42187</v>
      </c>
      <c r="H2595" s="1">
        <v>6600935</v>
      </c>
      <c r="I2595" s="1">
        <v>1626764</v>
      </c>
      <c r="J2595" s="1" t="s">
        <v>191</v>
      </c>
      <c r="K2595" s="1" t="s">
        <v>210</v>
      </c>
      <c r="L2595" s="1" t="str">
        <f t="shared" si="147"/>
        <v>Vallentunasjön Va2</v>
      </c>
      <c r="M2595" s="1" t="s">
        <v>211</v>
      </c>
      <c r="N2595" s="1">
        <v>1</v>
      </c>
      <c r="O2595" s="1">
        <v>1</v>
      </c>
      <c r="Q2595" s="1">
        <v>21.3</v>
      </c>
      <c r="R2595" s="1">
        <v>16.3</v>
      </c>
      <c r="S2595" s="1">
        <v>182</v>
      </c>
    </row>
    <row r="2596" spans="1:51" x14ac:dyDescent="0.3">
      <c r="A2596" s="1">
        <v>43150</v>
      </c>
      <c r="B2596" s="1" t="s">
        <v>233</v>
      </c>
      <c r="C2596" s="1" t="s">
        <v>209</v>
      </c>
      <c r="D2596" s="2">
        <f t="shared" si="145"/>
        <v>2015</v>
      </c>
      <c r="E2596" s="2">
        <f t="shared" si="146"/>
        <v>7</v>
      </c>
      <c r="F2596" s="3" t="s">
        <v>179</v>
      </c>
      <c r="G2596" s="4">
        <v>42187</v>
      </c>
      <c r="H2596" s="1">
        <v>6600935</v>
      </c>
      <c r="I2596" s="1">
        <v>1626764</v>
      </c>
      <c r="J2596" s="1" t="s">
        <v>191</v>
      </c>
      <c r="K2596" s="1" t="s">
        <v>210</v>
      </c>
      <c r="L2596" s="1" t="str">
        <f t="shared" si="147"/>
        <v>Vallentunasjön Va2</v>
      </c>
      <c r="M2596" s="1" t="s">
        <v>212</v>
      </c>
      <c r="N2596" s="1">
        <v>2</v>
      </c>
      <c r="O2596" s="1">
        <v>2</v>
      </c>
      <c r="Q2596" s="1">
        <v>20.399999999999999</v>
      </c>
      <c r="R2596" s="1">
        <v>12.4</v>
      </c>
      <c r="S2596" s="1">
        <v>127</v>
      </c>
    </row>
    <row r="2597" spans="1:51" x14ac:dyDescent="0.3">
      <c r="A2597" s="1">
        <v>43151</v>
      </c>
      <c r="B2597" s="1" t="s">
        <v>233</v>
      </c>
      <c r="C2597" s="1" t="s">
        <v>209</v>
      </c>
      <c r="D2597" s="2">
        <f t="shared" si="145"/>
        <v>2015</v>
      </c>
      <c r="E2597" s="2">
        <f t="shared" si="146"/>
        <v>7</v>
      </c>
      <c r="F2597" s="3" t="s">
        <v>179</v>
      </c>
      <c r="G2597" s="4">
        <v>42187</v>
      </c>
      <c r="H2597" s="1">
        <v>6600935</v>
      </c>
      <c r="I2597" s="1">
        <v>1626764</v>
      </c>
      <c r="J2597" s="1" t="s">
        <v>191</v>
      </c>
      <c r="K2597" s="1" t="s">
        <v>210</v>
      </c>
      <c r="L2597" s="1" t="str">
        <f t="shared" si="147"/>
        <v>Vallentunasjön Va2</v>
      </c>
      <c r="M2597" s="1" t="s">
        <v>213</v>
      </c>
      <c r="N2597" s="1">
        <v>3</v>
      </c>
      <c r="O2597" s="1">
        <v>3</v>
      </c>
      <c r="Q2597" s="1">
        <v>20</v>
      </c>
      <c r="R2597" s="1">
        <v>11.8</v>
      </c>
      <c r="S2597" s="1">
        <v>63</v>
      </c>
    </row>
    <row r="2598" spans="1:51" x14ac:dyDescent="0.3">
      <c r="A2598" s="1">
        <v>43152</v>
      </c>
      <c r="B2598" s="1" t="s">
        <v>233</v>
      </c>
      <c r="C2598" s="1" t="s">
        <v>209</v>
      </c>
      <c r="D2598" s="2">
        <f t="shared" si="145"/>
        <v>2015</v>
      </c>
      <c r="E2598" s="2">
        <f t="shared" si="146"/>
        <v>7</v>
      </c>
      <c r="F2598" s="3" t="s">
        <v>179</v>
      </c>
      <c r="G2598" s="4">
        <v>42187</v>
      </c>
      <c r="H2598" s="1">
        <v>6600935</v>
      </c>
      <c r="I2598" s="1">
        <v>1626764</v>
      </c>
      <c r="J2598" s="1" t="s">
        <v>191</v>
      </c>
      <c r="K2598" s="1" t="s">
        <v>210</v>
      </c>
      <c r="L2598" s="1" t="str">
        <f t="shared" si="147"/>
        <v>Vallentunasjön Va2</v>
      </c>
      <c r="M2598" s="1" t="s">
        <v>214</v>
      </c>
      <c r="N2598" s="1">
        <v>4</v>
      </c>
      <c r="O2598" s="1">
        <v>4</v>
      </c>
      <c r="Q2598" s="1">
        <v>19.2</v>
      </c>
      <c r="R2598" s="1">
        <v>5.9</v>
      </c>
      <c r="S2598" s="1">
        <v>39</v>
      </c>
    </row>
    <row r="2599" spans="1:51" x14ac:dyDescent="0.3">
      <c r="A2599" s="1">
        <v>43153</v>
      </c>
      <c r="B2599" s="1" t="s">
        <v>233</v>
      </c>
      <c r="C2599" s="1" t="s">
        <v>209</v>
      </c>
      <c r="D2599" s="2">
        <f t="shared" si="145"/>
        <v>2015</v>
      </c>
      <c r="E2599" s="2">
        <f t="shared" si="146"/>
        <v>7</v>
      </c>
      <c r="F2599" s="3" t="s">
        <v>179</v>
      </c>
      <c r="G2599" s="4">
        <v>42187</v>
      </c>
      <c r="H2599" s="1">
        <v>6600935</v>
      </c>
      <c r="I2599" s="1">
        <v>1626764</v>
      </c>
      <c r="J2599" s="1" t="s">
        <v>191</v>
      </c>
      <c r="K2599" s="1" t="s">
        <v>210</v>
      </c>
      <c r="L2599" s="1" t="str">
        <f t="shared" si="147"/>
        <v>Vallentunasjön Va2</v>
      </c>
      <c r="M2599" s="1" t="s">
        <v>184</v>
      </c>
      <c r="N2599" s="1">
        <v>4.5999999999999996</v>
      </c>
      <c r="O2599" s="1">
        <v>4.5999999999999996</v>
      </c>
      <c r="Q2599" s="1">
        <v>19.100000000000001</v>
      </c>
      <c r="R2599" s="1">
        <v>3.7</v>
      </c>
    </row>
    <row r="2600" spans="1:51" x14ac:dyDescent="0.3">
      <c r="A2600" s="1">
        <v>43154</v>
      </c>
      <c r="B2600" s="1" t="s">
        <v>233</v>
      </c>
      <c r="C2600" s="1" t="s">
        <v>209</v>
      </c>
      <c r="D2600" s="2">
        <f t="shared" si="145"/>
        <v>2015</v>
      </c>
      <c r="E2600" s="2">
        <f t="shared" si="146"/>
        <v>7</v>
      </c>
      <c r="F2600" s="3" t="s">
        <v>179</v>
      </c>
      <c r="G2600" s="4">
        <v>42187</v>
      </c>
      <c r="J2600" s="1" t="s">
        <v>191</v>
      </c>
      <c r="K2600" s="1" t="s">
        <v>206</v>
      </c>
      <c r="L2600" s="1" t="str">
        <f t="shared" si="147"/>
        <v>Vallentunasjön Blandprov</v>
      </c>
      <c r="M2600" s="1" t="s">
        <v>177</v>
      </c>
      <c r="N2600" s="1">
        <v>4</v>
      </c>
      <c r="O2600" s="1">
        <v>0</v>
      </c>
      <c r="W2600" s="1">
        <v>10.250500000000001</v>
      </c>
      <c r="Z2600" s="1">
        <v>7.92</v>
      </c>
      <c r="AB2600" s="1">
        <v>67.943700000000007</v>
      </c>
      <c r="AD2600" s="1">
        <v>3.24</v>
      </c>
      <c r="AG2600" s="1">
        <v>18.5</v>
      </c>
      <c r="AK2600" s="1">
        <v>79.91</v>
      </c>
      <c r="AL2600" s="1">
        <v>1533.51</v>
      </c>
    </row>
    <row r="2601" spans="1:51" x14ac:dyDescent="0.3">
      <c r="A2601" s="1">
        <v>43764</v>
      </c>
      <c r="B2601" s="1" t="s">
        <v>233</v>
      </c>
      <c r="C2601" s="1" t="s">
        <v>209</v>
      </c>
      <c r="D2601" s="2">
        <f t="shared" si="145"/>
        <v>2015</v>
      </c>
      <c r="E2601" s="2">
        <f t="shared" si="146"/>
        <v>7</v>
      </c>
      <c r="F2601" s="3" t="s">
        <v>179</v>
      </c>
      <c r="G2601" s="4">
        <v>42198</v>
      </c>
      <c r="H2601" s="1">
        <v>6600935</v>
      </c>
      <c r="I2601" s="1">
        <v>1626764</v>
      </c>
      <c r="J2601" s="1" t="s">
        <v>191</v>
      </c>
      <c r="K2601" s="1" t="s">
        <v>210</v>
      </c>
      <c r="L2601" s="1" t="str">
        <f t="shared" si="147"/>
        <v>Vallentunasjön Va2</v>
      </c>
      <c r="M2601" s="1" t="s">
        <v>177</v>
      </c>
      <c r="N2601" s="1">
        <v>0.5</v>
      </c>
      <c r="O2601" s="1">
        <v>0.5</v>
      </c>
      <c r="P2601" s="1">
        <v>0.6</v>
      </c>
      <c r="Q2601" s="1">
        <v>19.5</v>
      </c>
      <c r="R2601" s="1">
        <v>10.5</v>
      </c>
      <c r="S2601" s="1">
        <v>115</v>
      </c>
    </row>
    <row r="2602" spans="1:51" x14ac:dyDescent="0.3">
      <c r="A2602" s="1">
        <v>43765</v>
      </c>
      <c r="B2602" s="1" t="s">
        <v>233</v>
      </c>
      <c r="C2602" s="1" t="s">
        <v>209</v>
      </c>
      <c r="D2602" s="2">
        <f t="shared" si="145"/>
        <v>2015</v>
      </c>
      <c r="E2602" s="2">
        <f t="shared" si="146"/>
        <v>7</v>
      </c>
      <c r="F2602" s="3" t="s">
        <v>179</v>
      </c>
      <c r="G2602" s="4">
        <v>42198</v>
      </c>
      <c r="H2602" s="1">
        <v>6600935</v>
      </c>
      <c r="I2602" s="1">
        <v>1626764</v>
      </c>
      <c r="J2602" s="1" t="s">
        <v>191</v>
      </c>
      <c r="K2602" s="1" t="s">
        <v>210</v>
      </c>
      <c r="L2602" s="1" t="str">
        <f t="shared" si="147"/>
        <v>Vallentunasjön Va2</v>
      </c>
      <c r="M2602" s="1" t="s">
        <v>211</v>
      </c>
      <c r="N2602" s="1">
        <v>1</v>
      </c>
      <c r="O2602" s="1">
        <v>1</v>
      </c>
      <c r="Q2602" s="1">
        <v>19.399999999999999</v>
      </c>
      <c r="R2602" s="1">
        <v>10.199999999999999</v>
      </c>
      <c r="S2602" s="1">
        <v>111</v>
      </c>
    </row>
    <row r="2603" spans="1:51" x14ac:dyDescent="0.3">
      <c r="A2603" s="1">
        <v>43766</v>
      </c>
      <c r="B2603" s="1" t="s">
        <v>233</v>
      </c>
      <c r="C2603" s="1" t="s">
        <v>209</v>
      </c>
      <c r="D2603" s="2">
        <f t="shared" si="145"/>
        <v>2015</v>
      </c>
      <c r="E2603" s="2">
        <f t="shared" si="146"/>
        <v>7</v>
      </c>
      <c r="F2603" s="3" t="s">
        <v>179</v>
      </c>
      <c r="G2603" s="4">
        <v>42198</v>
      </c>
      <c r="H2603" s="1">
        <v>6600935</v>
      </c>
      <c r="I2603" s="1">
        <v>1626764</v>
      </c>
      <c r="J2603" s="1" t="s">
        <v>191</v>
      </c>
      <c r="K2603" s="1" t="s">
        <v>210</v>
      </c>
      <c r="L2603" s="1" t="str">
        <f t="shared" si="147"/>
        <v>Vallentunasjön Va2</v>
      </c>
      <c r="M2603" s="1" t="s">
        <v>212</v>
      </c>
      <c r="N2603" s="1">
        <v>2</v>
      </c>
      <c r="O2603" s="1">
        <v>2</v>
      </c>
      <c r="Q2603" s="1">
        <v>18.8</v>
      </c>
      <c r="R2603" s="1">
        <v>7.4</v>
      </c>
      <c r="S2603" s="1">
        <v>80</v>
      </c>
    </row>
    <row r="2604" spans="1:51" x14ac:dyDescent="0.3">
      <c r="A2604" s="1">
        <v>43767</v>
      </c>
      <c r="B2604" s="1" t="s">
        <v>233</v>
      </c>
      <c r="C2604" s="1" t="s">
        <v>209</v>
      </c>
      <c r="D2604" s="2">
        <f t="shared" si="145"/>
        <v>2015</v>
      </c>
      <c r="E2604" s="2">
        <f t="shared" si="146"/>
        <v>7</v>
      </c>
      <c r="F2604" s="3" t="s">
        <v>179</v>
      </c>
      <c r="G2604" s="4">
        <v>42198</v>
      </c>
      <c r="H2604" s="1">
        <v>6600935</v>
      </c>
      <c r="I2604" s="1">
        <v>1626764</v>
      </c>
      <c r="J2604" s="1" t="s">
        <v>191</v>
      </c>
      <c r="K2604" s="1" t="s">
        <v>210</v>
      </c>
      <c r="L2604" s="1" t="str">
        <f t="shared" si="147"/>
        <v>Vallentunasjön Va2</v>
      </c>
      <c r="M2604" s="1" t="s">
        <v>213</v>
      </c>
      <c r="N2604" s="1">
        <v>3</v>
      </c>
      <c r="O2604" s="1">
        <v>3</v>
      </c>
      <c r="Q2604" s="1">
        <v>18.8</v>
      </c>
      <c r="R2604" s="1">
        <v>7.2</v>
      </c>
      <c r="S2604" s="1">
        <v>78</v>
      </c>
    </row>
    <row r="2605" spans="1:51" x14ac:dyDescent="0.3">
      <c r="A2605" s="1">
        <v>43768</v>
      </c>
      <c r="B2605" s="1" t="s">
        <v>233</v>
      </c>
      <c r="C2605" s="1" t="s">
        <v>209</v>
      </c>
      <c r="D2605" s="2">
        <f t="shared" si="145"/>
        <v>2015</v>
      </c>
      <c r="E2605" s="2">
        <f t="shared" si="146"/>
        <v>7</v>
      </c>
      <c r="F2605" s="3" t="s">
        <v>179</v>
      </c>
      <c r="G2605" s="4">
        <v>42198</v>
      </c>
      <c r="H2605" s="1">
        <v>6600935</v>
      </c>
      <c r="I2605" s="1">
        <v>1626764</v>
      </c>
      <c r="J2605" s="1" t="s">
        <v>191</v>
      </c>
      <c r="K2605" s="1" t="s">
        <v>210</v>
      </c>
      <c r="L2605" s="1" t="str">
        <f t="shared" si="147"/>
        <v>Vallentunasjön Va2</v>
      </c>
      <c r="M2605" s="1" t="s">
        <v>214</v>
      </c>
      <c r="N2605" s="1">
        <v>4</v>
      </c>
      <c r="O2605" s="1">
        <v>4</v>
      </c>
      <c r="Q2605" s="1">
        <v>18.8</v>
      </c>
      <c r="R2605" s="1">
        <v>6.5</v>
      </c>
      <c r="S2605" s="1">
        <v>71</v>
      </c>
    </row>
    <row r="2606" spans="1:51" x14ac:dyDescent="0.3">
      <c r="A2606" s="1">
        <v>43769</v>
      </c>
      <c r="B2606" s="1" t="s">
        <v>233</v>
      </c>
      <c r="C2606" s="1" t="s">
        <v>209</v>
      </c>
      <c r="D2606" s="2">
        <f t="shared" si="145"/>
        <v>2015</v>
      </c>
      <c r="E2606" s="2">
        <f t="shared" si="146"/>
        <v>7</v>
      </c>
      <c r="F2606" s="3" t="s">
        <v>179</v>
      </c>
      <c r="G2606" s="4">
        <v>42198</v>
      </c>
      <c r="H2606" s="1">
        <v>6600935</v>
      </c>
      <c r="I2606" s="1">
        <v>1626764</v>
      </c>
      <c r="J2606" s="1" t="s">
        <v>191</v>
      </c>
      <c r="K2606" s="1" t="s">
        <v>210</v>
      </c>
      <c r="L2606" s="1" t="str">
        <f t="shared" si="147"/>
        <v>Vallentunasjön Va2</v>
      </c>
      <c r="M2606" s="1" t="s">
        <v>184</v>
      </c>
      <c r="N2606" s="1">
        <v>4.5</v>
      </c>
      <c r="O2606" s="1">
        <v>4.5</v>
      </c>
      <c r="Q2606" s="1">
        <v>18.7</v>
      </c>
      <c r="R2606" s="1">
        <v>5.5</v>
      </c>
      <c r="S2606" s="1">
        <v>59</v>
      </c>
    </row>
    <row r="2607" spans="1:51" x14ac:dyDescent="0.3">
      <c r="A2607" s="1">
        <v>43770</v>
      </c>
      <c r="B2607" s="1" t="s">
        <v>233</v>
      </c>
      <c r="C2607" s="1" t="s">
        <v>209</v>
      </c>
      <c r="D2607" s="2">
        <f t="shared" si="145"/>
        <v>2015</v>
      </c>
      <c r="E2607" s="2">
        <f t="shared" si="146"/>
        <v>7</v>
      </c>
      <c r="F2607" s="3" t="s">
        <v>179</v>
      </c>
      <c r="G2607" s="4">
        <v>42198</v>
      </c>
      <c r="J2607" s="1" t="s">
        <v>191</v>
      </c>
      <c r="K2607" s="1" t="s">
        <v>206</v>
      </c>
      <c r="L2607" s="1" t="str">
        <f t="shared" si="147"/>
        <v>Vallentunasjön Blandprov</v>
      </c>
      <c r="M2607" s="1" t="s">
        <v>177</v>
      </c>
      <c r="N2607" s="1">
        <v>4</v>
      </c>
      <c r="O2607" s="1">
        <v>0</v>
      </c>
      <c r="W2607" s="1">
        <v>18.071300000000001</v>
      </c>
      <c r="Z2607" s="1">
        <v>7.74</v>
      </c>
      <c r="AB2607" s="1">
        <v>59.812649999999998</v>
      </c>
      <c r="AD2607" s="1">
        <v>2.61</v>
      </c>
      <c r="AG2607" s="1">
        <v>21.5</v>
      </c>
      <c r="AK2607" s="1">
        <v>73.56</v>
      </c>
      <c r="AL2607" s="1">
        <v>1391.49</v>
      </c>
    </row>
    <row r="2608" spans="1:51" x14ac:dyDescent="0.3">
      <c r="D2608" s="2">
        <f t="shared" si="145"/>
        <v>2015</v>
      </c>
      <c r="E2608" s="2">
        <f t="shared" si="146"/>
        <v>7</v>
      </c>
      <c r="F2608" s="3" t="s">
        <v>179</v>
      </c>
      <c r="G2608" s="4">
        <v>42198</v>
      </c>
      <c r="H2608" s="1">
        <v>6606238</v>
      </c>
      <c r="I2608" s="1">
        <v>661152</v>
      </c>
      <c r="J2608" s="5" t="s">
        <v>176</v>
      </c>
      <c r="K2608" s="1"/>
      <c r="L2608" s="1" t="str">
        <f t="shared" si="147"/>
        <v xml:space="preserve">Oxundaån </v>
      </c>
      <c r="M2608" s="1" t="s">
        <v>177</v>
      </c>
      <c r="N2608" s="1">
        <v>0.2</v>
      </c>
      <c r="O2608" s="1">
        <v>0.2</v>
      </c>
      <c r="Q2608" s="1">
        <v>19.5</v>
      </c>
      <c r="T2608" s="1">
        <v>46.3</v>
      </c>
      <c r="V2608" s="1">
        <v>2.5289999999999999</v>
      </c>
      <c r="W2608" s="1">
        <v>131</v>
      </c>
      <c r="X2608" s="1">
        <f>W2608 * (1/((10^((0.0901821 + (2729.92 /(273.15 + Q2608)))-AE2608)+1)))</f>
        <v>2.7516524577344321</v>
      </c>
      <c r="Y2608" s="1">
        <v>4.3999999999999997E-2</v>
      </c>
      <c r="Z2608" s="1">
        <v>35</v>
      </c>
      <c r="AA2608" s="1">
        <v>2.6</v>
      </c>
      <c r="AB2608" s="1">
        <v>6.2</v>
      </c>
      <c r="AD2608" s="1">
        <v>16</v>
      </c>
      <c r="AE2608" s="1">
        <v>7.75</v>
      </c>
      <c r="AI2608" s="1">
        <v>10.3</v>
      </c>
      <c r="AK2608" s="1">
        <v>61.2</v>
      </c>
      <c r="AL2608" s="1">
        <v>766</v>
      </c>
      <c r="AR2608" s="1">
        <v>53.4</v>
      </c>
      <c r="AT2608" s="1">
        <v>5.1612</v>
      </c>
      <c r="AU2608" s="1">
        <v>8.8451000000000004</v>
      </c>
      <c r="AV2608" s="1">
        <v>37.435200000000002</v>
      </c>
      <c r="AW2608" s="1">
        <v>26.381</v>
      </c>
      <c r="AX2608" s="1">
        <v>45.791649999999997</v>
      </c>
      <c r="AY2608" s="1">
        <v>0.74</v>
      </c>
    </row>
    <row r="2609" spans="1:52" x14ac:dyDescent="0.3">
      <c r="A2609" s="1">
        <v>44354</v>
      </c>
      <c r="B2609" s="1" t="s">
        <v>233</v>
      </c>
      <c r="C2609" s="1" t="s">
        <v>209</v>
      </c>
      <c r="D2609" s="2">
        <f t="shared" si="145"/>
        <v>2015</v>
      </c>
      <c r="E2609" s="2">
        <f t="shared" si="146"/>
        <v>7</v>
      </c>
      <c r="F2609" s="3" t="s">
        <v>179</v>
      </c>
      <c r="G2609" s="4">
        <v>42212</v>
      </c>
      <c r="H2609" s="1">
        <v>6600935</v>
      </c>
      <c r="I2609" s="1">
        <v>1626764</v>
      </c>
      <c r="J2609" s="1" t="s">
        <v>191</v>
      </c>
      <c r="K2609" s="1" t="s">
        <v>210</v>
      </c>
      <c r="L2609" s="1" t="str">
        <f t="shared" si="147"/>
        <v>Vallentunasjön Va2</v>
      </c>
      <c r="M2609" s="1" t="s">
        <v>177</v>
      </c>
      <c r="N2609" s="1">
        <v>0.5</v>
      </c>
      <c r="O2609" s="1">
        <v>0.5</v>
      </c>
      <c r="P2609" s="1">
        <v>0.6</v>
      </c>
      <c r="Q2609" s="1">
        <v>18.5</v>
      </c>
      <c r="R2609" s="1">
        <v>9.1999999999999993</v>
      </c>
      <c r="S2609" s="1">
        <v>99</v>
      </c>
    </row>
    <row r="2610" spans="1:52" x14ac:dyDescent="0.3">
      <c r="A2610" s="1">
        <v>44355</v>
      </c>
      <c r="B2610" s="1" t="s">
        <v>233</v>
      </c>
      <c r="C2610" s="1" t="s">
        <v>209</v>
      </c>
      <c r="D2610" s="2">
        <f t="shared" si="145"/>
        <v>2015</v>
      </c>
      <c r="E2610" s="2">
        <f t="shared" si="146"/>
        <v>7</v>
      </c>
      <c r="F2610" s="3" t="s">
        <v>179</v>
      </c>
      <c r="G2610" s="4">
        <v>42212</v>
      </c>
      <c r="H2610" s="1">
        <v>6600935</v>
      </c>
      <c r="I2610" s="1">
        <v>1626764</v>
      </c>
      <c r="J2610" s="1" t="s">
        <v>191</v>
      </c>
      <c r="K2610" s="1" t="s">
        <v>210</v>
      </c>
      <c r="L2610" s="1" t="str">
        <f t="shared" si="147"/>
        <v>Vallentunasjön Va2</v>
      </c>
      <c r="M2610" s="1" t="s">
        <v>211</v>
      </c>
      <c r="N2610" s="1">
        <v>1</v>
      </c>
      <c r="O2610" s="1">
        <v>1</v>
      </c>
      <c r="Q2610" s="1">
        <v>18.5</v>
      </c>
      <c r="R2610" s="1">
        <v>9.1</v>
      </c>
      <c r="S2610" s="1">
        <v>98</v>
      </c>
    </row>
    <row r="2611" spans="1:52" x14ac:dyDescent="0.3">
      <c r="A2611" s="1">
        <v>44356</v>
      </c>
      <c r="B2611" s="1" t="s">
        <v>233</v>
      </c>
      <c r="C2611" s="1" t="s">
        <v>209</v>
      </c>
      <c r="D2611" s="2">
        <f t="shared" si="145"/>
        <v>2015</v>
      </c>
      <c r="E2611" s="2">
        <f t="shared" si="146"/>
        <v>7</v>
      </c>
      <c r="F2611" s="3" t="s">
        <v>179</v>
      </c>
      <c r="G2611" s="4">
        <v>42212</v>
      </c>
      <c r="H2611" s="1">
        <v>6600935</v>
      </c>
      <c r="I2611" s="1">
        <v>1626764</v>
      </c>
      <c r="J2611" s="1" t="s">
        <v>191</v>
      </c>
      <c r="K2611" s="1" t="s">
        <v>210</v>
      </c>
      <c r="L2611" s="1" t="str">
        <f t="shared" si="147"/>
        <v>Vallentunasjön Va2</v>
      </c>
      <c r="M2611" s="1" t="s">
        <v>212</v>
      </c>
      <c r="N2611" s="1">
        <v>2</v>
      </c>
      <c r="O2611" s="1">
        <v>2</v>
      </c>
      <c r="Q2611" s="1">
        <v>18.5</v>
      </c>
      <c r="R2611" s="1">
        <v>9.1</v>
      </c>
      <c r="S2611" s="1">
        <v>98</v>
      </c>
    </row>
    <row r="2612" spans="1:52" x14ac:dyDescent="0.3">
      <c r="A2612" s="1">
        <v>44357</v>
      </c>
      <c r="B2612" s="1" t="s">
        <v>233</v>
      </c>
      <c r="C2612" s="1" t="s">
        <v>209</v>
      </c>
      <c r="D2612" s="2">
        <f t="shared" si="145"/>
        <v>2015</v>
      </c>
      <c r="E2612" s="2">
        <f t="shared" si="146"/>
        <v>7</v>
      </c>
      <c r="F2612" s="3" t="s">
        <v>179</v>
      </c>
      <c r="G2612" s="4">
        <v>42212</v>
      </c>
      <c r="H2612" s="1">
        <v>6600935</v>
      </c>
      <c r="I2612" s="1">
        <v>1626764</v>
      </c>
      <c r="J2612" s="1" t="s">
        <v>191</v>
      </c>
      <c r="K2612" s="1" t="s">
        <v>210</v>
      </c>
      <c r="L2612" s="1" t="str">
        <f t="shared" si="147"/>
        <v>Vallentunasjön Va2</v>
      </c>
      <c r="M2612" s="1" t="s">
        <v>213</v>
      </c>
      <c r="N2612" s="1">
        <v>3</v>
      </c>
      <c r="O2612" s="1">
        <v>3</v>
      </c>
      <c r="Q2612" s="1">
        <v>18.5</v>
      </c>
      <c r="R2612" s="1">
        <v>9</v>
      </c>
      <c r="S2612" s="1">
        <v>97</v>
      </c>
    </row>
    <row r="2613" spans="1:52" x14ac:dyDescent="0.3">
      <c r="A2613" s="1">
        <v>44358</v>
      </c>
      <c r="B2613" s="1" t="s">
        <v>233</v>
      </c>
      <c r="C2613" s="1" t="s">
        <v>209</v>
      </c>
      <c r="D2613" s="2">
        <f t="shared" si="145"/>
        <v>2015</v>
      </c>
      <c r="E2613" s="2">
        <f t="shared" si="146"/>
        <v>7</v>
      </c>
      <c r="F2613" s="3" t="s">
        <v>179</v>
      </c>
      <c r="G2613" s="4">
        <v>42212</v>
      </c>
      <c r="H2613" s="1">
        <v>6600935</v>
      </c>
      <c r="I2613" s="1">
        <v>1626764</v>
      </c>
      <c r="J2613" s="1" t="s">
        <v>191</v>
      </c>
      <c r="K2613" s="1" t="s">
        <v>210</v>
      </c>
      <c r="L2613" s="1" t="str">
        <f t="shared" si="147"/>
        <v>Vallentunasjön Va2</v>
      </c>
      <c r="M2613" s="1" t="s">
        <v>214</v>
      </c>
      <c r="N2613" s="1">
        <v>4</v>
      </c>
      <c r="O2613" s="1">
        <v>4</v>
      </c>
      <c r="Q2613" s="1">
        <v>18.5</v>
      </c>
      <c r="R2613" s="1">
        <v>8.9</v>
      </c>
      <c r="S2613" s="1">
        <v>96</v>
      </c>
    </row>
    <row r="2614" spans="1:52" x14ac:dyDescent="0.3">
      <c r="A2614" s="1">
        <v>44359</v>
      </c>
      <c r="B2614" s="1" t="s">
        <v>233</v>
      </c>
      <c r="C2614" s="1" t="s">
        <v>209</v>
      </c>
      <c r="D2614" s="2">
        <f t="shared" si="145"/>
        <v>2015</v>
      </c>
      <c r="E2614" s="2">
        <f t="shared" si="146"/>
        <v>7</v>
      </c>
      <c r="F2614" s="3" t="s">
        <v>179</v>
      </c>
      <c r="G2614" s="4">
        <v>42212</v>
      </c>
      <c r="H2614" s="1">
        <v>6600935</v>
      </c>
      <c r="I2614" s="1">
        <v>1626764</v>
      </c>
      <c r="J2614" s="1" t="s">
        <v>191</v>
      </c>
      <c r="K2614" s="1" t="s">
        <v>210</v>
      </c>
      <c r="L2614" s="1" t="str">
        <f t="shared" si="147"/>
        <v>Vallentunasjön Va2</v>
      </c>
      <c r="M2614" s="1" t="s">
        <v>184</v>
      </c>
      <c r="N2614" s="1">
        <v>4.3</v>
      </c>
      <c r="O2614" s="1">
        <v>4.3</v>
      </c>
      <c r="Q2614" s="1">
        <v>18.5</v>
      </c>
      <c r="R2614" s="1">
        <v>8.9</v>
      </c>
      <c r="S2614" s="1">
        <v>96</v>
      </c>
    </row>
    <row r="2615" spans="1:52" x14ac:dyDescent="0.3">
      <c r="A2615" s="1">
        <v>44360</v>
      </c>
      <c r="B2615" s="1" t="s">
        <v>233</v>
      </c>
      <c r="C2615" s="1" t="s">
        <v>209</v>
      </c>
      <c r="D2615" s="2">
        <f t="shared" si="145"/>
        <v>2015</v>
      </c>
      <c r="E2615" s="2">
        <f t="shared" si="146"/>
        <v>7</v>
      </c>
      <c r="F2615" s="3" t="s">
        <v>179</v>
      </c>
      <c r="G2615" s="4">
        <v>42212</v>
      </c>
      <c r="J2615" s="1" t="s">
        <v>191</v>
      </c>
      <c r="K2615" s="1" t="s">
        <v>206</v>
      </c>
      <c r="L2615" s="1" t="str">
        <f t="shared" si="147"/>
        <v>Vallentunasjön Blandprov</v>
      </c>
      <c r="M2615" s="1" t="s">
        <v>177</v>
      </c>
      <c r="N2615" s="1">
        <v>4</v>
      </c>
      <c r="O2615" s="1">
        <v>0</v>
      </c>
      <c r="W2615" s="1">
        <v>6.4896000000000003</v>
      </c>
      <c r="Z2615" s="1">
        <v>0</v>
      </c>
      <c r="AB2615" s="1">
        <v>39.404879999999999</v>
      </c>
      <c r="AD2615" s="1">
        <v>0</v>
      </c>
      <c r="AG2615" s="1">
        <v>23.333333332999999</v>
      </c>
      <c r="AK2615" s="1">
        <v>81.16</v>
      </c>
      <c r="AL2615" s="1">
        <v>1342.35</v>
      </c>
    </row>
    <row r="2616" spans="1:52" x14ac:dyDescent="0.3">
      <c r="D2616" s="2">
        <f t="shared" si="145"/>
        <v>2015</v>
      </c>
      <c r="E2616" s="2">
        <f t="shared" si="146"/>
        <v>8</v>
      </c>
      <c r="F2616" s="3" t="s">
        <v>179</v>
      </c>
      <c r="G2616" s="4">
        <v>42226</v>
      </c>
      <c r="J2616" s="1" t="s">
        <v>181</v>
      </c>
      <c r="K2616" s="1"/>
      <c r="L2616" s="1" t="str">
        <f t="shared" si="147"/>
        <v xml:space="preserve">Fysingen </v>
      </c>
      <c r="M2616" s="1" t="s">
        <v>177</v>
      </c>
      <c r="N2616" s="1">
        <v>0.5</v>
      </c>
      <c r="O2616" s="1">
        <v>0.5</v>
      </c>
      <c r="P2616" s="1">
        <v>1.3</v>
      </c>
      <c r="Q2616" s="1">
        <v>20</v>
      </c>
      <c r="V2616" s="1">
        <v>2.1779999999999999</v>
      </c>
      <c r="W2616" s="1">
        <v>7</v>
      </c>
      <c r="X2616" s="1">
        <f>W2616 * (1/((10^((0.0901821 + (2729.92 /(273.15 + Q2616)))-AE2616)+1)))</f>
        <v>0.26649756098534927</v>
      </c>
      <c r="Y2616" s="1">
        <v>3.7999999999999999E-2</v>
      </c>
      <c r="Z2616" s="1">
        <v>2</v>
      </c>
      <c r="AA2616" s="1">
        <v>3.4</v>
      </c>
      <c r="AB2616" s="1">
        <v>7</v>
      </c>
      <c r="AC2616" s="1">
        <v>48.3</v>
      </c>
      <c r="AD2616" s="1">
        <v>1.5</v>
      </c>
      <c r="AE2616" s="1">
        <v>8</v>
      </c>
      <c r="AI2616" s="1">
        <v>10</v>
      </c>
      <c r="AK2616" s="1">
        <v>17.100000000000001</v>
      </c>
      <c r="AL2616" s="1">
        <v>617</v>
      </c>
      <c r="AR2616" s="1">
        <v>54.2</v>
      </c>
      <c r="AS2616" s="1">
        <v>5.7000000000000002E-2</v>
      </c>
      <c r="AT2616" s="1">
        <v>5.3567000000000009</v>
      </c>
      <c r="AU2616" s="1">
        <v>10.7811</v>
      </c>
      <c r="AV2616" s="1">
        <v>33.854750000000003</v>
      </c>
      <c r="AW2616" s="1">
        <v>24.775200000000002</v>
      </c>
      <c r="AX2616" s="1">
        <v>78.898099999999985</v>
      </c>
      <c r="AY2616" s="1">
        <v>0.79</v>
      </c>
      <c r="AZ2616" s="1">
        <v>86</v>
      </c>
    </row>
    <row r="2617" spans="1:52" x14ac:dyDescent="0.3">
      <c r="A2617" s="1">
        <v>44882</v>
      </c>
      <c r="B2617" s="1" t="s">
        <v>233</v>
      </c>
      <c r="C2617" s="1" t="s">
        <v>209</v>
      </c>
      <c r="D2617" s="2">
        <f t="shared" si="145"/>
        <v>2015</v>
      </c>
      <c r="E2617" s="2">
        <f t="shared" si="146"/>
        <v>8</v>
      </c>
      <c r="F2617" s="3" t="s">
        <v>179</v>
      </c>
      <c r="G2617" s="4">
        <v>42227</v>
      </c>
      <c r="H2617" s="1">
        <v>6600935</v>
      </c>
      <c r="I2617" s="1">
        <v>1626764</v>
      </c>
      <c r="J2617" s="1" t="s">
        <v>191</v>
      </c>
      <c r="K2617" s="1" t="s">
        <v>210</v>
      </c>
      <c r="L2617" s="1" t="str">
        <f t="shared" si="147"/>
        <v>Vallentunasjön Va2</v>
      </c>
      <c r="M2617" s="1" t="s">
        <v>177</v>
      </c>
      <c r="N2617" s="1">
        <v>0.5</v>
      </c>
      <c r="O2617" s="1">
        <v>0.5</v>
      </c>
      <c r="P2617" s="1">
        <v>0.8</v>
      </c>
      <c r="Q2617" s="1">
        <v>21.5</v>
      </c>
      <c r="R2617" s="1">
        <v>9.5</v>
      </c>
      <c r="S2617" s="1">
        <v>106</v>
      </c>
    </row>
    <row r="2618" spans="1:52" x14ac:dyDescent="0.3">
      <c r="A2618" s="1">
        <v>44883</v>
      </c>
      <c r="B2618" s="1" t="s">
        <v>233</v>
      </c>
      <c r="C2618" s="1" t="s">
        <v>209</v>
      </c>
      <c r="D2618" s="2">
        <f t="shared" si="145"/>
        <v>2015</v>
      </c>
      <c r="E2618" s="2">
        <f t="shared" si="146"/>
        <v>8</v>
      </c>
      <c r="F2618" s="3" t="s">
        <v>179</v>
      </c>
      <c r="G2618" s="4">
        <v>42227</v>
      </c>
      <c r="H2618" s="1">
        <v>6600935</v>
      </c>
      <c r="I2618" s="1">
        <v>1626764</v>
      </c>
      <c r="J2618" s="1" t="s">
        <v>191</v>
      </c>
      <c r="K2618" s="1" t="s">
        <v>210</v>
      </c>
      <c r="L2618" s="1" t="str">
        <f t="shared" si="147"/>
        <v>Vallentunasjön Va2</v>
      </c>
      <c r="M2618" s="1" t="s">
        <v>211</v>
      </c>
      <c r="N2618" s="1">
        <v>1</v>
      </c>
      <c r="O2618" s="1">
        <v>1</v>
      </c>
      <c r="Q2618" s="1">
        <v>21.5</v>
      </c>
      <c r="R2618" s="1">
        <v>9.5</v>
      </c>
      <c r="S2618" s="1">
        <v>106</v>
      </c>
    </row>
    <row r="2619" spans="1:52" x14ac:dyDescent="0.3">
      <c r="A2619" s="1">
        <v>44884</v>
      </c>
      <c r="B2619" s="1" t="s">
        <v>233</v>
      </c>
      <c r="C2619" s="1" t="s">
        <v>209</v>
      </c>
      <c r="D2619" s="2">
        <f t="shared" si="145"/>
        <v>2015</v>
      </c>
      <c r="E2619" s="2">
        <f t="shared" si="146"/>
        <v>8</v>
      </c>
      <c r="F2619" s="3" t="s">
        <v>179</v>
      </c>
      <c r="G2619" s="4">
        <v>42227</v>
      </c>
      <c r="H2619" s="1">
        <v>6600935</v>
      </c>
      <c r="I2619" s="1">
        <v>1626764</v>
      </c>
      <c r="J2619" s="1" t="s">
        <v>191</v>
      </c>
      <c r="K2619" s="1" t="s">
        <v>210</v>
      </c>
      <c r="L2619" s="1" t="str">
        <f t="shared" si="147"/>
        <v>Vallentunasjön Va2</v>
      </c>
      <c r="M2619" s="1" t="s">
        <v>212</v>
      </c>
      <c r="N2619" s="1">
        <v>2</v>
      </c>
      <c r="O2619" s="1">
        <v>2</v>
      </c>
      <c r="Q2619" s="1">
        <v>21.5</v>
      </c>
      <c r="R2619" s="1">
        <v>9.3000000000000007</v>
      </c>
      <c r="S2619" s="1">
        <v>104</v>
      </c>
    </row>
    <row r="2620" spans="1:52" x14ac:dyDescent="0.3">
      <c r="A2620" s="1">
        <v>44885</v>
      </c>
      <c r="B2620" s="1" t="s">
        <v>233</v>
      </c>
      <c r="C2620" s="1" t="s">
        <v>209</v>
      </c>
      <c r="D2620" s="2">
        <f t="shared" si="145"/>
        <v>2015</v>
      </c>
      <c r="E2620" s="2">
        <f t="shared" si="146"/>
        <v>8</v>
      </c>
      <c r="F2620" s="3" t="s">
        <v>179</v>
      </c>
      <c r="G2620" s="4">
        <v>42227</v>
      </c>
      <c r="H2620" s="1">
        <v>6600935</v>
      </c>
      <c r="I2620" s="1">
        <v>1626764</v>
      </c>
      <c r="J2620" s="1" t="s">
        <v>191</v>
      </c>
      <c r="K2620" s="1" t="s">
        <v>210</v>
      </c>
      <c r="L2620" s="1" t="str">
        <f t="shared" si="147"/>
        <v>Vallentunasjön Va2</v>
      </c>
      <c r="M2620" s="1" t="s">
        <v>213</v>
      </c>
      <c r="N2620" s="1">
        <v>3</v>
      </c>
      <c r="O2620" s="1">
        <v>3</v>
      </c>
      <c r="Q2620" s="1">
        <v>21</v>
      </c>
      <c r="R2620" s="1">
        <v>6.3</v>
      </c>
      <c r="S2620" s="1">
        <v>70</v>
      </c>
    </row>
    <row r="2621" spans="1:52" x14ac:dyDescent="0.3">
      <c r="A2621" s="1">
        <v>44886</v>
      </c>
      <c r="B2621" s="1" t="s">
        <v>233</v>
      </c>
      <c r="C2621" s="1" t="s">
        <v>209</v>
      </c>
      <c r="D2621" s="2">
        <f t="shared" si="145"/>
        <v>2015</v>
      </c>
      <c r="E2621" s="2">
        <f t="shared" si="146"/>
        <v>8</v>
      </c>
      <c r="F2621" s="3" t="s">
        <v>179</v>
      </c>
      <c r="G2621" s="4">
        <v>42227</v>
      </c>
      <c r="H2621" s="1">
        <v>6600935</v>
      </c>
      <c r="I2621" s="1">
        <v>1626764</v>
      </c>
      <c r="J2621" s="1" t="s">
        <v>191</v>
      </c>
      <c r="K2621" s="1" t="s">
        <v>210</v>
      </c>
      <c r="L2621" s="1" t="str">
        <f t="shared" si="147"/>
        <v>Vallentunasjön Va2</v>
      </c>
      <c r="M2621" s="1" t="s">
        <v>214</v>
      </c>
      <c r="N2621" s="1">
        <v>4</v>
      </c>
      <c r="O2621" s="1">
        <v>4</v>
      </c>
      <c r="Q2621" s="1">
        <v>20.3</v>
      </c>
      <c r="R2621" s="1">
        <v>3.3</v>
      </c>
      <c r="S2621" s="1">
        <v>36</v>
      </c>
    </row>
    <row r="2622" spans="1:52" x14ac:dyDescent="0.3">
      <c r="A2622" s="1">
        <v>44887</v>
      </c>
      <c r="B2622" s="1" t="s">
        <v>233</v>
      </c>
      <c r="C2622" s="1" t="s">
        <v>209</v>
      </c>
      <c r="D2622" s="2">
        <f t="shared" si="145"/>
        <v>2015</v>
      </c>
      <c r="E2622" s="2">
        <f t="shared" si="146"/>
        <v>8</v>
      </c>
      <c r="F2622" s="3" t="s">
        <v>179</v>
      </c>
      <c r="G2622" s="4">
        <v>42227</v>
      </c>
      <c r="H2622" s="1">
        <v>6600935</v>
      </c>
      <c r="I2622" s="1">
        <v>1626764</v>
      </c>
      <c r="J2622" s="1" t="s">
        <v>191</v>
      </c>
      <c r="K2622" s="1" t="s">
        <v>210</v>
      </c>
      <c r="L2622" s="1" t="str">
        <f t="shared" si="147"/>
        <v>Vallentunasjön Va2</v>
      </c>
      <c r="M2622" s="1" t="s">
        <v>184</v>
      </c>
      <c r="N2622" s="1">
        <v>4.4000000000000004</v>
      </c>
      <c r="O2622" s="1">
        <v>4.4000000000000004</v>
      </c>
      <c r="Q2622" s="1">
        <v>20</v>
      </c>
      <c r="R2622" s="1">
        <v>1.4</v>
      </c>
      <c r="S2622" s="1">
        <v>15</v>
      </c>
    </row>
    <row r="2623" spans="1:52" x14ac:dyDescent="0.3">
      <c r="A2623" s="1">
        <v>44888</v>
      </c>
      <c r="B2623" s="1" t="s">
        <v>233</v>
      </c>
      <c r="C2623" s="1" t="s">
        <v>209</v>
      </c>
      <c r="D2623" s="2">
        <f t="shared" si="145"/>
        <v>2015</v>
      </c>
      <c r="E2623" s="2">
        <f t="shared" si="146"/>
        <v>8</v>
      </c>
      <c r="F2623" s="3" t="s">
        <v>179</v>
      </c>
      <c r="G2623" s="4">
        <v>42227</v>
      </c>
      <c r="J2623" s="1" t="s">
        <v>191</v>
      </c>
      <c r="K2623" s="1" t="s">
        <v>206</v>
      </c>
      <c r="L2623" s="1" t="str">
        <f t="shared" si="147"/>
        <v>Vallentunasjön Blandprov</v>
      </c>
      <c r="M2623" s="1" t="s">
        <v>177</v>
      </c>
      <c r="N2623" s="1">
        <v>4</v>
      </c>
      <c r="O2623" s="1">
        <v>0</v>
      </c>
      <c r="W2623" s="1">
        <v>4.4741</v>
      </c>
      <c r="Z2623" s="1">
        <v>0.33</v>
      </c>
      <c r="AB2623" s="1">
        <v>22.602599999999999</v>
      </c>
      <c r="AD2623" s="1">
        <v>0.51</v>
      </c>
      <c r="AG2623" s="1">
        <v>12.5</v>
      </c>
      <c r="AK2623" s="1">
        <v>44.9</v>
      </c>
      <c r="AL2623" s="1">
        <v>1093.2650000000001</v>
      </c>
    </row>
    <row r="2624" spans="1:52" x14ac:dyDescent="0.3">
      <c r="A2624" s="6">
        <v>46431</v>
      </c>
      <c r="B2624" s="5" t="s">
        <v>235</v>
      </c>
      <c r="C2624" s="5" t="s">
        <v>236</v>
      </c>
      <c r="D2624" s="2">
        <f t="shared" si="145"/>
        <v>2015</v>
      </c>
      <c r="E2624" s="2">
        <f t="shared" si="146"/>
        <v>8</v>
      </c>
      <c r="F2624" s="3" t="s">
        <v>179</v>
      </c>
      <c r="G2624" s="7">
        <v>42228</v>
      </c>
      <c r="H2624" s="6">
        <v>6594899</v>
      </c>
      <c r="I2624" s="6">
        <v>1622837</v>
      </c>
      <c r="J2624" s="5" t="s">
        <v>192</v>
      </c>
      <c r="K2624" s="6">
        <v>1</v>
      </c>
      <c r="L2624" s="1" t="str">
        <f t="shared" si="147"/>
        <v>Väsjön 1</v>
      </c>
      <c r="M2624" s="1" t="s">
        <v>177</v>
      </c>
      <c r="AA2624" s="6">
        <v>0.6</v>
      </c>
    </row>
    <row r="2625" spans="1:91" x14ac:dyDescent="0.3">
      <c r="A2625" s="6">
        <v>46432</v>
      </c>
      <c r="B2625" s="5" t="s">
        <v>235</v>
      </c>
      <c r="C2625" s="5" t="s">
        <v>236</v>
      </c>
      <c r="D2625" s="2">
        <f t="shared" si="145"/>
        <v>2015</v>
      </c>
      <c r="E2625" s="2">
        <f t="shared" si="146"/>
        <v>8</v>
      </c>
      <c r="F2625" s="3" t="s">
        <v>179</v>
      </c>
      <c r="G2625" s="7">
        <v>42228</v>
      </c>
      <c r="H2625" s="6">
        <v>6594981</v>
      </c>
      <c r="I2625" s="6">
        <v>1622940</v>
      </c>
      <c r="J2625" s="5" t="s">
        <v>192</v>
      </c>
      <c r="K2625" s="6">
        <v>2</v>
      </c>
      <c r="L2625" s="1" t="str">
        <f t="shared" si="147"/>
        <v>Väsjön 2</v>
      </c>
      <c r="M2625" s="1" t="s">
        <v>177</v>
      </c>
    </row>
    <row r="2626" spans="1:91" x14ac:dyDescent="0.3">
      <c r="A2626" s="6">
        <v>46433</v>
      </c>
      <c r="B2626" s="5" t="s">
        <v>235</v>
      </c>
      <c r="C2626" s="5" t="s">
        <v>236</v>
      </c>
      <c r="D2626" s="2">
        <f t="shared" ref="D2626:D2689" si="148">YEAR(G2626)</f>
        <v>2015</v>
      </c>
      <c r="E2626" s="2">
        <f t="shared" ref="E2626:E2689" si="149">MONTH(G2626)</f>
        <v>8</v>
      </c>
      <c r="F2626" s="3" t="s">
        <v>179</v>
      </c>
      <c r="G2626" s="7">
        <v>42228</v>
      </c>
      <c r="H2626" s="6">
        <v>6594875</v>
      </c>
      <c r="I2626" s="6">
        <v>1623052</v>
      </c>
      <c r="J2626" s="5" t="s">
        <v>192</v>
      </c>
      <c r="K2626" s="6">
        <v>3</v>
      </c>
      <c r="L2626" s="1" t="str">
        <f t="shared" ref="L2626:L2689" si="150">CONCATENATE(J2626," ",K2626)</f>
        <v>Väsjön 3</v>
      </c>
      <c r="M2626" s="1" t="s">
        <v>177</v>
      </c>
      <c r="AA2626" s="6">
        <v>0.7</v>
      </c>
    </row>
    <row r="2627" spans="1:91" x14ac:dyDescent="0.3">
      <c r="A2627" s="6">
        <v>45979</v>
      </c>
      <c r="B2627" s="5" t="s">
        <v>234</v>
      </c>
      <c r="C2627" s="5" t="s">
        <v>231</v>
      </c>
      <c r="D2627" s="2">
        <f t="shared" si="148"/>
        <v>2015</v>
      </c>
      <c r="E2627" s="2">
        <f t="shared" si="149"/>
        <v>8</v>
      </c>
      <c r="F2627" s="3" t="s">
        <v>179</v>
      </c>
      <c r="G2627" s="7">
        <v>42228</v>
      </c>
      <c r="H2627" s="6">
        <v>6606035</v>
      </c>
      <c r="I2627" s="6">
        <v>1615620</v>
      </c>
      <c r="J2627" s="5" t="s">
        <v>187</v>
      </c>
      <c r="K2627" s="1"/>
      <c r="L2627" s="1" t="str">
        <f t="shared" si="150"/>
        <v xml:space="preserve">Oxundasjön </v>
      </c>
      <c r="M2627" s="1" t="s">
        <v>177</v>
      </c>
      <c r="N2627" s="6">
        <v>0.5</v>
      </c>
      <c r="O2627" s="6">
        <v>0.5</v>
      </c>
      <c r="P2627" s="6">
        <v>2.9</v>
      </c>
      <c r="Q2627" s="6">
        <v>21</v>
      </c>
      <c r="R2627" s="6">
        <v>10</v>
      </c>
      <c r="S2627" s="6">
        <v>111</v>
      </c>
      <c r="V2627" s="6">
        <v>2.5294499999999998</v>
      </c>
      <c r="W2627" s="6">
        <v>12.953099999999999</v>
      </c>
      <c r="X2627" s="1">
        <f>W2627 * (1/((10^((0.0901821 + (2729.92 /(273.15 + Q2627)))-AE2627)+1)))</f>
        <v>0.80122427223632819</v>
      </c>
      <c r="Y2627" s="6">
        <v>5.2999999999999999E-2</v>
      </c>
      <c r="Z2627" s="6">
        <v>8.77</v>
      </c>
      <c r="AA2627" s="6">
        <v>2.2999999999999998</v>
      </c>
      <c r="AB2627" s="6">
        <v>11.69586</v>
      </c>
      <c r="AD2627" s="6">
        <v>0</v>
      </c>
      <c r="AE2627" s="6">
        <v>8.19</v>
      </c>
      <c r="AK2627" s="6">
        <v>38.659999999999997</v>
      </c>
      <c r="AL2627" s="6">
        <v>778.46500000000003</v>
      </c>
      <c r="AM2627" s="6"/>
      <c r="AN2627" s="6"/>
      <c r="AO2627" s="6"/>
      <c r="AP2627" s="6"/>
      <c r="AQ2627" s="6"/>
    </row>
    <row r="2628" spans="1:91" x14ac:dyDescent="0.3">
      <c r="A2628" s="6">
        <v>46253</v>
      </c>
      <c r="B2628" s="5" t="s">
        <v>234</v>
      </c>
      <c r="C2628" s="5" t="s">
        <v>231</v>
      </c>
      <c r="D2628" s="2">
        <f t="shared" si="148"/>
        <v>2015</v>
      </c>
      <c r="E2628" s="2">
        <f t="shared" si="149"/>
        <v>8</v>
      </c>
      <c r="F2628" s="3" t="s">
        <v>179</v>
      </c>
      <c r="G2628" s="7">
        <v>42228</v>
      </c>
      <c r="H2628" s="6">
        <v>6606035</v>
      </c>
      <c r="I2628" s="6">
        <v>1615620</v>
      </c>
      <c r="J2628" s="5" t="s">
        <v>187</v>
      </c>
      <c r="K2628" s="1"/>
      <c r="L2628" s="1" t="str">
        <f t="shared" si="150"/>
        <v xml:space="preserve">Oxundasjön </v>
      </c>
      <c r="M2628" s="5" t="s">
        <v>211</v>
      </c>
      <c r="N2628" s="6">
        <v>1</v>
      </c>
      <c r="O2628" s="6">
        <v>1</v>
      </c>
      <c r="Q2628" s="6">
        <v>21</v>
      </c>
      <c r="R2628" s="6">
        <v>10</v>
      </c>
      <c r="S2628" s="6">
        <v>111</v>
      </c>
    </row>
    <row r="2629" spans="1:91" x14ac:dyDescent="0.3">
      <c r="A2629" s="6">
        <v>46254</v>
      </c>
      <c r="B2629" s="5" t="s">
        <v>234</v>
      </c>
      <c r="C2629" s="5" t="s">
        <v>231</v>
      </c>
      <c r="D2629" s="2">
        <f t="shared" si="148"/>
        <v>2015</v>
      </c>
      <c r="E2629" s="2">
        <f t="shared" si="149"/>
        <v>8</v>
      </c>
      <c r="F2629" s="3" t="s">
        <v>179</v>
      </c>
      <c r="G2629" s="7">
        <v>42228</v>
      </c>
      <c r="H2629" s="6">
        <v>6606035</v>
      </c>
      <c r="I2629" s="6">
        <v>1615620</v>
      </c>
      <c r="J2629" s="5" t="s">
        <v>187</v>
      </c>
      <c r="K2629" s="1"/>
      <c r="L2629" s="1" t="str">
        <f t="shared" si="150"/>
        <v xml:space="preserve">Oxundasjön </v>
      </c>
      <c r="M2629" s="5" t="s">
        <v>212</v>
      </c>
      <c r="N2629" s="6">
        <v>2</v>
      </c>
      <c r="O2629" s="6">
        <v>2</v>
      </c>
      <c r="Q2629" s="6">
        <v>20.6</v>
      </c>
      <c r="R2629" s="6">
        <v>8.1999999999999993</v>
      </c>
      <c r="S2629" s="6">
        <v>91</v>
      </c>
    </row>
    <row r="2630" spans="1:91" x14ac:dyDescent="0.3">
      <c r="A2630" s="6">
        <v>46255</v>
      </c>
      <c r="B2630" s="5" t="s">
        <v>234</v>
      </c>
      <c r="C2630" s="5" t="s">
        <v>231</v>
      </c>
      <c r="D2630" s="2">
        <f t="shared" si="148"/>
        <v>2015</v>
      </c>
      <c r="E2630" s="2">
        <f t="shared" si="149"/>
        <v>8</v>
      </c>
      <c r="F2630" s="3" t="s">
        <v>179</v>
      </c>
      <c r="G2630" s="7">
        <v>42228</v>
      </c>
      <c r="H2630" s="6">
        <v>6606035</v>
      </c>
      <c r="I2630" s="6">
        <v>1615620</v>
      </c>
      <c r="J2630" s="5" t="s">
        <v>187</v>
      </c>
      <c r="K2630" s="1"/>
      <c r="L2630" s="1" t="str">
        <f t="shared" si="150"/>
        <v xml:space="preserve">Oxundasjön </v>
      </c>
      <c r="M2630" s="5" t="s">
        <v>213</v>
      </c>
      <c r="N2630" s="6">
        <v>3</v>
      </c>
      <c r="O2630" s="6">
        <v>3</v>
      </c>
      <c r="Q2630" s="6">
        <v>19.2</v>
      </c>
      <c r="R2630" s="6">
        <v>2.1</v>
      </c>
      <c r="S2630" s="6">
        <v>22</v>
      </c>
    </row>
    <row r="2631" spans="1:91" x14ac:dyDescent="0.3">
      <c r="A2631" s="6">
        <v>46256</v>
      </c>
      <c r="B2631" s="5" t="s">
        <v>234</v>
      </c>
      <c r="C2631" s="5" t="s">
        <v>231</v>
      </c>
      <c r="D2631" s="2">
        <f t="shared" si="148"/>
        <v>2015</v>
      </c>
      <c r="E2631" s="2">
        <f t="shared" si="149"/>
        <v>8</v>
      </c>
      <c r="F2631" s="3" t="s">
        <v>179</v>
      </c>
      <c r="G2631" s="7">
        <v>42228</v>
      </c>
      <c r="H2631" s="6">
        <v>6606035</v>
      </c>
      <c r="I2631" s="6">
        <v>1615620</v>
      </c>
      <c r="J2631" s="5" t="s">
        <v>187</v>
      </c>
      <c r="K2631" s="1"/>
      <c r="L2631" s="1" t="str">
        <f t="shared" si="150"/>
        <v xml:space="preserve">Oxundasjön </v>
      </c>
      <c r="M2631" s="5" t="s">
        <v>214</v>
      </c>
      <c r="N2631" s="6">
        <v>4</v>
      </c>
      <c r="O2631" s="6">
        <v>4</v>
      </c>
      <c r="Q2631" s="6">
        <v>18.7</v>
      </c>
      <c r="R2631" s="6">
        <v>0.9</v>
      </c>
      <c r="S2631" s="6">
        <v>9</v>
      </c>
    </row>
    <row r="2632" spans="1:91" x14ac:dyDescent="0.3">
      <c r="A2632" s="6">
        <v>46257</v>
      </c>
      <c r="B2632" s="5" t="s">
        <v>234</v>
      </c>
      <c r="C2632" s="5" t="s">
        <v>231</v>
      </c>
      <c r="D2632" s="2">
        <f t="shared" si="148"/>
        <v>2015</v>
      </c>
      <c r="E2632" s="2">
        <f t="shared" si="149"/>
        <v>8</v>
      </c>
      <c r="F2632" s="3" t="s">
        <v>179</v>
      </c>
      <c r="G2632" s="7">
        <v>42228</v>
      </c>
      <c r="H2632" s="6">
        <v>6606035</v>
      </c>
      <c r="I2632" s="6">
        <v>1615620</v>
      </c>
      <c r="J2632" s="5" t="s">
        <v>187</v>
      </c>
      <c r="K2632" s="1"/>
      <c r="L2632" s="1" t="str">
        <f t="shared" si="150"/>
        <v xml:space="preserve">Oxundasjön </v>
      </c>
      <c r="M2632" s="5" t="s">
        <v>217</v>
      </c>
      <c r="N2632" s="6">
        <v>5</v>
      </c>
      <c r="O2632" s="6">
        <v>5</v>
      </c>
      <c r="Q2632" s="6">
        <v>18.3</v>
      </c>
      <c r="R2632" s="6">
        <v>0.3</v>
      </c>
      <c r="S2632" s="6">
        <v>3</v>
      </c>
    </row>
    <row r="2633" spans="1:91" x14ac:dyDescent="0.3">
      <c r="A2633" s="6">
        <v>46258</v>
      </c>
      <c r="B2633" s="5" t="s">
        <v>234</v>
      </c>
      <c r="C2633" s="5" t="s">
        <v>231</v>
      </c>
      <c r="D2633" s="2">
        <f t="shared" si="148"/>
        <v>2015</v>
      </c>
      <c r="E2633" s="2">
        <f t="shared" si="149"/>
        <v>8</v>
      </c>
      <c r="F2633" s="3" t="s">
        <v>179</v>
      </c>
      <c r="G2633" s="7">
        <v>42228</v>
      </c>
      <c r="H2633" s="6">
        <v>6606035</v>
      </c>
      <c r="I2633" s="6">
        <v>1615620</v>
      </c>
      <c r="J2633" s="5" t="s">
        <v>187</v>
      </c>
      <c r="K2633" s="1"/>
      <c r="L2633" s="1" t="str">
        <f t="shared" si="150"/>
        <v xml:space="preserve">Oxundasjön </v>
      </c>
      <c r="M2633" s="1" t="s">
        <v>184</v>
      </c>
      <c r="N2633" s="6">
        <v>5.8</v>
      </c>
      <c r="O2633" s="6">
        <v>5.8</v>
      </c>
      <c r="Q2633" s="6">
        <v>18</v>
      </c>
      <c r="R2633" s="6">
        <v>0.1</v>
      </c>
      <c r="S2633" s="6">
        <v>1</v>
      </c>
      <c r="V2633" s="6">
        <v>2.4911249999999998</v>
      </c>
      <c r="W2633" s="6">
        <v>32.413800000000002</v>
      </c>
      <c r="X2633" s="1">
        <f>W2633 * (1/((10^((0.0901821 + (2729.92 /(273.15 + Q2633)))-AE2633)+1)))</f>
        <v>0.29528280972613985</v>
      </c>
      <c r="Y2633" s="6">
        <v>6.4000000000000001E-2</v>
      </c>
      <c r="Z2633" s="6">
        <v>67.97</v>
      </c>
      <c r="AA2633" s="6">
        <v>4</v>
      </c>
      <c r="AD2633" s="6">
        <v>0</v>
      </c>
      <c r="AE2633" s="6">
        <v>7.43</v>
      </c>
      <c r="AK2633" s="6">
        <v>100.1</v>
      </c>
      <c r="AL2633" s="6">
        <v>737.21500000000003</v>
      </c>
      <c r="AM2633" s="6"/>
      <c r="AN2633" s="6"/>
      <c r="AO2633" s="6"/>
      <c r="AP2633" s="6"/>
      <c r="AQ2633" s="6"/>
    </row>
    <row r="2634" spans="1:91" x14ac:dyDescent="0.3">
      <c r="A2634" s="6">
        <v>46259</v>
      </c>
      <c r="B2634" s="5" t="s">
        <v>234</v>
      </c>
      <c r="C2634" s="5" t="s">
        <v>231</v>
      </c>
      <c r="D2634" s="2">
        <f t="shared" si="148"/>
        <v>2015</v>
      </c>
      <c r="E2634" s="2">
        <f t="shared" si="149"/>
        <v>8</v>
      </c>
      <c r="F2634" s="3" t="s">
        <v>179</v>
      </c>
      <c r="G2634" s="7">
        <v>42228</v>
      </c>
      <c r="H2634" s="6">
        <v>6599695</v>
      </c>
      <c r="I2634" s="6">
        <v>1617290</v>
      </c>
      <c r="J2634" s="5" t="s">
        <v>182</v>
      </c>
      <c r="K2634" s="1"/>
      <c r="L2634" s="1" t="str">
        <f t="shared" si="150"/>
        <v xml:space="preserve">Edssjön </v>
      </c>
      <c r="M2634" s="1" t="s">
        <v>177</v>
      </c>
      <c r="N2634" s="6">
        <v>0.5</v>
      </c>
      <c r="O2634" s="6">
        <v>0.5</v>
      </c>
      <c r="P2634" s="6">
        <v>2.8</v>
      </c>
      <c r="Q2634" s="6">
        <v>20.7</v>
      </c>
      <c r="R2634" s="6">
        <v>9.3000000000000007</v>
      </c>
      <c r="S2634" s="6">
        <v>103</v>
      </c>
      <c r="V2634" s="6">
        <v>2.5102875</v>
      </c>
      <c r="W2634" s="6">
        <v>3.4963000000000002</v>
      </c>
      <c r="X2634" s="1">
        <f>W2634 * (1/((10^((0.0901821 + (2729.92 /(273.15 + Q2634)))-AE2634)+1)))</f>
        <v>0.25165363296796361</v>
      </c>
      <c r="Y2634" s="6">
        <v>5.6000000000000001E-2</v>
      </c>
      <c r="Z2634" s="6">
        <v>54.19</v>
      </c>
      <c r="AA2634" s="6">
        <v>2.4</v>
      </c>
      <c r="AB2634" s="6">
        <v>11.01789</v>
      </c>
      <c r="AD2634" s="6">
        <v>0</v>
      </c>
      <c r="AE2634" s="6">
        <v>8.27</v>
      </c>
      <c r="AK2634" s="6">
        <v>94</v>
      </c>
      <c r="AL2634" s="6">
        <v>763.21500000000003</v>
      </c>
      <c r="AM2634" s="6"/>
      <c r="AN2634" s="6"/>
      <c r="AO2634" s="6"/>
      <c r="AP2634" s="6"/>
      <c r="AQ2634" s="6"/>
    </row>
    <row r="2635" spans="1:91" x14ac:dyDescent="0.3">
      <c r="A2635" s="6">
        <v>46260</v>
      </c>
      <c r="B2635" s="5" t="s">
        <v>234</v>
      </c>
      <c r="C2635" s="5" t="s">
        <v>231</v>
      </c>
      <c r="D2635" s="2">
        <f t="shared" si="148"/>
        <v>2015</v>
      </c>
      <c r="E2635" s="2">
        <f t="shared" si="149"/>
        <v>8</v>
      </c>
      <c r="F2635" s="3" t="s">
        <v>179</v>
      </c>
      <c r="G2635" s="7">
        <v>42228</v>
      </c>
      <c r="H2635" s="6">
        <v>6599695</v>
      </c>
      <c r="I2635" s="6">
        <v>1617290</v>
      </c>
      <c r="J2635" s="5" t="s">
        <v>182</v>
      </c>
      <c r="K2635" s="1"/>
      <c r="L2635" s="1" t="str">
        <f t="shared" si="150"/>
        <v xml:space="preserve">Edssjön </v>
      </c>
      <c r="M2635" s="5" t="s">
        <v>211</v>
      </c>
      <c r="N2635" s="6">
        <v>1</v>
      </c>
      <c r="O2635" s="6">
        <v>1</v>
      </c>
      <c r="Q2635" s="6">
        <v>20.7</v>
      </c>
      <c r="R2635" s="6">
        <v>9.3000000000000007</v>
      </c>
      <c r="S2635" s="6">
        <v>102</v>
      </c>
    </row>
    <row r="2636" spans="1:91" x14ac:dyDescent="0.3">
      <c r="A2636" s="6">
        <v>46261</v>
      </c>
      <c r="B2636" s="5" t="s">
        <v>234</v>
      </c>
      <c r="C2636" s="5" t="s">
        <v>231</v>
      </c>
      <c r="D2636" s="2">
        <f t="shared" si="148"/>
        <v>2015</v>
      </c>
      <c r="E2636" s="2">
        <f t="shared" si="149"/>
        <v>8</v>
      </c>
      <c r="F2636" s="3" t="s">
        <v>179</v>
      </c>
      <c r="G2636" s="7">
        <v>42228</v>
      </c>
      <c r="H2636" s="6">
        <v>6599695</v>
      </c>
      <c r="I2636" s="6">
        <v>1617290</v>
      </c>
      <c r="J2636" s="5" t="s">
        <v>182</v>
      </c>
      <c r="K2636" s="1"/>
      <c r="L2636" s="1" t="str">
        <f t="shared" si="150"/>
        <v xml:space="preserve">Edssjön </v>
      </c>
      <c r="M2636" s="5" t="s">
        <v>212</v>
      </c>
      <c r="N2636" s="6">
        <v>2</v>
      </c>
      <c r="O2636" s="6">
        <v>2</v>
      </c>
      <c r="Q2636" s="6">
        <v>20.7</v>
      </c>
      <c r="R2636" s="6">
        <v>9.1999999999999993</v>
      </c>
      <c r="S2636" s="6">
        <v>102</v>
      </c>
    </row>
    <row r="2637" spans="1:91" x14ac:dyDescent="0.3">
      <c r="A2637" s="6">
        <v>46262</v>
      </c>
      <c r="B2637" s="5" t="s">
        <v>234</v>
      </c>
      <c r="C2637" s="5" t="s">
        <v>231</v>
      </c>
      <c r="D2637" s="2">
        <f t="shared" si="148"/>
        <v>2015</v>
      </c>
      <c r="E2637" s="2">
        <f t="shared" si="149"/>
        <v>8</v>
      </c>
      <c r="F2637" s="3" t="s">
        <v>179</v>
      </c>
      <c r="G2637" s="7">
        <v>42228</v>
      </c>
      <c r="H2637" s="6">
        <v>6599695</v>
      </c>
      <c r="I2637" s="6">
        <v>1617290</v>
      </c>
      <c r="J2637" s="5" t="s">
        <v>182</v>
      </c>
      <c r="K2637" s="1"/>
      <c r="L2637" s="1" t="str">
        <f t="shared" si="150"/>
        <v xml:space="preserve">Edssjön </v>
      </c>
      <c r="M2637" s="5" t="s">
        <v>213</v>
      </c>
      <c r="N2637" s="6">
        <v>3</v>
      </c>
      <c r="O2637" s="6">
        <v>3</v>
      </c>
      <c r="Q2637" s="6">
        <v>20.7</v>
      </c>
      <c r="R2637" s="6">
        <v>9.1999999999999993</v>
      </c>
      <c r="S2637" s="6">
        <v>101</v>
      </c>
    </row>
    <row r="2638" spans="1:91" x14ac:dyDescent="0.3">
      <c r="A2638" s="6">
        <v>46263</v>
      </c>
      <c r="B2638" s="5" t="s">
        <v>234</v>
      </c>
      <c r="C2638" s="5" t="s">
        <v>231</v>
      </c>
      <c r="D2638" s="2">
        <f t="shared" si="148"/>
        <v>2015</v>
      </c>
      <c r="E2638" s="2">
        <f t="shared" si="149"/>
        <v>8</v>
      </c>
      <c r="F2638" s="3" t="s">
        <v>179</v>
      </c>
      <c r="G2638" s="7">
        <v>42228</v>
      </c>
      <c r="H2638" s="6">
        <v>6599695</v>
      </c>
      <c r="I2638" s="6">
        <v>1617290</v>
      </c>
      <c r="J2638" s="5" t="s">
        <v>182</v>
      </c>
      <c r="K2638" s="1"/>
      <c r="L2638" s="1" t="str">
        <f t="shared" si="150"/>
        <v xml:space="preserve">Edssjön </v>
      </c>
      <c r="M2638" s="5" t="s">
        <v>214</v>
      </c>
      <c r="N2638" s="6">
        <v>4</v>
      </c>
      <c r="O2638" s="6">
        <v>4</v>
      </c>
      <c r="Q2638" s="6">
        <v>18.899999999999999</v>
      </c>
      <c r="R2638" s="6">
        <v>0.3</v>
      </c>
      <c r="S2638" s="6">
        <v>3</v>
      </c>
    </row>
    <row r="2639" spans="1:91" x14ac:dyDescent="0.3">
      <c r="A2639" s="6">
        <v>46264</v>
      </c>
      <c r="B2639" s="5" t="s">
        <v>234</v>
      </c>
      <c r="C2639" s="5" t="s">
        <v>231</v>
      </c>
      <c r="D2639" s="2">
        <f t="shared" si="148"/>
        <v>2015</v>
      </c>
      <c r="E2639" s="2">
        <f t="shared" si="149"/>
        <v>8</v>
      </c>
      <c r="F2639" s="3" t="s">
        <v>179</v>
      </c>
      <c r="G2639" s="7">
        <v>42228</v>
      </c>
      <c r="H2639" s="6">
        <v>6599695</v>
      </c>
      <c r="I2639" s="6">
        <v>1617290</v>
      </c>
      <c r="J2639" s="5" t="s">
        <v>182</v>
      </c>
      <c r="K2639" s="1"/>
      <c r="L2639" s="1" t="str">
        <f t="shared" si="150"/>
        <v xml:space="preserve">Edssjön </v>
      </c>
      <c r="M2639" s="1" t="s">
        <v>184</v>
      </c>
      <c r="N2639" s="6">
        <v>5</v>
      </c>
      <c r="O2639" s="6">
        <v>5</v>
      </c>
      <c r="Q2639" s="6">
        <v>18.100000000000001</v>
      </c>
      <c r="R2639" s="6">
        <v>0.1</v>
      </c>
      <c r="S2639" s="6">
        <v>1</v>
      </c>
      <c r="V2639" s="6">
        <v>2.6635875000000002</v>
      </c>
      <c r="W2639" s="6">
        <v>4.5026000000000002</v>
      </c>
      <c r="X2639" s="1">
        <f>W2639 * (1/((10^((0.0901821 + (2729.92 /(273.15 + Q2639)))-AE2639)+1)))</f>
        <v>5.6839220115376905E-2</v>
      </c>
      <c r="Y2639" s="6">
        <v>6.3E-2</v>
      </c>
      <c r="Z2639" s="6">
        <v>170.94</v>
      </c>
      <c r="AA2639" s="6">
        <v>4.5</v>
      </c>
      <c r="AD2639" s="6">
        <v>0</v>
      </c>
      <c r="AE2639" s="6">
        <v>7.57</v>
      </c>
      <c r="AK2639" s="6">
        <v>204.19</v>
      </c>
      <c r="AL2639" s="6">
        <v>777.14499999999998</v>
      </c>
      <c r="AM2639" s="6"/>
      <c r="AN2639" s="6"/>
      <c r="AO2639" s="6"/>
      <c r="AP2639" s="6"/>
      <c r="AQ2639" s="6"/>
    </row>
    <row r="2640" spans="1:91" x14ac:dyDescent="0.3">
      <c r="A2640" s="6">
        <v>46265</v>
      </c>
      <c r="B2640" s="5" t="s">
        <v>234</v>
      </c>
      <c r="C2640" s="5" t="s">
        <v>231</v>
      </c>
      <c r="D2640" s="2">
        <f t="shared" si="148"/>
        <v>2015</v>
      </c>
      <c r="E2640" s="2">
        <f t="shared" si="149"/>
        <v>8</v>
      </c>
      <c r="F2640" s="3" t="s">
        <v>179</v>
      </c>
      <c r="G2640" s="7">
        <v>42228</v>
      </c>
      <c r="H2640" s="6">
        <v>6594980</v>
      </c>
      <c r="I2640" s="6">
        <v>1622960</v>
      </c>
      <c r="J2640" s="5" t="s">
        <v>192</v>
      </c>
      <c r="K2640" s="1"/>
      <c r="L2640" s="1" t="str">
        <f t="shared" si="150"/>
        <v xml:space="preserve">Väsjön </v>
      </c>
      <c r="M2640" s="1" t="s">
        <v>177</v>
      </c>
      <c r="N2640" s="6">
        <v>0.5</v>
      </c>
      <c r="O2640" s="6">
        <v>0.5</v>
      </c>
      <c r="P2640" s="6">
        <v>2.5</v>
      </c>
      <c r="Q2640" s="6">
        <v>21.1</v>
      </c>
      <c r="R2640" s="6">
        <v>8.5</v>
      </c>
      <c r="S2640" s="6">
        <v>95</v>
      </c>
      <c r="V2640" s="6">
        <v>2.7593999999999999</v>
      </c>
      <c r="W2640" s="6">
        <v>2.8047</v>
      </c>
      <c r="X2640" s="1">
        <f>W2640 * (1/((10^((0.0901821 + (2729.92 /(273.15 + Q2640)))-AE2640)+1)))</f>
        <v>9.8760412509241002E-2</v>
      </c>
      <c r="Y2640" s="6">
        <v>6.8000000000000005E-2</v>
      </c>
      <c r="Z2640" s="6">
        <v>0.6</v>
      </c>
      <c r="AA2640" s="6">
        <v>0.83</v>
      </c>
      <c r="AB2640" s="6">
        <v>3.2968799999999998</v>
      </c>
      <c r="AD2640" s="6">
        <v>0</v>
      </c>
      <c r="AE2640" s="6">
        <v>7.93</v>
      </c>
      <c r="AK2640" s="6">
        <v>14.38</v>
      </c>
      <c r="AL2640" s="6">
        <v>647.46500000000003</v>
      </c>
      <c r="AM2640" s="6"/>
      <c r="AN2640" s="6"/>
      <c r="AO2640" s="6"/>
      <c r="AP2640" s="6"/>
      <c r="AQ2640" s="6"/>
      <c r="AR2640" s="6">
        <v>47.7</v>
      </c>
      <c r="AS2640" s="6">
        <v>9.2200000000000008E-3</v>
      </c>
      <c r="AT2640" s="6">
        <v>2.3199999999999901</v>
      </c>
      <c r="AU2640" s="6">
        <v>6.78</v>
      </c>
      <c r="AW2640" s="6">
        <v>33.4</v>
      </c>
      <c r="AY2640" s="6">
        <v>0.29099999999999898</v>
      </c>
      <c r="AZ2640" s="6">
        <v>1.91</v>
      </c>
      <c r="BA2640" s="6">
        <v>0.76400000000000001</v>
      </c>
      <c r="BB2640" s="6">
        <v>24.3</v>
      </c>
      <c r="BC2640" s="6">
        <v>1E-3</v>
      </c>
      <c r="BD2640" s="6">
        <v>2.8299999999999902E-2</v>
      </c>
      <c r="BE2640" s="6">
        <v>3.6200000000000003E-2</v>
      </c>
      <c r="BF2640" s="6">
        <v>0.78200000000000003</v>
      </c>
      <c r="BG2640" s="6">
        <v>1E-3</v>
      </c>
      <c r="BH2640" s="6">
        <v>21</v>
      </c>
      <c r="BI2640" s="6">
        <v>0.64700000000000002</v>
      </c>
      <c r="BJ2640" s="6">
        <v>0.317</v>
      </c>
      <c r="BK2640" s="6">
        <v>10.6</v>
      </c>
      <c r="BL2640" s="6">
        <v>3.88999999999999E-2</v>
      </c>
      <c r="BM2640" s="6">
        <v>122</v>
      </c>
      <c r="BN2640" s="6">
        <v>0.25900000000000001</v>
      </c>
      <c r="BO2640" s="6">
        <v>0.73699999999999899</v>
      </c>
      <c r="BQ2640" s="6">
        <v>1.05</v>
      </c>
      <c r="BR2640" s="6">
        <v>1E-3</v>
      </c>
      <c r="BS2640" s="6">
        <v>2.5100000000000001E-2</v>
      </c>
      <c r="BT2640" s="6">
        <v>4.7500000000000001E-2</v>
      </c>
      <c r="BU2640" s="6">
        <v>0.74199999999999899</v>
      </c>
      <c r="BV2640" s="6">
        <v>0.56299999999999895</v>
      </c>
      <c r="BW2640" s="6">
        <v>0.28199999999999897</v>
      </c>
      <c r="BX2640" s="6">
        <v>5.0000000000000001E-3</v>
      </c>
      <c r="BY2640" s="6">
        <v>2.65</v>
      </c>
      <c r="BZ2640" s="6">
        <v>47.3</v>
      </c>
      <c r="CA2640" s="6">
        <v>6.76</v>
      </c>
      <c r="CC2640" s="6">
        <v>5.3899999999999903E-3</v>
      </c>
      <c r="CD2640" s="6">
        <v>2.2999999999999901</v>
      </c>
      <c r="CE2640" s="6">
        <v>33</v>
      </c>
      <c r="CF2640" s="6">
        <v>0.27900000000000003</v>
      </c>
      <c r="CG2640" s="6">
        <v>0.51900000000000002</v>
      </c>
      <c r="CH2640" s="6">
        <v>22.4</v>
      </c>
      <c r="CI2640" s="6">
        <v>1E-3</v>
      </c>
      <c r="CJ2640" s="6">
        <v>0.63300000000000001</v>
      </c>
      <c r="CK2640" s="6">
        <v>7.05</v>
      </c>
      <c r="CL2640" s="6">
        <v>0.28100000000000003</v>
      </c>
      <c r="CM2640" s="6">
        <v>122</v>
      </c>
    </row>
    <row r="2641" spans="1:43" x14ac:dyDescent="0.3">
      <c r="A2641" s="6">
        <v>46266</v>
      </c>
      <c r="B2641" s="5" t="s">
        <v>234</v>
      </c>
      <c r="C2641" s="5" t="s">
        <v>231</v>
      </c>
      <c r="D2641" s="2">
        <f t="shared" si="148"/>
        <v>2015</v>
      </c>
      <c r="E2641" s="2">
        <f t="shared" si="149"/>
        <v>8</v>
      </c>
      <c r="F2641" s="3" t="s">
        <v>179</v>
      </c>
      <c r="G2641" s="7">
        <v>42228</v>
      </c>
      <c r="H2641" s="6">
        <v>6594980</v>
      </c>
      <c r="I2641" s="6">
        <v>1622960</v>
      </c>
      <c r="J2641" s="5" t="s">
        <v>192</v>
      </c>
      <c r="K2641" s="1"/>
      <c r="L2641" s="1" t="str">
        <f t="shared" si="150"/>
        <v xml:space="preserve">Väsjön </v>
      </c>
      <c r="M2641" s="5" t="s">
        <v>211</v>
      </c>
      <c r="N2641" s="6">
        <v>1</v>
      </c>
      <c r="O2641" s="6">
        <v>1</v>
      </c>
      <c r="Q2641" s="6">
        <v>20.7</v>
      </c>
      <c r="R2641" s="6">
        <v>9.1999999999999993</v>
      </c>
      <c r="S2641" s="6">
        <v>102</v>
      </c>
    </row>
    <row r="2642" spans="1:43" x14ac:dyDescent="0.3">
      <c r="A2642" s="6">
        <v>46267</v>
      </c>
      <c r="B2642" s="5" t="s">
        <v>234</v>
      </c>
      <c r="C2642" s="5" t="s">
        <v>231</v>
      </c>
      <c r="D2642" s="2">
        <f t="shared" si="148"/>
        <v>2015</v>
      </c>
      <c r="E2642" s="2">
        <f t="shared" si="149"/>
        <v>8</v>
      </c>
      <c r="F2642" s="3" t="s">
        <v>179</v>
      </c>
      <c r="G2642" s="7">
        <v>42228</v>
      </c>
      <c r="H2642" s="6">
        <v>6594980</v>
      </c>
      <c r="I2642" s="6">
        <v>1622960</v>
      </c>
      <c r="J2642" s="5" t="s">
        <v>192</v>
      </c>
      <c r="K2642" s="1"/>
      <c r="L2642" s="1" t="str">
        <f t="shared" si="150"/>
        <v xml:space="preserve">Väsjön </v>
      </c>
      <c r="M2642" s="5" t="s">
        <v>212</v>
      </c>
      <c r="N2642" s="6">
        <v>2</v>
      </c>
      <c r="O2642" s="6">
        <v>2</v>
      </c>
      <c r="Q2642" s="6">
        <v>20.5</v>
      </c>
      <c r="R2642" s="6">
        <v>9.4</v>
      </c>
      <c r="S2642" s="6">
        <v>104</v>
      </c>
    </row>
    <row r="2643" spans="1:43" x14ac:dyDescent="0.3">
      <c r="A2643" s="6">
        <v>46268</v>
      </c>
      <c r="B2643" s="5" t="s">
        <v>234</v>
      </c>
      <c r="C2643" s="5" t="s">
        <v>231</v>
      </c>
      <c r="D2643" s="2">
        <f t="shared" si="148"/>
        <v>2015</v>
      </c>
      <c r="E2643" s="2">
        <f t="shared" si="149"/>
        <v>8</v>
      </c>
      <c r="F2643" s="3" t="s">
        <v>179</v>
      </c>
      <c r="G2643" s="7">
        <v>42228</v>
      </c>
      <c r="H2643" s="6">
        <v>6594980</v>
      </c>
      <c r="I2643" s="6">
        <v>1622960</v>
      </c>
      <c r="J2643" s="5" t="s">
        <v>192</v>
      </c>
      <c r="K2643" s="1"/>
      <c r="L2643" s="1" t="str">
        <f t="shared" si="150"/>
        <v xml:space="preserve">Väsjön </v>
      </c>
      <c r="M2643" s="1" t="s">
        <v>184</v>
      </c>
      <c r="N2643" s="6">
        <v>2.5</v>
      </c>
      <c r="O2643" s="6">
        <v>2.5</v>
      </c>
      <c r="Q2643" s="6">
        <v>20.3</v>
      </c>
      <c r="R2643" s="6">
        <v>8</v>
      </c>
      <c r="S2643" s="6">
        <v>88</v>
      </c>
      <c r="V2643" s="6">
        <v>2.7593999999999999</v>
      </c>
      <c r="W2643" s="6">
        <v>3.9117999999999999</v>
      </c>
      <c r="X2643" s="1">
        <f>W2643 * (1/((10^((0.0901821 + (2729.92 /(273.15 + Q2643)))-AE2643)+1)))</f>
        <v>0.15897567433789012</v>
      </c>
      <c r="Y2643" s="6">
        <v>7.2999999999999995E-2</v>
      </c>
      <c r="Z2643" s="6">
        <v>0.16</v>
      </c>
      <c r="AA2643" s="6">
        <v>0.95</v>
      </c>
      <c r="AD2643" s="6">
        <v>0</v>
      </c>
      <c r="AE2643" s="6">
        <v>8.02</v>
      </c>
      <c r="AK2643" s="6">
        <v>14.65</v>
      </c>
      <c r="AL2643" s="6">
        <v>622.97500000000002</v>
      </c>
      <c r="AM2643" s="6"/>
      <c r="AN2643" s="6"/>
      <c r="AO2643" s="6"/>
      <c r="AP2643" s="6"/>
      <c r="AQ2643" s="6"/>
    </row>
    <row r="2644" spans="1:43" x14ac:dyDescent="0.3">
      <c r="A2644" s="6">
        <v>46269</v>
      </c>
      <c r="B2644" s="5" t="s">
        <v>234</v>
      </c>
      <c r="C2644" s="5" t="s">
        <v>231</v>
      </c>
      <c r="D2644" s="2">
        <f t="shared" si="148"/>
        <v>2015</v>
      </c>
      <c r="E2644" s="2">
        <f t="shared" si="149"/>
        <v>8</v>
      </c>
      <c r="F2644" s="3" t="s">
        <v>179</v>
      </c>
      <c r="G2644" s="7">
        <v>42228</v>
      </c>
      <c r="H2644" s="6">
        <v>6599245</v>
      </c>
      <c r="I2644" s="6">
        <v>1622345</v>
      </c>
      <c r="J2644" s="5" t="s">
        <v>186</v>
      </c>
      <c r="K2644" s="1">
        <v>1</v>
      </c>
      <c r="L2644" s="1" t="str">
        <f t="shared" si="150"/>
        <v>Norrviken 1</v>
      </c>
      <c r="M2644" s="1" t="s">
        <v>177</v>
      </c>
      <c r="N2644" s="6">
        <v>0.5</v>
      </c>
      <c r="O2644" s="6">
        <v>0.5</v>
      </c>
      <c r="P2644" s="6">
        <v>1.5</v>
      </c>
      <c r="Q2644" s="6">
        <v>21.6</v>
      </c>
      <c r="R2644" s="6">
        <v>7.9</v>
      </c>
      <c r="S2644" s="6">
        <v>89</v>
      </c>
      <c r="V2644" s="6">
        <v>2.6252624999999998</v>
      </c>
      <c r="W2644" s="6">
        <v>1.9167999999999998</v>
      </c>
      <c r="X2644" s="1">
        <f>W2644 * (1/((10^((0.0901821 + (2729.92 /(273.15 + Q2644)))-AE2644)+1)))</f>
        <v>6.8360926908548933E-2</v>
      </c>
      <c r="Y2644" s="6">
        <v>4.7E-2</v>
      </c>
      <c r="Z2644" s="6">
        <v>10.88</v>
      </c>
      <c r="AA2644" s="6">
        <v>4.8</v>
      </c>
      <c r="AB2644" s="6">
        <v>16.0608</v>
      </c>
      <c r="AD2644" s="6">
        <v>0</v>
      </c>
      <c r="AE2644" s="6">
        <v>7.92</v>
      </c>
      <c r="AK2644" s="6">
        <v>67.67</v>
      </c>
      <c r="AL2644" s="6">
        <v>897.77499999999998</v>
      </c>
      <c r="AM2644" s="6"/>
      <c r="AN2644" s="6"/>
      <c r="AO2644" s="6"/>
      <c r="AP2644" s="6"/>
      <c r="AQ2644" s="6"/>
    </row>
    <row r="2645" spans="1:43" x14ac:dyDescent="0.3">
      <c r="A2645" s="6">
        <v>46270</v>
      </c>
      <c r="B2645" s="5" t="s">
        <v>234</v>
      </c>
      <c r="C2645" s="5" t="s">
        <v>231</v>
      </c>
      <c r="D2645" s="2">
        <f t="shared" si="148"/>
        <v>2015</v>
      </c>
      <c r="E2645" s="2">
        <f t="shared" si="149"/>
        <v>8</v>
      </c>
      <c r="F2645" s="3" t="s">
        <v>179</v>
      </c>
      <c r="G2645" s="7">
        <v>42228</v>
      </c>
      <c r="H2645" s="6">
        <v>6599245</v>
      </c>
      <c r="I2645" s="6">
        <v>1622345</v>
      </c>
      <c r="J2645" s="5" t="s">
        <v>186</v>
      </c>
      <c r="K2645" s="1">
        <v>1</v>
      </c>
      <c r="L2645" s="1" t="str">
        <f t="shared" si="150"/>
        <v>Norrviken 1</v>
      </c>
      <c r="M2645" s="5" t="s">
        <v>211</v>
      </c>
      <c r="N2645" s="6">
        <v>1</v>
      </c>
      <c r="O2645" s="6">
        <v>1</v>
      </c>
      <c r="Q2645" s="6">
        <v>21.6</v>
      </c>
      <c r="R2645" s="6">
        <v>7.9</v>
      </c>
      <c r="S2645" s="6">
        <v>89</v>
      </c>
    </row>
    <row r="2646" spans="1:43" x14ac:dyDescent="0.3">
      <c r="A2646" s="6">
        <v>46271</v>
      </c>
      <c r="B2646" s="5" t="s">
        <v>234</v>
      </c>
      <c r="C2646" s="5" t="s">
        <v>231</v>
      </c>
      <c r="D2646" s="2">
        <f t="shared" si="148"/>
        <v>2015</v>
      </c>
      <c r="E2646" s="2">
        <f t="shared" si="149"/>
        <v>8</v>
      </c>
      <c r="F2646" s="3" t="s">
        <v>179</v>
      </c>
      <c r="G2646" s="7">
        <v>42228</v>
      </c>
      <c r="H2646" s="6">
        <v>6599245</v>
      </c>
      <c r="I2646" s="6">
        <v>1622345</v>
      </c>
      <c r="J2646" s="5" t="s">
        <v>186</v>
      </c>
      <c r="K2646" s="1">
        <v>1</v>
      </c>
      <c r="L2646" s="1" t="str">
        <f t="shared" si="150"/>
        <v>Norrviken 1</v>
      </c>
      <c r="M2646" s="5" t="s">
        <v>212</v>
      </c>
      <c r="N2646" s="6">
        <v>2</v>
      </c>
      <c r="O2646" s="6">
        <v>2</v>
      </c>
      <c r="Q2646" s="6">
        <v>21.5</v>
      </c>
      <c r="R2646" s="6">
        <v>7.5</v>
      </c>
      <c r="S2646" s="6">
        <v>84</v>
      </c>
    </row>
    <row r="2647" spans="1:43" x14ac:dyDescent="0.3">
      <c r="A2647" s="6">
        <v>46272</v>
      </c>
      <c r="B2647" s="5" t="s">
        <v>234</v>
      </c>
      <c r="C2647" s="5" t="s">
        <v>231</v>
      </c>
      <c r="D2647" s="2">
        <f t="shared" si="148"/>
        <v>2015</v>
      </c>
      <c r="E2647" s="2">
        <f t="shared" si="149"/>
        <v>8</v>
      </c>
      <c r="F2647" s="3" t="s">
        <v>179</v>
      </c>
      <c r="G2647" s="7">
        <v>42228</v>
      </c>
      <c r="H2647" s="6">
        <v>6599245</v>
      </c>
      <c r="I2647" s="6">
        <v>1622345</v>
      </c>
      <c r="J2647" s="5" t="s">
        <v>186</v>
      </c>
      <c r="K2647" s="1">
        <v>1</v>
      </c>
      <c r="L2647" s="1" t="str">
        <f t="shared" si="150"/>
        <v>Norrviken 1</v>
      </c>
      <c r="M2647" s="1" t="s">
        <v>184</v>
      </c>
      <c r="N2647" s="6">
        <v>2.5</v>
      </c>
      <c r="O2647" s="6">
        <v>2.5</v>
      </c>
      <c r="Q2647" s="6">
        <v>21.2</v>
      </c>
      <c r="R2647" s="6">
        <v>4.5999999999999996</v>
      </c>
      <c r="S2647" s="6">
        <v>52</v>
      </c>
      <c r="V2647" s="6">
        <v>2.5677750000000001</v>
      </c>
      <c r="W2647" s="6">
        <v>25.504999999999999</v>
      </c>
      <c r="X2647" s="1">
        <f>W2647 * (1/((10^((0.0901821 + (2729.92 /(273.15 + Q2647)))-AE2647)+1)))</f>
        <v>0.72367116377145402</v>
      </c>
      <c r="Y2647" s="6">
        <v>5.2999999999999999E-2</v>
      </c>
      <c r="Z2647" s="6">
        <v>17.98</v>
      </c>
      <c r="AA2647" s="6">
        <v>6.1</v>
      </c>
      <c r="AD2647" s="6">
        <v>1.71</v>
      </c>
      <c r="AE2647" s="6">
        <v>7.83</v>
      </c>
      <c r="AK2647" s="6">
        <v>71.77</v>
      </c>
      <c r="AL2647" s="6">
        <v>927.98500000000001</v>
      </c>
      <c r="AM2647" s="6"/>
      <c r="AN2647" s="6"/>
      <c r="AO2647" s="6"/>
      <c r="AP2647" s="6"/>
      <c r="AQ2647" s="6"/>
    </row>
    <row r="2648" spans="1:43" x14ac:dyDescent="0.3">
      <c r="A2648" s="6">
        <v>46273</v>
      </c>
      <c r="B2648" s="5" t="s">
        <v>234</v>
      </c>
      <c r="C2648" s="5" t="s">
        <v>231</v>
      </c>
      <c r="D2648" s="2">
        <f t="shared" si="148"/>
        <v>2015</v>
      </c>
      <c r="E2648" s="2">
        <f t="shared" si="149"/>
        <v>8</v>
      </c>
      <c r="F2648" s="3" t="s">
        <v>179</v>
      </c>
      <c r="G2648" s="7">
        <v>42228</v>
      </c>
      <c r="H2648" s="6">
        <v>6596620</v>
      </c>
      <c r="I2648" s="6">
        <v>1620350</v>
      </c>
      <c r="J2648" s="5" t="s">
        <v>186</v>
      </c>
      <c r="K2648" s="1">
        <v>2</v>
      </c>
      <c r="L2648" s="1" t="str">
        <f t="shared" si="150"/>
        <v>Norrviken 2</v>
      </c>
      <c r="M2648" s="1" t="s">
        <v>177</v>
      </c>
      <c r="N2648" s="6">
        <v>0.5</v>
      </c>
      <c r="O2648" s="6">
        <v>0.5</v>
      </c>
      <c r="P2648" s="6">
        <v>2.7</v>
      </c>
      <c r="Q2648" s="6">
        <v>21</v>
      </c>
      <c r="R2648" s="6">
        <v>9.9</v>
      </c>
      <c r="S2648" s="6">
        <v>110</v>
      </c>
      <c r="V2648" s="6">
        <v>2.4911249999999998</v>
      </c>
      <c r="W2648" s="6">
        <v>2.7153999999999998</v>
      </c>
      <c r="X2648" s="1">
        <f>W2648 * (1/((10^((0.0901821 + (2729.92 /(273.15 + Q2648)))-AE2648)+1)))</f>
        <v>0.25690904385326452</v>
      </c>
      <c r="Y2648" s="6">
        <v>4.4999999999999998E-2</v>
      </c>
      <c r="Z2648" s="6">
        <v>12.56</v>
      </c>
      <c r="AA2648" s="6">
        <v>2.6</v>
      </c>
      <c r="AB2648" s="6">
        <v>9.4771800000000006</v>
      </c>
      <c r="AD2648" s="6">
        <v>0</v>
      </c>
      <c r="AE2648" s="6">
        <v>8.39</v>
      </c>
      <c r="AK2648" s="6">
        <v>47.59</v>
      </c>
      <c r="AL2648" s="6">
        <v>721.59500000000003</v>
      </c>
      <c r="AM2648" s="6"/>
      <c r="AN2648" s="6"/>
      <c r="AO2648" s="6"/>
      <c r="AP2648" s="6"/>
      <c r="AQ2648" s="6"/>
    </row>
    <row r="2649" spans="1:43" x14ac:dyDescent="0.3">
      <c r="A2649" s="6">
        <v>46274</v>
      </c>
      <c r="B2649" s="5" t="s">
        <v>234</v>
      </c>
      <c r="C2649" s="5" t="s">
        <v>231</v>
      </c>
      <c r="D2649" s="2">
        <f t="shared" si="148"/>
        <v>2015</v>
      </c>
      <c r="E2649" s="2">
        <f t="shared" si="149"/>
        <v>8</v>
      </c>
      <c r="F2649" s="3" t="s">
        <v>179</v>
      </c>
      <c r="G2649" s="7">
        <v>42228</v>
      </c>
      <c r="H2649" s="6">
        <v>6596620</v>
      </c>
      <c r="I2649" s="6">
        <v>1620350</v>
      </c>
      <c r="J2649" s="5" t="s">
        <v>186</v>
      </c>
      <c r="K2649" s="1">
        <v>2</v>
      </c>
      <c r="L2649" s="1" t="str">
        <f t="shared" si="150"/>
        <v>Norrviken 2</v>
      </c>
      <c r="M2649" s="5" t="s">
        <v>211</v>
      </c>
      <c r="N2649" s="6">
        <v>1</v>
      </c>
      <c r="O2649" s="6">
        <v>1</v>
      </c>
      <c r="Q2649" s="6">
        <v>21</v>
      </c>
      <c r="R2649" s="6">
        <v>10</v>
      </c>
      <c r="S2649" s="6">
        <v>111</v>
      </c>
    </row>
    <row r="2650" spans="1:43" x14ac:dyDescent="0.3">
      <c r="A2650" s="6">
        <v>46275</v>
      </c>
      <c r="B2650" s="5" t="s">
        <v>234</v>
      </c>
      <c r="C2650" s="5" t="s">
        <v>231</v>
      </c>
      <c r="D2650" s="2">
        <f t="shared" si="148"/>
        <v>2015</v>
      </c>
      <c r="E2650" s="2">
        <f t="shared" si="149"/>
        <v>8</v>
      </c>
      <c r="F2650" s="3" t="s">
        <v>179</v>
      </c>
      <c r="G2650" s="7">
        <v>42228</v>
      </c>
      <c r="H2650" s="6">
        <v>6596620</v>
      </c>
      <c r="I2650" s="6">
        <v>1620350</v>
      </c>
      <c r="J2650" s="5" t="s">
        <v>186</v>
      </c>
      <c r="K2650" s="1">
        <v>2</v>
      </c>
      <c r="L2650" s="1" t="str">
        <f t="shared" si="150"/>
        <v>Norrviken 2</v>
      </c>
      <c r="M2650" s="5" t="s">
        <v>212</v>
      </c>
      <c r="N2650" s="6">
        <v>2</v>
      </c>
      <c r="O2650" s="6">
        <v>2</v>
      </c>
      <c r="Q2650" s="6">
        <v>21</v>
      </c>
      <c r="R2650" s="6">
        <v>10</v>
      </c>
      <c r="S2650" s="6">
        <v>111</v>
      </c>
    </row>
    <row r="2651" spans="1:43" x14ac:dyDescent="0.3">
      <c r="A2651" s="6">
        <v>46276</v>
      </c>
      <c r="B2651" s="5" t="s">
        <v>234</v>
      </c>
      <c r="C2651" s="5" t="s">
        <v>231</v>
      </c>
      <c r="D2651" s="2">
        <f t="shared" si="148"/>
        <v>2015</v>
      </c>
      <c r="E2651" s="2">
        <f t="shared" si="149"/>
        <v>8</v>
      </c>
      <c r="F2651" s="3" t="s">
        <v>179</v>
      </c>
      <c r="G2651" s="7">
        <v>42228</v>
      </c>
      <c r="H2651" s="6">
        <v>6596620</v>
      </c>
      <c r="I2651" s="6">
        <v>1620350</v>
      </c>
      <c r="J2651" s="5" t="s">
        <v>186</v>
      </c>
      <c r="K2651" s="1">
        <v>2</v>
      </c>
      <c r="L2651" s="1" t="str">
        <f t="shared" si="150"/>
        <v>Norrviken 2</v>
      </c>
      <c r="M2651" s="5" t="s">
        <v>213</v>
      </c>
      <c r="N2651" s="6">
        <v>3</v>
      </c>
      <c r="O2651" s="6">
        <v>3</v>
      </c>
      <c r="Q2651" s="6">
        <v>20.9</v>
      </c>
      <c r="R2651" s="6">
        <v>9.8000000000000007</v>
      </c>
      <c r="S2651" s="6">
        <v>109</v>
      </c>
    </row>
    <row r="2652" spans="1:43" x14ac:dyDescent="0.3">
      <c r="A2652" s="6">
        <v>46277</v>
      </c>
      <c r="B2652" s="5" t="s">
        <v>234</v>
      </c>
      <c r="C2652" s="5" t="s">
        <v>231</v>
      </c>
      <c r="D2652" s="2">
        <f t="shared" si="148"/>
        <v>2015</v>
      </c>
      <c r="E2652" s="2">
        <f t="shared" si="149"/>
        <v>8</v>
      </c>
      <c r="F2652" s="3" t="s">
        <v>179</v>
      </c>
      <c r="G2652" s="7">
        <v>42228</v>
      </c>
      <c r="H2652" s="6">
        <v>6596620</v>
      </c>
      <c r="I2652" s="6">
        <v>1620350</v>
      </c>
      <c r="J2652" s="5" t="s">
        <v>186</v>
      </c>
      <c r="K2652" s="1">
        <v>2</v>
      </c>
      <c r="L2652" s="1" t="str">
        <f t="shared" si="150"/>
        <v>Norrviken 2</v>
      </c>
      <c r="M2652" s="5" t="s">
        <v>214</v>
      </c>
      <c r="N2652" s="6">
        <v>4</v>
      </c>
      <c r="O2652" s="6">
        <v>4</v>
      </c>
      <c r="Q2652" s="6">
        <v>19.600000000000001</v>
      </c>
      <c r="R2652" s="6">
        <v>6</v>
      </c>
      <c r="S2652" s="6">
        <v>65</v>
      </c>
    </row>
    <row r="2653" spans="1:43" x14ac:dyDescent="0.3">
      <c r="A2653" s="6">
        <v>46278</v>
      </c>
      <c r="B2653" s="5" t="s">
        <v>234</v>
      </c>
      <c r="C2653" s="5" t="s">
        <v>231</v>
      </c>
      <c r="D2653" s="2">
        <f t="shared" si="148"/>
        <v>2015</v>
      </c>
      <c r="E2653" s="2">
        <f t="shared" si="149"/>
        <v>8</v>
      </c>
      <c r="F2653" s="3" t="s">
        <v>179</v>
      </c>
      <c r="G2653" s="7">
        <v>42228</v>
      </c>
      <c r="H2653" s="6">
        <v>6596620</v>
      </c>
      <c r="I2653" s="6">
        <v>1620350</v>
      </c>
      <c r="J2653" s="5" t="s">
        <v>186</v>
      </c>
      <c r="K2653" s="1">
        <v>2</v>
      </c>
      <c r="L2653" s="1" t="str">
        <f t="shared" si="150"/>
        <v>Norrviken 2</v>
      </c>
      <c r="M2653" s="5" t="s">
        <v>217</v>
      </c>
      <c r="N2653" s="6">
        <v>5</v>
      </c>
      <c r="O2653" s="6">
        <v>5</v>
      </c>
      <c r="Q2653" s="6">
        <v>18.899999999999999</v>
      </c>
      <c r="R2653" s="6">
        <v>4.7</v>
      </c>
      <c r="S2653" s="6">
        <v>51</v>
      </c>
    </row>
    <row r="2654" spans="1:43" x14ac:dyDescent="0.3">
      <c r="A2654" s="6">
        <v>46279</v>
      </c>
      <c r="B2654" s="5" t="s">
        <v>234</v>
      </c>
      <c r="C2654" s="5" t="s">
        <v>231</v>
      </c>
      <c r="D2654" s="2">
        <f t="shared" si="148"/>
        <v>2015</v>
      </c>
      <c r="E2654" s="2">
        <f t="shared" si="149"/>
        <v>8</v>
      </c>
      <c r="F2654" s="3" t="s">
        <v>179</v>
      </c>
      <c r="G2654" s="7">
        <v>42228</v>
      </c>
      <c r="H2654" s="6">
        <v>6596620</v>
      </c>
      <c r="I2654" s="6">
        <v>1620350</v>
      </c>
      <c r="J2654" s="5" t="s">
        <v>186</v>
      </c>
      <c r="K2654" s="1">
        <v>2</v>
      </c>
      <c r="L2654" s="1" t="str">
        <f t="shared" si="150"/>
        <v>Norrviken 2</v>
      </c>
      <c r="M2654" s="5" t="s">
        <v>218</v>
      </c>
      <c r="N2654" s="6">
        <v>6</v>
      </c>
      <c r="O2654" s="6">
        <v>6</v>
      </c>
      <c r="Q2654" s="6">
        <v>18.3</v>
      </c>
      <c r="R2654" s="6">
        <v>1.3</v>
      </c>
      <c r="S2654" s="6">
        <v>14</v>
      </c>
    </row>
    <row r="2655" spans="1:43" x14ac:dyDescent="0.3">
      <c r="A2655" s="6">
        <v>46280</v>
      </c>
      <c r="B2655" s="5" t="s">
        <v>234</v>
      </c>
      <c r="C2655" s="5" t="s">
        <v>231</v>
      </c>
      <c r="D2655" s="2">
        <f t="shared" si="148"/>
        <v>2015</v>
      </c>
      <c r="E2655" s="2">
        <f t="shared" si="149"/>
        <v>8</v>
      </c>
      <c r="F2655" s="3" t="s">
        <v>179</v>
      </c>
      <c r="G2655" s="7">
        <v>42228</v>
      </c>
      <c r="H2655" s="6">
        <v>6596620</v>
      </c>
      <c r="I2655" s="6">
        <v>1620350</v>
      </c>
      <c r="J2655" s="5" t="s">
        <v>186</v>
      </c>
      <c r="K2655" s="1">
        <v>2</v>
      </c>
      <c r="L2655" s="1" t="str">
        <f t="shared" si="150"/>
        <v>Norrviken 2</v>
      </c>
      <c r="M2655" s="5" t="s">
        <v>219</v>
      </c>
      <c r="N2655" s="6">
        <v>7</v>
      </c>
      <c r="O2655" s="6">
        <v>7</v>
      </c>
      <c r="Q2655" s="6">
        <v>17.7</v>
      </c>
      <c r="R2655" s="6">
        <v>0.1</v>
      </c>
      <c r="S2655" s="6">
        <v>1</v>
      </c>
    </row>
    <row r="2656" spans="1:43" x14ac:dyDescent="0.3">
      <c r="A2656" s="6">
        <v>46281</v>
      </c>
      <c r="B2656" s="5" t="s">
        <v>234</v>
      </c>
      <c r="C2656" s="5" t="s">
        <v>231</v>
      </c>
      <c r="D2656" s="2">
        <f t="shared" si="148"/>
        <v>2015</v>
      </c>
      <c r="E2656" s="2">
        <f t="shared" si="149"/>
        <v>8</v>
      </c>
      <c r="F2656" s="3" t="s">
        <v>179</v>
      </c>
      <c r="G2656" s="7">
        <v>42228</v>
      </c>
      <c r="H2656" s="6">
        <v>6596620</v>
      </c>
      <c r="I2656" s="6">
        <v>1620350</v>
      </c>
      <c r="J2656" s="5" t="s">
        <v>186</v>
      </c>
      <c r="K2656" s="1">
        <v>2</v>
      </c>
      <c r="L2656" s="1" t="str">
        <f t="shared" si="150"/>
        <v>Norrviken 2</v>
      </c>
      <c r="M2656" s="5" t="s">
        <v>220</v>
      </c>
      <c r="N2656" s="6">
        <v>8</v>
      </c>
      <c r="O2656" s="6">
        <v>8</v>
      </c>
      <c r="Q2656" s="6">
        <v>16.5</v>
      </c>
      <c r="R2656" s="6">
        <v>0.1</v>
      </c>
      <c r="S2656" s="6">
        <v>1</v>
      </c>
    </row>
    <row r="2657" spans="1:43" x14ac:dyDescent="0.3">
      <c r="A2657" s="6">
        <v>46282</v>
      </c>
      <c r="B2657" s="5" t="s">
        <v>234</v>
      </c>
      <c r="C2657" s="5" t="s">
        <v>231</v>
      </c>
      <c r="D2657" s="2">
        <f t="shared" si="148"/>
        <v>2015</v>
      </c>
      <c r="E2657" s="2">
        <f t="shared" si="149"/>
        <v>8</v>
      </c>
      <c r="F2657" s="3" t="s">
        <v>179</v>
      </c>
      <c r="G2657" s="7">
        <v>42228</v>
      </c>
      <c r="H2657" s="6">
        <v>6596620</v>
      </c>
      <c r="I2657" s="6">
        <v>1620350</v>
      </c>
      <c r="J2657" s="5" t="s">
        <v>186</v>
      </c>
      <c r="K2657" s="1">
        <v>2</v>
      </c>
      <c r="L2657" s="1" t="str">
        <f t="shared" si="150"/>
        <v>Norrviken 2</v>
      </c>
      <c r="M2657" s="1" t="s">
        <v>184</v>
      </c>
      <c r="N2657" s="6">
        <v>9</v>
      </c>
      <c r="O2657" s="6">
        <v>9</v>
      </c>
      <c r="Q2657" s="6">
        <v>14.4</v>
      </c>
      <c r="R2657" s="6">
        <v>0.1</v>
      </c>
      <c r="S2657" s="6">
        <v>1</v>
      </c>
      <c r="V2657" s="6">
        <v>2.7210749999999999</v>
      </c>
      <c r="W2657" s="6">
        <v>374.52499999999998</v>
      </c>
      <c r="X2657" s="1">
        <f>W2657 * (1/((10^((0.0901821 + (2729.92 /(273.15 + Q2657)))-AE2657)+1)))</f>
        <v>2.9253000851235442</v>
      </c>
      <c r="Y2657" s="6">
        <v>5.3999999999999999E-2</v>
      </c>
      <c r="Z2657" s="6">
        <v>284.26</v>
      </c>
      <c r="AA2657" s="6">
        <v>8.3000000000000007</v>
      </c>
      <c r="AD2657" s="6">
        <v>0</v>
      </c>
      <c r="AE2657" s="6">
        <v>7.48</v>
      </c>
      <c r="AK2657" s="6">
        <v>313.48</v>
      </c>
      <c r="AL2657" s="6">
        <v>1094.325</v>
      </c>
      <c r="AM2657" s="6"/>
      <c r="AN2657" s="6"/>
      <c r="AO2657" s="6"/>
      <c r="AP2657" s="6"/>
      <c r="AQ2657" s="6"/>
    </row>
    <row r="2658" spans="1:43" x14ac:dyDescent="0.3">
      <c r="A2658" s="6">
        <v>46283</v>
      </c>
      <c r="B2658" s="5" t="s">
        <v>234</v>
      </c>
      <c r="C2658" s="5" t="s">
        <v>231</v>
      </c>
      <c r="D2658" s="2">
        <f t="shared" si="148"/>
        <v>2015</v>
      </c>
      <c r="E2658" s="2">
        <f t="shared" si="149"/>
        <v>8</v>
      </c>
      <c r="F2658" s="3" t="s">
        <v>179</v>
      </c>
      <c r="G2658" s="7">
        <v>42228</v>
      </c>
      <c r="H2658" s="6">
        <v>6594885</v>
      </c>
      <c r="I2658" s="6">
        <v>1620750</v>
      </c>
      <c r="J2658" s="5" t="s">
        <v>186</v>
      </c>
      <c r="K2658" s="1">
        <v>3</v>
      </c>
      <c r="L2658" s="1" t="str">
        <f t="shared" si="150"/>
        <v>Norrviken 3</v>
      </c>
      <c r="M2658" s="1" t="s">
        <v>177</v>
      </c>
      <c r="N2658" s="6">
        <v>0.5</v>
      </c>
      <c r="O2658" s="6">
        <v>0.5</v>
      </c>
      <c r="P2658" s="6">
        <v>3.4</v>
      </c>
      <c r="Q2658" s="6">
        <v>21</v>
      </c>
      <c r="R2658" s="6">
        <v>11.1</v>
      </c>
      <c r="S2658" s="6">
        <v>123</v>
      </c>
      <c r="V2658" s="6">
        <v>2.5102875</v>
      </c>
      <c r="W2658" s="6">
        <v>2.8029000000000002</v>
      </c>
      <c r="X2658" s="1">
        <f>W2658 * (1/((10^((0.0901821 + (2729.92 /(273.15 + Q2658)))-AE2658)+1)))</f>
        <v>0.38277881311469836</v>
      </c>
      <c r="Y2658" s="6">
        <v>4.7E-2</v>
      </c>
      <c r="Z2658" s="6">
        <v>12.7</v>
      </c>
      <c r="AA2658" s="6">
        <v>2.2000000000000002</v>
      </c>
      <c r="AB2658" s="6">
        <v>12.26853</v>
      </c>
      <c r="AD2658" s="6">
        <v>0</v>
      </c>
      <c r="AE2658" s="6">
        <v>8.57</v>
      </c>
      <c r="AK2658" s="6">
        <v>49.62</v>
      </c>
      <c r="AL2658" s="6">
        <v>715.80499999999995</v>
      </c>
      <c r="AM2658" s="6"/>
      <c r="AN2658" s="6"/>
      <c r="AO2658" s="6"/>
      <c r="AP2658" s="6"/>
      <c r="AQ2658" s="6"/>
    </row>
    <row r="2659" spans="1:43" x14ac:dyDescent="0.3">
      <c r="A2659" s="6">
        <v>46284</v>
      </c>
      <c r="B2659" s="5" t="s">
        <v>234</v>
      </c>
      <c r="C2659" s="5" t="s">
        <v>231</v>
      </c>
      <c r="D2659" s="2">
        <f t="shared" si="148"/>
        <v>2015</v>
      </c>
      <c r="E2659" s="2">
        <f t="shared" si="149"/>
        <v>8</v>
      </c>
      <c r="F2659" s="3" t="s">
        <v>179</v>
      </c>
      <c r="G2659" s="7">
        <v>42228</v>
      </c>
      <c r="H2659" s="6">
        <v>6594885</v>
      </c>
      <c r="I2659" s="6">
        <v>1620750</v>
      </c>
      <c r="J2659" s="5" t="s">
        <v>186</v>
      </c>
      <c r="K2659" s="1">
        <v>3</v>
      </c>
      <c r="L2659" s="1" t="str">
        <f t="shared" si="150"/>
        <v>Norrviken 3</v>
      </c>
      <c r="M2659" s="5" t="s">
        <v>211</v>
      </c>
      <c r="N2659" s="6">
        <v>1</v>
      </c>
      <c r="O2659" s="6">
        <v>1</v>
      </c>
      <c r="Q2659" s="6">
        <v>21</v>
      </c>
      <c r="R2659" s="6">
        <v>11.2</v>
      </c>
      <c r="S2659" s="6">
        <v>124</v>
      </c>
    </row>
    <row r="2660" spans="1:43" x14ac:dyDescent="0.3">
      <c r="A2660" s="6">
        <v>46285</v>
      </c>
      <c r="B2660" s="5" t="s">
        <v>234</v>
      </c>
      <c r="C2660" s="5" t="s">
        <v>231</v>
      </c>
      <c r="D2660" s="2">
        <f t="shared" si="148"/>
        <v>2015</v>
      </c>
      <c r="E2660" s="2">
        <f t="shared" si="149"/>
        <v>8</v>
      </c>
      <c r="F2660" s="3" t="s">
        <v>179</v>
      </c>
      <c r="G2660" s="7">
        <v>42228</v>
      </c>
      <c r="H2660" s="6">
        <v>6594885</v>
      </c>
      <c r="I2660" s="6">
        <v>1620750</v>
      </c>
      <c r="J2660" s="5" t="s">
        <v>186</v>
      </c>
      <c r="K2660" s="1">
        <v>3</v>
      </c>
      <c r="L2660" s="1" t="str">
        <f t="shared" si="150"/>
        <v>Norrviken 3</v>
      </c>
      <c r="M2660" s="5" t="s">
        <v>212</v>
      </c>
      <c r="N2660" s="6">
        <v>2</v>
      </c>
      <c r="O2660" s="6">
        <v>2</v>
      </c>
      <c r="Q2660" s="6">
        <v>20.6</v>
      </c>
      <c r="R2660" s="6">
        <v>11.3</v>
      </c>
      <c r="S2660" s="6">
        <v>124</v>
      </c>
    </row>
    <row r="2661" spans="1:43" x14ac:dyDescent="0.3">
      <c r="A2661" s="6">
        <v>46286</v>
      </c>
      <c r="B2661" s="5" t="s">
        <v>234</v>
      </c>
      <c r="C2661" s="5" t="s">
        <v>231</v>
      </c>
      <c r="D2661" s="2">
        <f t="shared" si="148"/>
        <v>2015</v>
      </c>
      <c r="E2661" s="2">
        <f t="shared" si="149"/>
        <v>8</v>
      </c>
      <c r="F2661" s="3" t="s">
        <v>179</v>
      </c>
      <c r="G2661" s="7">
        <v>42228</v>
      </c>
      <c r="H2661" s="6">
        <v>6594885</v>
      </c>
      <c r="I2661" s="6">
        <v>1620750</v>
      </c>
      <c r="J2661" s="5" t="s">
        <v>186</v>
      </c>
      <c r="K2661" s="1">
        <v>3</v>
      </c>
      <c r="L2661" s="1" t="str">
        <f t="shared" si="150"/>
        <v>Norrviken 3</v>
      </c>
      <c r="M2661" s="5" t="s">
        <v>213</v>
      </c>
      <c r="N2661" s="6">
        <v>3</v>
      </c>
      <c r="O2661" s="6">
        <v>3</v>
      </c>
      <c r="Q2661" s="6">
        <v>20.2</v>
      </c>
      <c r="R2661" s="6">
        <v>10.7</v>
      </c>
      <c r="S2661" s="6">
        <v>117</v>
      </c>
    </row>
    <row r="2662" spans="1:43" x14ac:dyDescent="0.3">
      <c r="A2662" s="6">
        <v>46287</v>
      </c>
      <c r="B2662" s="5" t="s">
        <v>234</v>
      </c>
      <c r="C2662" s="5" t="s">
        <v>231</v>
      </c>
      <c r="D2662" s="2">
        <f t="shared" si="148"/>
        <v>2015</v>
      </c>
      <c r="E2662" s="2">
        <f t="shared" si="149"/>
        <v>8</v>
      </c>
      <c r="F2662" s="3" t="s">
        <v>179</v>
      </c>
      <c r="G2662" s="7">
        <v>42228</v>
      </c>
      <c r="H2662" s="6">
        <v>6594885</v>
      </c>
      <c r="I2662" s="6">
        <v>1620750</v>
      </c>
      <c r="J2662" s="5" t="s">
        <v>186</v>
      </c>
      <c r="K2662" s="1">
        <v>3</v>
      </c>
      <c r="L2662" s="1" t="str">
        <f t="shared" si="150"/>
        <v>Norrviken 3</v>
      </c>
      <c r="M2662" s="5" t="s">
        <v>214</v>
      </c>
      <c r="N2662" s="6">
        <v>4</v>
      </c>
      <c r="O2662" s="6">
        <v>4</v>
      </c>
      <c r="Q2662" s="6">
        <v>19.7</v>
      </c>
      <c r="R2662" s="6">
        <v>7.1</v>
      </c>
      <c r="S2662" s="6">
        <v>77</v>
      </c>
    </row>
    <row r="2663" spans="1:43" x14ac:dyDescent="0.3">
      <c r="A2663" s="6">
        <v>46288</v>
      </c>
      <c r="B2663" s="5" t="s">
        <v>234</v>
      </c>
      <c r="C2663" s="5" t="s">
        <v>231</v>
      </c>
      <c r="D2663" s="2">
        <f t="shared" si="148"/>
        <v>2015</v>
      </c>
      <c r="E2663" s="2">
        <f t="shared" si="149"/>
        <v>8</v>
      </c>
      <c r="F2663" s="3" t="s">
        <v>179</v>
      </c>
      <c r="G2663" s="7">
        <v>42228</v>
      </c>
      <c r="H2663" s="6">
        <v>6594885</v>
      </c>
      <c r="I2663" s="6">
        <v>1620750</v>
      </c>
      <c r="J2663" s="5" t="s">
        <v>186</v>
      </c>
      <c r="K2663" s="1">
        <v>3</v>
      </c>
      <c r="L2663" s="1" t="str">
        <f t="shared" si="150"/>
        <v>Norrviken 3</v>
      </c>
      <c r="M2663" s="5" t="s">
        <v>217</v>
      </c>
      <c r="N2663" s="6">
        <v>5</v>
      </c>
      <c r="O2663" s="6">
        <v>5</v>
      </c>
      <c r="Q2663" s="6">
        <v>19.2</v>
      </c>
      <c r="R2663" s="6">
        <v>5.6</v>
      </c>
      <c r="S2663" s="6">
        <v>60</v>
      </c>
    </row>
    <row r="2664" spans="1:43" x14ac:dyDescent="0.3">
      <c r="A2664" s="6">
        <v>46289</v>
      </c>
      <c r="B2664" s="5" t="s">
        <v>234</v>
      </c>
      <c r="C2664" s="5" t="s">
        <v>231</v>
      </c>
      <c r="D2664" s="2">
        <f t="shared" si="148"/>
        <v>2015</v>
      </c>
      <c r="E2664" s="2">
        <f t="shared" si="149"/>
        <v>8</v>
      </c>
      <c r="F2664" s="3" t="s">
        <v>179</v>
      </c>
      <c r="G2664" s="7">
        <v>42228</v>
      </c>
      <c r="H2664" s="6">
        <v>6594885</v>
      </c>
      <c r="I2664" s="6">
        <v>1620750</v>
      </c>
      <c r="J2664" s="5" t="s">
        <v>186</v>
      </c>
      <c r="K2664" s="1">
        <v>3</v>
      </c>
      <c r="L2664" s="1" t="str">
        <f t="shared" si="150"/>
        <v>Norrviken 3</v>
      </c>
      <c r="M2664" s="5" t="s">
        <v>218</v>
      </c>
      <c r="N2664" s="6">
        <v>6</v>
      </c>
      <c r="O2664" s="6">
        <v>6</v>
      </c>
      <c r="Q2664" s="6">
        <v>18.5</v>
      </c>
      <c r="R2664" s="6">
        <v>2.5</v>
      </c>
      <c r="S2664" s="6">
        <v>27</v>
      </c>
    </row>
    <row r="2665" spans="1:43" x14ac:dyDescent="0.3">
      <c r="A2665" s="6">
        <v>46290</v>
      </c>
      <c r="B2665" s="5" t="s">
        <v>234</v>
      </c>
      <c r="C2665" s="5" t="s">
        <v>231</v>
      </c>
      <c r="D2665" s="2">
        <f t="shared" si="148"/>
        <v>2015</v>
      </c>
      <c r="E2665" s="2">
        <f t="shared" si="149"/>
        <v>8</v>
      </c>
      <c r="F2665" s="3" t="s">
        <v>179</v>
      </c>
      <c r="G2665" s="7">
        <v>42228</v>
      </c>
      <c r="H2665" s="6">
        <v>6594885</v>
      </c>
      <c r="I2665" s="6">
        <v>1620750</v>
      </c>
      <c r="J2665" s="5" t="s">
        <v>186</v>
      </c>
      <c r="K2665" s="1">
        <v>3</v>
      </c>
      <c r="L2665" s="1" t="str">
        <f t="shared" si="150"/>
        <v>Norrviken 3</v>
      </c>
      <c r="M2665" s="5" t="s">
        <v>219</v>
      </c>
      <c r="N2665" s="6">
        <v>7</v>
      </c>
      <c r="O2665" s="6">
        <v>7</v>
      </c>
      <c r="Q2665" s="6">
        <v>17.5</v>
      </c>
      <c r="R2665" s="6">
        <v>0.1</v>
      </c>
      <c r="S2665" s="6">
        <v>1</v>
      </c>
    </row>
    <row r="2666" spans="1:43" x14ac:dyDescent="0.3">
      <c r="A2666" s="6">
        <v>46291</v>
      </c>
      <c r="B2666" s="5" t="s">
        <v>234</v>
      </c>
      <c r="C2666" s="5" t="s">
        <v>231</v>
      </c>
      <c r="D2666" s="2">
        <f t="shared" si="148"/>
        <v>2015</v>
      </c>
      <c r="E2666" s="2">
        <f t="shared" si="149"/>
        <v>8</v>
      </c>
      <c r="F2666" s="3" t="s">
        <v>179</v>
      </c>
      <c r="G2666" s="7">
        <v>42228</v>
      </c>
      <c r="H2666" s="6">
        <v>6594885</v>
      </c>
      <c r="I2666" s="6">
        <v>1620750</v>
      </c>
      <c r="J2666" s="5" t="s">
        <v>186</v>
      </c>
      <c r="K2666" s="1">
        <v>3</v>
      </c>
      <c r="L2666" s="1" t="str">
        <f t="shared" si="150"/>
        <v>Norrviken 3</v>
      </c>
      <c r="M2666" s="5" t="s">
        <v>220</v>
      </c>
      <c r="N2666" s="6">
        <v>8</v>
      </c>
      <c r="O2666" s="6">
        <v>8</v>
      </c>
      <c r="Q2666" s="6">
        <v>15.8</v>
      </c>
      <c r="R2666" s="6">
        <v>0.1</v>
      </c>
      <c r="S2666" s="6">
        <v>1</v>
      </c>
    </row>
    <row r="2667" spans="1:43" x14ac:dyDescent="0.3">
      <c r="A2667" s="6">
        <v>46292</v>
      </c>
      <c r="B2667" s="5" t="s">
        <v>234</v>
      </c>
      <c r="C2667" s="5" t="s">
        <v>231</v>
      </c>
      <c r="D2667" s="2">
        <f t="shared" si="148"/>
        <v>2015</v>
      </c>
      <c r="E2667" s="2">
        <f t="shared" si="149"/>
        <v>8</v>
      </c>
      <c r="F2667" s="3" t="s">
        <v>179</v>
      </c>
      <c r="G2667" s="7">
        <v>42228</v>
      </c>
      <c r="H2667" s="6">
        <v>6594885</v>
      </c>
      <c r="I2667" s="6">
        <v>1620750</v>
      </c>
      <c r="J2667" s="5" t="s">
        <v>186</v>
      </c>
      <c r="K2667" s="1">
        <v>3</v>
      </c>
      <c r="L2667" s="1" t="str">
        <f t="shared" si="150"/>
        <v>Norrviken 3</v>
      </c>
      <c r="M2667" s="5" t="s">
        <v>221</v>
      </c>
      <c r="N2667" s="6">
        <v>9</v>
      </c>
      <c r="O2667" s="6">
        <v>9</v>
      </c>
      <c r="Q2667" s="6">
        <v>14.4</v>
      </c>
      <c r="R2667" s="6">
        <v>0.1</v>
      </c>
      <c r="S2667" s="6">
        <v>1</v>
      </c>
    </row>
    <row r="2668" spans="1:43" x14ac:dyDescent="0.3">
      <c r="A2668" s="6">
        <v>46293</v>
      </c>
      <c r="B2668" s="5" t="s">
        <v>234</v>
      </c>
      <c r="C2668" s="5" t="s">
        <v>231</v>
      </c>
      <c r="D2668" s="2">
        <f t="shared" si="148"/>
        <v>2015</v>
      </c>
      <c r="E2668" s="2">
        <f t="shared" si="149"/>
        <v>8</v>
      </c>
      <c r="F2668" s="3" t="s">
        <v>179</v>
      </c>
      <c r="G2668" s="7">
        <v>42228</v>
      </c>
      <c r="H2668" s="6">
        <v>6594885</v>
      </c>
      <c r="I2668" s="6">
        <v>1620750</v>
      </c>
      <c r="J2668" s="5" t="s">
        <v>186</v>
      </c>
      <c r="K2668" s="1">
        <v>3</v>
      </c>
      <c r="L2668" s="1" t="str">
        <f t="shared" si="150"/>
        <v>Norrviken 3</v>
      </c>
      <c r="M2668" s="5" t="s">
        <v>222</v>
      </c>
      <c r="N2668" s="6">
        <v>10</v>
      </c>
      <c r="O2668" s="6">
        <v>10</v>
      </c>
      <c r="Q2668" s="6">
        <v>13</v>
      </c>
      <c r="R2668" s="6">
        <v>0.1</v>
      </c>
      <c r="S2668" s="6">
        <v>1</v>
      </c>
    </row>
    <row r="2669" spans="1:43" x14ac:dyDescent="0.3">
      <c r="A2669" s="6">
        <v>46294</v>
      </c>
      <c r="B2669" s="5" t="s">
        <v>234</v>
      </c>
      <c r="C2669" s="5" t="s">
        <v>231</v>
      </c>
      <c r="D2669" s="2">
        <f t="shared" si="148"/>
        <v>2015</v>
      </c>
      <c r="E2669" s="2">
        <f t="shared" si="149"/>
        <v>8</v>
      </c>
      <c r="F2669" s="3" t="s">
        <v>179</v>
      </c>
      <c r="G2669" s="7">
        <v>42228</v>
      </c>
      <c r="H2669" s="6">
        <v>6594885</v>
      </c>
      <c r="I2669" s="6">
        <v>1620750</v>
      </c>
      <c r="J2669" s="5" t="s">
        <v>186</v>
      </c>
      <c r="K2669" s="1">
        <v>3</v>
      </c>
      <c r="L2669" s="1" t="str">
        <f t="shared" si="150"/>
        <v>Norrviken 3</v>
      </c>
      <c r="M2669" s="5" t="s">
        <v>223</v>
      </c>
      <c r="N2669" s="6">
        <v>11</v>
      </c>
      <c r="O2669" s="6">
        <v>11</v>
      </c>
      <c r="Q2669" s="6">
        <v>12.1</v>
      </c>
      <c r="R2669" s="6">
        <v>0.1</v>
      </c>
      <c r="S2669" s="6">
        <v>1</v>
      </c>
    </row>
    <row r="2670" spans="1:43" x14ac:dyDescent="0.3">
      <c r="A2670" s="6">
        <v>46295</v>
      </c>
      <c r="B2670" s="5" t="s">
        <v>234</v>
      </c>
      <c r="C2670" s="5" t="s">
        <v>231</v>
      </c>
      <c r="D2670" s="2">
        <f t="shared" si="148"/>
        <v>2015</v>
      </c>
      <c r="E2670" s="2">
        <f t="shared" si="149"/>
        <v>8</v>
      </c>
      <c r="F2670" s="3" t="s">
        <v>179</v>
      </c>
      <c r="G2670" s="7">
        <v>42228</v>
      </c>
      <c r="H2670" s="6">
        <v>6594885</v>
      </c>
      <c r="I2670" s="6">
        <v>1620750</v>
      </c>
      <c r="J2670" s="5" t="s">
        <v>186</v>
      </c>
      <c r="K2670" s="1">
        <v>3</v>
      </c>
      <c r="L2670" s="1" t="str">
        <f t="shared" si="150"/>
        <v>Norrviken 3</v>
      </c>
      <c r="M2670" s="1" t="s">
        <v>184</v>
      </c>
      <c r="N2670" s="6">
        <v>11.5</v>
      </c>
      <c r="O2670" s="6">
        <v>11.5</v>
      </c>
      <c r="Q2670" s="6">
        <v>11.9</v>
      </c>
      <c r="R2670" s="6">
        <v>0.1</v>
      </c>
      <c r="S2670" s="6">
        <v>1</v>
      </c>
      <c r="V2670" s="6">
        <v>2.951025</v>
      </c>
      <c r="W2670" s="6">
        <v>1653.0812000000001</v>
      </c>
      <c r="X2670" s="1">
        <f>W2670 * (1/((10^((0.0901821 + (2729.92 /(273.15 + Q2670)))-AE2670)+1)))</f>
        <v>11.431726828397696</v>
      </c>
      <c r="Y2670" s="6">
        <v>7.3999999999999996E-2</v>
      </c>
      <c r="Z2670" s="6">
        <v>698.94</v>
      </c>
      <c r="AA2670" s="6">
        <v>16</v>
      </c>
      <c r="AD2670" s="6">
        <v>0</v>
      </c>
      <c r="AE2670" s="6">
        <v>7.51</v>
      </c>
      <c r="AK2670" s="6">
        <v>798.7</v>
      </c>
      <c r="AL2670" s="6">
        <v>2120.8249999999998</v>
      </c>
      <c r="AM2670" s="6"/>
      <c r="AN2670" s="6"/>
      <c r="AO2670" s="6"/>
      <c r="AP2670" s="6"/>
      <c r="AQ2670" s="6"/>
    </row>
    <row r="2671" spans="1:43" x14ac:dyDescent="0.3">
      <c r="A2671" s="6">
        <v>46296</v>
      </c>
      <c r="B2671" s="5" t="s">
        <v>234</v>
      </c>
      <c r="C2671" s="5" t="s">
        <v>231</v>
      </c>
      <c r="D2671" s="2">
        <f t="shared" si="148"/>
        <v>2015</v>
      </c>
      <c r="E2671" s="2">
        <f t="shared" si="149"/>
        <v>8</v>
      </c>
      <c r="F2671" s="3" t="s">
        <v>179</v>
      </c>
      <c r="G2671" s="7">
        <v>42228</v>
      </c>
      <c r="H2671" s="6">
        <v>6597300</v>
      </c>
      <c r="I2671" s="6">
        <v>1619975</v>
      </c>
      <c r="J2671" s="5" t="s">
        <v>186</v>
      </c>
      <c r="K2671" s="1">
        <v>4</v>
      </c>
      <c r="L2671" s="1" t="str">
        <f t="shared" si="150"/>
        <v>Norrviken 4</v>
      </c>
      <c r="M2671" s="1" t="s">
        <v>177</v>
      </c>
      <c r="N2671" s="6">
        <v>0.5</v>
      </c>
      <c r="O2671" s="6">
        <v>0.5</v>
      </c>
      <c r="P2671" s="6">
        <v>2</v>
      </c>
      <c r="Q2671" s="6">
        <v>20.9</v>
      </c>
      <c r="R2671" s="6">
        <v>9.6</v>
      </c>
      <c r="S2671" s="6">
        <v>107</v>
      </c>
      <c r="V2671" s="6">
        <v>2.2995000000000001</v>
      </c>
      <c r="W2671" s="6">
        <v>3.7663000000000002</v>
      </c>
      <c r="X2671" s="1">
        <f>W2671 * (1/((10^((0.0901821 + (2729.92 /(273.15 + Q2671)))-AE2671)+1)))</f>
        <v>0.34668266139753251</v>
      </c>
      <c r="Y2671" s="6">
        <v>4.4999999999999998E-2</v>
      </c>
      <c r="Z2671" s="6">
        <v>17.3</v>
      </c>
      <c r="AA2671" s="6">
        <v>4</v>
      </c>
      <c r="AB2671" s="6">
        <v>11.63007</v>
      </c>
      <c r="AD2671" s="6">
        <v>0</v>
      </c>
      <c r="AE2671" s="6">
        <v>8.3800000000000008</v>
      </c>
      <c r="AK2671" s="6">
        <v>55.12</v>
      </c>
      <c r="AL2671" s="6">
        <v>780.44500000000005</v>
      </c>
      <c r="AM2671" s="6"/>
      <c r="AN2671" s="6"/>
      <c r="AO2671" s="6"/>
      <c r="AP2671" s="6"/>
      <c r="AQ2671" s="6"/>
    </row>
    <row r="2672" spans="1:43" x14ac:dyDescent="0.3">
      <c r="A2672" s="6">
        <v>46297</v>
      </c>
      <c r="B2672" s="5" t="s">
        <v>234</v>
      </c>
      <c r="C2672" s="5" t="s">
        <v>231</v>
      </c>
      <c r="D2672" s="2">
        <f t="shared" si="148"/>
        <v>2015</v>
      </c>
      <c r="E2672" s="2">
        <f t="shared" si="149"/>
        <v>8</v>
      </c>
      <c r="F2672" s="3" t="s">
        <v>179</v>
      </c>
      <c r="G2672" s="7">
        <v>42228</v>
      </c>
      <c r="H2672" s="6">
        <v>6597300</v>
      </c>
      <c r="I2672" s="6">
        <v>1619975</v>
      </c>
      <c r="J2672" s="5" t="s">
        <v>186</v>
      </c>
      <c r="K2672" s="1">
        <v>4</v>
      </c>
      <c r="L2672" s="1" t="str">
        <f t="shared" si="150"/>
        <v>Norrviken 4</v>
      </c>
      <c r="M2672" s="5" t="s">
        <v>211</v>
      </c>
      <c r="N2672" s="6">
        <v>1</v>
      </c>
      <c r="O2672" s="6">
        <v>1</v>
      </c>
      <c r="Q2672" s="6">
        <v>20.9</v>
      </c>
      <c r="R2672" s="6">
        <v>9.6</v>
      </c>
      <c r="S2672" s="6">
        <v>106</v>
      </c>
    </row>
    <row r="2673" spans="1:91" x14ac:dyDescent="0.3">
      <c r="A2673" s="6">
        <v>46298</v>
      </c>
      <c r="B2673" s="5" t="s">
        <v>234</v>
      </c>
      <c r="C2673" s="5" t="s">
        <v>231</v>
      </c>
      <c r="D2673" s="2">
        <f t="shared" si="148"/>
        <v>2015</v>
      </c>
      <c r="E2673" s="2">
        <f t="shared" si="149"/>
        <v>8</v>
      </c>
      <c r="F2673" s="3" t="s">
        <v>179</v>
      </c>
      <c r="G2673" s="7">
        <v>42228</v>
      </c>
      <c r="H2673" s="6">
        <v>6597300</v>
      </c>
      <c r="I2673" s="6">
        <v>1619975</v>
      </c>
      <c r="J2673" s="5" t="s">
        <v>186</v>
      </c>
      <c r="K2673" s="1">
        <v>4</v>
      </c>
      <c r="L2673" s="1" t="str">
        <f t="shared" si="150"/>
        <v>Norrviken 4</v>
      </c>
      <c r="M2673" s="1" t="s">
        <v>184</v>
      </c>
      <c r="N2673" s="6">
        <v>2</v>
      </c>
      <c r="O2673" s="6">
        <v>2</v>
      </c>
      <c r="Q2673" s="6">
        <v>20.7</v>
      </c>
      <c r="R2673" s="6">
        <v>8.4</v>
      </c>
      <c r="S2673" s="6">
        <v>93</v>
      </c>
      <c r="V2673" s="6">
        <v>2.4144749999999999</v>
      </c>
      <c r="W2673" s="6">
        <v>4.1195000000000004</v>
      </c>
      <c r="X2673" s="1">
        <f>W2673 * (1/((10^((0.0901821 + (2729.92 /(273.15 + Q2673)))-AE2673)+1)))</f>
        <v>0.35136780439310844</v>
      </c>
      <c r="Y2673" s="6">
        <v>4.4999999999999998E-2</v>
      </c>
      <c r="Z2673" s="6">
        <v>15.32</v>
      </c>
      <c r="AA2673" s="6">
        <v>4.2</v>
      </c>
      <c r="AD2673" s="6">
        <v>0</v>
      </c>
      <c r="AE2673" s="6">
        <v>8.35</v>
      </c>
      <c r="AK2673" s="6">
        <v>53.91</v>
      </c>
      <c r="AL2673" s="6">
        <v>764.82500000000005</v>
      </c>
      <c r="AM2673" s="6"/>
      <c r="AN2673" s="6"/>
      <c r="AO2673" s="6"/>
      <c r="AP2673" s="6"/>
      <c r="AQ2673" s="6"/>
    </row>
    <row r="2674" spans="1:91" x14ac:dyDescent="0.3">
      <c r="A2674" s="6">
        <v>46300</v>
      </c>
      <c r="B2674" s="5" t="s">
        <v>234</v>
      </c>
      <c r="C2674" s="5" t="s">
        <v>231</v>
      </c>
      <c r="D2674" s="2">
        <f t="shared" si="148"/>
        <v>2015</v>
      </c>
      <c r="E2674" s="2">
        <f t="shared" si="149"/>
        <v>8</v>
      </c>
      <c r="F2674" s="3" t="s">
        <v>179</v>
      </c>
      <c r="G2674" s="7">
        <v>42228</v>
      </c>
      <c r="H2674" s="6">
        <v>6593820</v>
      </c>
      <c r="I2674" s="6">
        <v>1624215</v>
      </c>
      <c r="J2674" s="5" t="s">
        <v>189</v>
      </c>
      <c r="K2674" s="1"/>
      <c r="L2674" s="1" t="str">
        <f t="shared" si="150"/>
        <v xml:space="preserve">Rösjön </v>
      </c>
      <c r="M2674" s="1" t="s">
        <v>177</v>
      </c>
      <c r="N2674" s="6">
        <v>0.5</v>
      </c>
      <c r="O2674" s="6">
        <v>0.5</v>
      </c>
      <c r="P2674" s="6">
        <v>5.6</v>
      </c>
      <c r="Q2674" s="6">
        <v>21.5</v>
      </c>
      <c r="R2674" s="6">
        <v>9.9</v>
      </c>
      <c r="S2674" s="6">
        <v>111</v>
      </c>
      <c r="V2674" s="6">
        <v>1.5904875000000001</v>
      </c>
      <c r="W2674" s="6">
        <v>2.9009</v>
      </c>
      <c r="X2674" s="1">
        <f>W2674 * (1/((10^((0.0901821 + (2729.92 /(273.15 + Q2674)))-AE2674)+1)))</f>
        <v>0.19380416470500611</v>
      </c>
      <c r="Y2674" s="6">
        <v>2.9000000000000001E-2</v>
      </c>
      <c r="Z2674" s="6">
        <v>0.79</v>
      </c>
      <c r="AA2674" s="6">
        <v>0.86</v>
      </c>
      <c r="AB2674" s="6">
        <v>4.2137099999999998</v>
      </c>
      <c r="AD2674" s="6">
        <v>0</v>
      </c>
      <c r="AE2674" s="6">
        <v>8.2100000000000009</v>
      </c>
      <c r="AK2674" s="6">
        <v>15.07</v>
      </c>
      <c r="AL2674" s="6">
        <v>514.69500000000005</v>
      </c>
      <c r="AM2674" s="6"/>
      <c r="AN2674" s="6"/>
      <c r="AO2674" s="6"/>
      <c r="AP2674" s="6"/>
      <c r="AQ2674" s="6"/>
      <c r="AR2674" s="6">
        <v>27.5</v>
      </c>
      <c r="AS2674" s="6">
        <v>1.8800000000000001E-2</v>
      </c>
      <c r="AT2674" s="6">
        <v>1.92</v>
      </c>
      <c r="AU2674" s="6">
        <v>4.04</v>
      </c>
      <c r="AW2674" s="6">
        <v>14.5</v>
      </c>
      <c r="AY2674" s="6">
        <v>0.63500000000000001</v>
      </c>
      <c r="AZ2674" s="6">
        <v>6.72</v>
      </c>
      <c r="BA2674" s="6">
        <v>0.84399999999999897</v>
      </c>
      <c r="BB2674" s="6">
        <v>13.8</v>
      </c>
      <c r="BC2674" s="6">
        <v>1E-3</v>
      </c>
      <c r="BD2674" s="6">
        <v>1.3100000000000001E-2</v>
      </c>
      <c r="BE2674" s="6">
        <v>3.4000000000000002E-2</v>
      </c>
      <c r="BF2674" s="6">
        <v>1.33</v>
      </c>
      <c r="BG2674" s="6">
        <v>4.9500000000000004E-3</v>
      </c>
      <c r="BH2674" s="6">
        <v>6.51</v>
      </c>
      <c r="BI2674" s="6">
        <v>0.56499999999999895</v>
      </c>
      <c r="BJ2674" s="6">
        <v>0.42899999999999899</v>
      </c>
      <c r="BK2674" s="6">
        <v>10.1</v>
      </c>
      <c r="BL2674" s="6">
        <v>5.1799999999999902E-2</v>
      </c>
      <c r="BM2674" s="6">
        <v>73.599999999999895</v>
      </c>
      <c r="BN2674" s="6">
        <v>0.247</v>
      </c>
      <c r="BO2674" s="6">
        <v>2.02</v>
      </c>
      <c r="BQ2674" s="6">
        <v>2.8</v>
      </c>
      <c r="BR2674" s="6">
        <v>1E-3</v>
      </c>
      <c r="BS2674" s="6">
        <v>1.54E-2</v>
      </c>
      <c r="BT2674" s="6">
        <v>2.7799999999999901E-2</v>
      </c>
      <c r="BU2674" s="6">
        <v>1.24</v>
      </c>
      <c r="BV2674" s="6">
        <v>0.50800000000000001</v>
      </c>
      <c r="BW2674" s="6">
        <v>0.39200000000000002</v>
      </c>
      <c r="BX2674" s="6">
        <v>1.9E-2</v>
      </c>
      <c r="BY2674" s="6">
        <v>3.11</v>
      </c>
      <c r="BZ2674" s="6">
        <v>27.1</v>
      </c>
      <c r="CA2674" s="6">
        <v>4.01</v>
      </c>
      <c r="CC2674" s="6">
        <v>9.0299999999999894E-3</v>
      </c>
      <c r="CD2674" s="6">
        <v>1.86</v>
      </c>
      <c r="CE2674" s="6">
        <v>14.3</v>
      </c>
      <c r="CF2674" s="6">
        <v>0.621</v>
      </c>
      <c r="CG2674" s="6">
        <v>0.85499999999999898</v>
      </c>
      <c r="CH2674" s="6">
        <v>14.1</v>
      </c>
      <c r="CI2674" s="6">
        <v>1E-3</v>
      </c>
      <c r="CJ2674" s="6">
        <v>0.58599999999999897</v>
      </c>
      <c r="CK2674" s="6">
        <v>7.12</v>
      </c>
      <c r="CL2674" s="6">
        <v>0.23499999999999899</v>
      </c>
      <c r="CM2674" s="6">
        <v>73</v>
      </c>
    </row>
    <row r="2675" spans="1:91" x14ac:dyDescent="0.3">
      <c r="A2675" s="6">
        <v>46301</v>
      </c>
      <c r="B2675" s="5" t="s">
        <v>234</v>
      </c>
      <c r="C2675" s="5" t="s">
        <v>231</v>
      </c>
      <c r="D2675" s="2">
        <f t="shared" si="148"/>
        <v>2015</v>
      </c>
      <c r="E2675" s="2">
        <f t="shared" si="149"/>
        <v>8</v>
      </c>
      <c r="F2675" s="3" t="s">
        <v>179</v>
      </c>
      <c r="G2675" s="7">
        <v>42228</v>
      </c>
      <c r="H2675" s="6">
        <v>6593820</v>
      </c>
      <c r="I2675" s="6">
        <v>1624215</v>
      </c>
      <c r="J2675" s="5" t="s">
        <v>189</v>
      </c>
      <c r="K2675" s="1"/>
      <c r="L2675" s="1" t="str">
        <f t="shared" si="150"/>
        <v xml:space="preserve">Rösjön </v>
      </c>
      <c r="M2675" s="5" t="s">
        <v>211</v>
      </c>
      <c r="N2675" s="6">
        <v>1</v>
      </c>
      <c r="O2675" s="6">
        <v>1</v>
      </c>
      <c r="Q2675" s="6">
        <v>21.4</v>
      </c>
      <c r="R2675" s="6">
        <v>9.8000000000000007</v>
      </c>
      <c r="S2675" s="6">
        <v>110</v>
      </c>
    </row>
    <row r="2676" spans="1:91" x14ac:dyDescent="0.3">
      <c r="A2676" s="6">
        <v>46302</v>
      </c>
      <c r="B2676" s="5" t="s">
        <v>234</v>
      </c>
      <c r="C2676" s="5" t="s">
        <v>231</v>
      </c>
      <c r="D2676" s="2">
        <f t="shared" si="148"/>
        <v>2015</v>
      </c>
      <c r="E2676" s="2">
        <f t="shared" si="149"/>
        <v>8</v>
      </c>
      <c r="F2676" s="3" t="s">
        <v>179</v>
      </c>
      <c r="G2676" s="7">
        <v>42228</v>
      </c>
      <c r="H2676" s="6">
        <v>6593820</v>
      </c>
      <c r="I2676" s="6">
        <v>1624215</v>
      </c>
      <c r="J2676" s="5" t="s">
        <v>189</v>
      </c>
      <c r="K2676" s="1"/>
      <c r="L2676" s="1" t="str">
        <f t="shared" si="150"/>
        <v xml:space="preserve">Rösjön </v>
      </c>
      <c r="M2676" s="5" t="s">
        <v>212</v>
      </c>
      <c r="N2676" s="6">
        <v>2</v>
      </c>
      <c r="O2676" s="6">
        <v>2</v>
      </c>
      <c r="Q2676" s="6">
        <v>21.2</v>
      </c>
      <c r="R2676" s="6">
        <v>9.8000000000000007</v>
      </c>
      <c r="S2676" s="6">
        <v>110</v>
      </c>
    </row>
    <row r="2677" spans="1:91" x14ac:dyDescent="0.3">
      <c r="A2677" s="6">
        <v>46303</v>
      </c>
      <c r="B2677" s="5" t="s">
        <v>234</v>
      </c>
      <c r="C2677" s="5" t="s">
        <v>231</v>
      </c>
      <c r="D2677" s="2">
        <f t="shared" si="148"/>
        <v>2015</v>
      </c>
      <c r="E2677" s="2">
        <f t="shared" si="149"/>
        <v>8</v>
      </c>
      <c r="F2677" s="3" t="s">
        <v>179</v>
      </c>
      <c r="G2677" s="7">
        <v>42228</v>
      </c>
      <c r="H2677" s="6">
        <v>6593820</v>
      </c>
      <c r="I2677" s="6">
        <v>1624215</v>
      </c>
      <c r="J2677" s="5" t="s">
        <v>189</v>
      </c>
      <c r="K2677" s="1"/>
      <c r="L2677" s="1" t="str">
        <f t="shared" si="150"/>
        <v xml:space="preserve">Rösjön </v>
      </c>
      <c r="M2677" s="5" t="s">
        <v>213</v>
      </c>
      <c r="N2677" s="6">
        <v>3</v>
      </c>
      <c r="O2677" s="6">
        <v>3</v>
      </c>
      <c r="Q2677" s="6">
        <v>21</v>
      </c>
      <c r="R2677" s="6">
        <v>9.6</v>
      </c>
      <c r="S2677" s="6">
        <v>107</v>
      </c>
    </row>
    <row r="2678" spans="1:91" x14ac:dyDescent="0.3">
      <c r="A2678" s="6">
        <v>46304</v>
      </c>
      <c r="B2678" s="5" t="s">
        <v>234</v>
      </c>
      <c r="C2678" s="5" t="s">
        <v>231</v>
      </c>
      <c r="D2678" s="2">
        <f t="shared" si="148"/>
        <v>2015</v>
      </c>
      <c r="E2678" s="2">
        <f t="shared" si="149"/>
        <v>8</v>
      </c>
      <c r="F2678" s="3" t="s">
        <v>179</v>
      </c>
      <c r="G2678" s="7">
        <v>42228</v>
      </c>
      <c r="H2678" s="6">
        <v>6593820</v>
      </c>
      <c r="I2678" s="6">
        <v>1624215</v>
      </c>
      <c r="J2678" s="5" t="s">
        <v>189</v>
      </c>
      <c r="K2678" s="1"/>
      <c r="L2678" s="1" t="str">
        <f t="shared" si="150"/>
        <v xml:space="preserve">Rösjön </v>
      </c>
      <c r="M2678" s="5" t="s">
        <v>214</v>
      </c>
      <c r="N2678" s="6">
        <v>4</v>
      </c>
      <c r="O2678" s="6">
        <v>4</v>
      </c>
      <c r="Q2678" s="6">
        <v>20.3</v>
      </c>
      <c r="R2678" s="6">
        <v>8</v>
      </c>
      <c r="S2678" s="6">
        <v>88</v>
      </c>
    </row>
    <row r="2679" spans="1:91" x14ac:dyDescent="0.3">
      <c r="A2679" s="6">
        <v>46305</v>
      </c>
      <c r="B2679" s="5" t="s">
        <v>234</v>
      </c>
      <c r="C2679" s="5" t="s">
        <v>231</v>
      </c>
      <c r="D2679" s="2">
        <f t="shared" si="148"/>
        <v>2015</v>
      </c>
      <c r="E2679" s="2">
        <f t="shared" si="149"/>
        <v>8</v>
      </c>
      <c r="F2679" s="3" t="s">
        <v>179</v>
      </c>
      <c r="G2679" s="7">
        <v>42228</v>
      </c>
      <c r="H2679" s="6">
        <v>6593820</v>
      </c>
      <c r="I2679" s="6">
        <v>1624215</v>
      </c>
      <c r="J2679" s="5" t="s">
        <v>189</v>
      </c>
      <c r="K2679" s="1"/>
      <c r="L2679" s="1" t="str">
        <f t="shared" si="150"/>
        <v xml:space="preserve">Rösjön </v>
      </c>
      <c r="M2679" s="5" t="s">
        <v>217</v>
      </c>
      <c r="N2679" s="6">
        <v>5</v>
      </c>
      <c r="O2679" s="6">
        <v>5</v>
      </c>
      <c r="Q2679" s="6">
        <v>19.600000000000001</v>
      </c>
      <c r="R2679" s="6">
        <v>4.5999999999999996</v>
      </c>
      <c r="S2679" s="6">
        <v>50</v>
      </c>
    </row>
    <row r="2680" spans="1:91" x14ac:dyDescent="0.3">
      <c r="A2680" s="6">
        <v>46306</v>
      </c>
      <c r="B2680" s="5" t="s">
        <v>234</v>
      </c>
      <c r="C2680" s="5" t="s">
        <v>231</v>
      </c>
      <c r="D2680" s="2">
        <f t="shared" si="148"/>
        <v>2015</v>
      </c>
      <c r="E2680" s="2">
        <f t="shared" si="149"/>
        <v>8</v>
      </c>
      <c r="F2680" s="3" t="s">
        <v>179</v>
      </c>
      <c r="G2680" s="7">
        <v>42228</v>
      </c>
      <c r="H2680" s="6">
        <v>6593820</v>
      </c>
      <c r="I2680" s="6">
        <v>1624215</v>
      </c>
      <c r="J2680" s="5" t="s">
        <v>189</v>
      </c>
      <c r="K2680" s="1"/>
      <c r="L2680" s="1" t="str">
        <f t="shared" si="150"/>
        <v xml:space="preserve">Rösjön </v>
      </c>
      <c r="M2680" s="5" t="s">
        <v>218</v>
      </c>
      <c r="N2680" s="6">
        <v>6</v>
      </c>
      <c r="O2680" s="6">
        <v>6</v>
      </c>
      <c r="Q2680" s="6">
        <v>18.8</v>
      </c>
      <c r="R2680" s="6">
        <v>0.7</v>
      </c>
      <c r="S2680" s="6">
        <v>8</v>
      </c>
    </row>
    <row r="2681" spans="1:91" x14ac:dyDescent="0.3">
      <c r="A2681" s="6">
        <v>46307</v>
      </c>
      <c r="B2681" s="5" t="s">
        <v>234</v>
      </c>
      <c r="C2681" s="5" t="s">
        <v>231</v>
      </c>
      <c r="D2681" s="2">
        <f t="shared" si="148"/>
        <v>2015</v>
      </c>
      <c r="E2681" s="2">
        <f t="shared" si="149"/>
        <v>8</v>
      </c>
      <c r="F2681" s="3" t="s">
        <v>179</v>
      </c>
      <c r="G2681" s="7">
        <v>42228</v>
      </c>
      <c r="H2681" s="6">
        <v>6593820</v>
      </c>
      <c r="I2681" s="6">
        <v>1624215</v>
      </c>
      <c r="J2681" s="5" t="s">
        <v>189</v>
      </c>
      <c r="K2681" s="1"/>
      <c r="L2681" s="1" t="str">
        <f t="shared" si="150"/>
        <v xml:space="preserve">Rösjön </v>
      </c>
      <c r="M2681" s="1" t="s">
        <v>184</v>
      </c>
      <c r="N2681" s="6">
        <v>6.7</v>
      </c>
      <c r="O2681" s="6">
        <v>6.7</v>
      </c>
      <c r="Q2681" s="6">
        <v>18.600000000000001</v>
      </c>
      <c r="R2681" s="6">
        <v>0.1</v>
      </c>
      <c r="S2681" s="6">
        <v>1</v>
      </c>
      <c r="V2681" s="6">
        <v>1.5904875000000001</v>
      </c>
      <c r="W2681" s="6">
        <v>18.157900000000001</v>
      </c>
      <c r="X2681" s="1">
        <f>W2681 * (1/((10^((0.0901821 + (2729.92 /(273.15 + Q2681)))-AE2681)+1)))</f>
        <v>0.11198107468328525</v>
      </c>
      <c r="Y2681" s="6">
        <v>4.3999999999999997E-2</v>
      </c>
      <c r="Z2681" s="6">
        <v>6.73</v>
      </c>
      <c r="AA2681" s="6">
        <v>3.2</v>
      </c>
      <c r="AD2681" s="6">
        <v>0</v>
      </c>
      <c r="AE2681" s="6">
        <v>7.24</v>
      </c>
      <c r="AK2681" s="6">
        <v>35.53</v>
      </c>
      <c r="AL2681" s="6">
        <v>529.54499999999996</v>
      </c>
      <c r="AM2681" s="6"/>
      <c r="AN2681" s="6"/>
      <c r="AO2681" s="6"/>
      <c r="AP2681" s="6"/>
      <c r="AQ2681" s="6"/>
    </row>
    <row r="2682" spans="1:91" x14ac:dyDescent="0.3">
      <c r="A2682" s="6">
        <v>46330</v>
      </c>
      <c r="B2682" s="5" t="s">
        <v>234</v>
      </c>
      <c r="C2682" s="5" t="s">
        <v>231</v>
      </c>
      <c r="D2682" s="2">
        <f t="shared" si="148"/>
        <v>2015</v>
      </c>
      <c r="E2682" s="2">
        <f t="shared" si="149"/>
        <v>8</v>
      </c>
      <c r="F2682" s="3" t="s">
        <v>179</v>
      </c>
      <c r="G2682" s="7">
        <v>42229</v>
      </c>
      <c r="H2682" s="6">
        <v>6597555</v>
      </c>
      <c r="I2682" s="6">
        <v>1629125</v>
      </c>
      <c r="J2682" s="5" t="s">
        <v>185</v>
      </c>
      <c r="K2682" s="1"/>
      <c r="L2682" s="1" t="str">
        <f t="shared" si="150"/>
        <v xml:space="preserve">Gullsjön </v>
      </c>
      <c r="M2682" s="1" t="s">
        <v>177</v>
      </c>
      <c r="N2682" s="6">
        <v>0.5</v>
      </c>
      <c r="O2682" s="6">
        <v>0.5</v>
      </c>
      <c r="P2682" s="6">
        <v>2</v>
      </c>
      <c r="Q2682" s="6">
        <v>19.100000000000001</v>
      </c>
      <c r="R2682" s="6">
        <v>5.0999999999999996</v>
      </c>
      <c r="S2682" s="6">
        <v>55</v>
      </c>
      <c r="V2682" s="6">
        <v>1.4812988235</v>
      </c>
      <c r="W2682" s="6">
        <v>7.9955999999999996</v>
      </c>
      <c r="X2682" s="1">
        <f>W2682 * (1/((10^((0.0901821 + (2729.92 /(273.15 + Q2682)))-AE2682)+1)))</f>
        <v>3.465285437702452E-2</v>
      </c>
      <c r="Y2682" s="6">
        <v>0.13700000000000001</v>
      </c>
      <c r="Z2682" s="6">
        <v>0.77</v>
      </c>
      <c r="AA2682" s="6">
        <v>0.7</v>
      </c>
      <c r="AB2682" s="6">
        <v>3.0213899999999998</v>
      </c>
      <c r="AC2682" s="6">
        <v>37.299999999999997</v>
      </c>
      <c r="AD2682" s="6">
        <v>0.71</v>
      </c>
      <c r="AE2682" s="6">
        <v>7.07</v>
      </c>
      <c r="AK2682" s="6">
        <v>16.25</v>
      </c>
      <c r="AL2682" s="6">
        <v>649.69500000000005</v>
      </c>
      <c r="AM2682" s="6"/>
      <c r="AN2682" s="6"/>
      <c r="AO2682" s="6"/>
      <c r="AP2682" s="6"/>
      <c r="AQ2682" s="6"/>
      <c r="AV2682" s="6">
        <v>62.9</v>
      </c>
    </row>
    <row r="2683" spans="1:91" x14ac:dyDescent="0.3">
      <c r="A2683" s="6">
        <v>46331</v>
      </c>
      <c r="B2683" s="5" t="s">
        <v>234</v>
      </c>
      <c r="C2683" s="5" t="s">
        <v>231</v>
      </c>
      <c r="D2683" s="2">
        <f t="shared" si="148"/>
        <v>2015</v>
      </c>
      <c r="E2683" s="2">
        <f t="shared" si="149"/>
        <v>8</v>
      </c>
      <c r="F2683" s="3" t="s">
        <v>179</v>
      </c>
      <c r="G2683" s="7">
        <v>42229</v>
      </c>
      <c r="H2683" s="6">
        <v>6597555</v>
      </c>
      <c r="I2683" s="6">
        <v>1629125</v>
      </c>
      <c r="J2683" s="5" t="s">
        <v>185</v>
      </c>
      <c r="K2683" s="1"/>
      <c r="L2683" s="1" t="str">
        <f t="shared" si="150"/>
        <v xml:space="preserve">Gullsjön </v>
      </c>
      <c r="M2683" s="5" t="s">
        <v>211</v>
      </c>
      <c r="N2683" s="6">
        <v>1</v>
      </c>
      <c r="O2683" s="6">
        <v>1</v>
      </c>
      <c r="Q2683" s="6">
        <v>19.100000000000001</v>
      </c>
      <c r="R2683" s="6">
        <v>5</v>
      </c>
      <c r="S2683" s="6">
        <v>53</v>
      </c>
    </row>
    <row r="2684" spans="1:91" x14ac:dyDescent="0.3">
      <c r="A2684" s="6">
        <v>46332</v>
      </c>
      <c r="B2684" s="5" t="s">
        <v>234</v>
      </c>
      <c r="C2684" s="5" t="s">
        <v>231</v>
      </c>
      <c r="D2684" s="2">
        <f t="shared" si="148"/>
        <v>2015</v>
      </c>
      <c r="E2684" s="2">
        <f t="shared" si="149"/>
        <v>8</v>
      </c>
      <c r="F2684" s="3" t="s">
        <v>179</v>
      </c>
      <c r="G2684" s="7">
        <v>42229</v>
      </c>
      <c r="H2684" s="6">
        <v>6597555</v>
      </c>
      <c r="I2684" s="6">
        <v>1629125</v>
      </c>
      <c r="J2684" s="5" t="s">
        <v>185</v>
      </c>
      <c r="K2684" s="1"/>
      <c r="L2684" s="1" t="str">
        <f t="shared" si="150"/>
        <v xml:space="preserve">Gullsjön </v>
      </c>
      <c r="M2684" s="1" t="s">
        <v>184</v>
      </c>
      <c r="N2684" s="6">
        <v>2</v>
      </c>
      <c r="O2684" s="6">
        <v>2</v>
      </c>
      <c r="Q2684" s="6">
        <v>16.7</v>
      </c>
      <c r="R2684" s="6">
        <v>0.1</v>
      </c>
      <c r="S2684" s="6">
        <v>1</v>
      </c>
      <c r="V2684" s="6">
        <v>1.5582494117999999</v>
      </c>
      <c r="W2684" s="6">
        <v>0</v>
      </c>
      <c r="X2684" s="1">
        <f>W2684 * (1/((10^((0.0901821 + (2729.92 /(273.15 + Q2684)))-AE2684)+1)))</f>
        <v>0</v>
      </c>
      <c r="Y2684" s="6">
        <v>0.13300000000000001</v>
      </c>
      <c r="Z2684" s="6">
        <v>0.28999999999999998</v>
      </c>
      <c r="AA2684" s="6">
        <v>1.4</v>
      </c>
      <c r="AC2684" s="6">
        <v>37.6</v>
      </c>
      <c r="AD2684" s="6">
        <v>0</v>
      </c>
      <c r="AE2684" s="6">
        <v>6.86</v>
      </c>
      <c r="AK2684" s="6">
        <v>20.57</v>
      </c>
      <c r="AL2684" s="6">
        <v>663.375</v>
      </c>
      <c r="AM2684" s="6"/>
      <c r="AN2684" s="6"/>
      <c r="AO2684" s="6"/>
      <c r="AP2684" s="6"/>
      <c r="AQ2684" s="6"/>
      <c r="AV2684" s="6">
        <v>62.8</v>
      </c>
    </row>
    <row r="2685" spans="1:91" x14ac:dyDescent="0.3">
      <c r="A2685" s="6">
        <v>46333</v>
      </c>
      <c r="B2685" s="5" t="s">
        <v>234</v>
      </c>
      <c r="C2685" s="5" t="s">
        <v>231</v>
      </c>
      <c r="D2685" s="2">
        <f t="shared" si="148"/>
        <v>2015</v>
      </c>
      <c r="E2685" s="2">
        <f t="shared" si="149"/>
        <v>8</v>
      </c>
      <c r="F2685" s="3" t="s">
        <v>179</v>
      </c>
      <c r="G2685" s="7">
        <v>42229</v>
      </c>
      <c r="H2685" s="6">
        <v>6595400</v>
      </c>
      <c r="I2685" s="6">
        <v>1624045</v>
      </c>
      <c r="J2685" s="5" t="s">
        <v>183</v>
      </c>
      <c r="K2685" s="1"/>
      <c r="L2685" s="1" t="str">
        <f t="shared" si="150"/>
        <v xml:space="preserve">Fjäturen </v>
      </c>
      <c r="M2685" s="1" t="s">
        <v>177</v>
      </c>
      <c r="N2685" s="6">
        <v>0.5</v>
      </c>
      <c r="O2685" s="6">
        <v>0.5</v>
      </c>
      <c r="P2685" s="6">
        <v>3.9</v>
      </c>
      <c r="Q2685" s="6">
        <v>20.9</v>
      </c>
      <c r="R2685" s="6">
        <v>8.6</v>
      </c>
      <c r="S2685" s="6">
        <v>94</v>
      </c>
      <c r="V2685" s="6">
        <v>1.943002353</v>
      </c>
      <c r="W2685" s="6">
        <v>11.1707</v>
      </c>
      <c r="X2685" s="1">
        <f>W2685 * (1/((10^((0.0901821 + (2729.92 /(273.15 + Q2685)))-AE2685)+1)))</f>
        <v>0.39658494215500611</v>
      </c>
      <c r="Y2685" s="6">
        <v>0.06</v>
      </c>
      <c r="Z2685" s="6">
        <v>0.69</v>
      </c>
      <c r="AA2685" s="6">
        <v>1.6</v>
      </c>
      <c r="AB2685" s="6">
        <v>3.8169900000000001</v>
      </c>
      <c r="AD2685" s="6">
        <v>1.05</v>
      </c>
      <c r="AE2685" s="6">
        <v>7.9399999999999995</v>
      </c>
      <c r="AK2685" s="6">
        <v>17.940000000000001</v>
      </c>
      <c r="AL2685" s="6">
        <v>604.05499999999995</v>
      </c>
      <c r="AM2685" s="6"/>
      <c r="AN2685" s="6"/>
      <c r="AO2685" s="6"/>
      <c r="AP2685" s="6"/>
      <c r="AQ2685" s="6"/>
    </row>
    <row r="2686" spans="1:91" x14ac:dyDescent="0.3">
      <c r="A2686" s="6">
        <v>46334</v>
      </c>
      <c r="B2686" s="5" t="s">
        <v>234</v>
      </c>
      <c r="C2686" s="5" t="s">
        <v>231</v>
      </c>
      <c r="D2686" s="2">
        <f t="shared" si="148"/>
        <v>2015</v>
      </c>
      <c r="E2686" s="2">
        <f t="shared" si="149"/>
        <v>8</v>
      </c>
      <c r="F2686" s="3" t="s">
        <v>179</v>
      </c>
      <c r="G2686" s="7">
        <v>42229</v>
      </c>
      <c r="H2686" s="6">
        <v>6595400</v>
      </c>
      <c r="I2686" s="6">
        <v>1624045</v>
      </c>
      <c r="J2686" s="5" t="s">
        <v>183</v>
      </c>
      <c r="K2686" s="1"/>
      <c r="L2686" s="1" t="str">
        <f t="shared" si="150"/>
        <v xml:space="preserve">Fjäturen </v>
      </c>
      <c r="M2686" s="5" t="s">
        <v>211</v>
      </c>
      <c r="N2686" s="6">
        <v>1</v>
      </c>
      <c r="O2686" s="6">
        <v>1</v>
      </c>
      <c r="Q2686" s="6">
        <v>20.9</v>
      </c>
      <c r="R2686" s="6">
        <v>8.6</v>
      </c>
      <c r="S2686" s="6">
        <v>94</v>
      </c>
    </row>
    <row r="2687" spans="1:91" x14ac:dyDescent="0.3">
      <c r="A2687" s="6">
        <v>46335</v>
      </c>
      <c r="B2687" s="5" t="s">
        <v>234</v>
      </c>
      <c r="C2687" s="5" t="s">
        <v>231</v>
      </c>
      <c r="D2687" s="2">
        <f t="shared" si="148"/>
        <v>2015</v>
      </c>
      <c r="E2687" s="2">
        <f t="shared" si="149"/>
        <v>8</v>
      </c>
      <c r="F2687" s="3" t="s">
        <v>179</v>
      </c>
      <c r="G2687" s="7">
        <v>42229</v>
      </c>
      <c r="H2687" s="6">
        <v>6595400</v>
      </c>
      <c r="I2687" s="6">
        <v>1624045</v>
      </c>
      <c r="J2687" s="5" t="s">
        <v>183</v>
      </c>
      <c r="K2687" s="1"/>
      <c r="L2687" s="1" t="str">
        <f t="shared" si="150"/>
        <v xml:space="preserve">Fjäturen </v>
      </c>
      <c r="M2687" s="5" t="s">
        <v>212</v>
      </c>
      <c r="N2687" s="6">
        <v>2</v>
      </c>
      <c r="O2687" s="6">
        <v>2</v>
      </c>
      <c r="Q2687" s="6">
        <v>20.9</v>
      </c>
      <c r="R2687" s="6">
        <v>8.6</v>
      </c>
      <c r="S2687" s="6">
        <v>94</v>
      </c>
    </row>
    <row r="2688" spans="1:91" x14ac:dyDescent="0.3">
      <c r="A2688" s="6">
        <v>46336</v>
      </c>
      <c r="B2688" s="5" t="s">
        <v>234</v>
      </c>
      <c r="C2688" s="5" t="s">
        <v>231</v>
      </c>
      <c r="D2688" s="2">
        <f t="shared" si="148"/>
        <v>2015</v>
      </c>
      <c r="E2688" s="2">
        <f t="shared" si="149"/>
        <v>8</v>
      </c>
      <c r="F2688" s="3" t="s">
        <v>179</v>
      </c>
      <c r="G2688" s="7">
        <v>42229</v>
      </c>
      <c r="H2688" s="6">
        <v>6595400</v>
      </c>
      <c r="I2688" s="6">
        <v>1624045</v>
      </c>
      <c r="J2688" s="5" t="s">
        <v>183</v>
      </c>
      <c r="K2688" s="1"/>
      <c r="L2688" s="1" t="str">
        <f t="shared" si="150"/>
        <v xml:space="preserve">Fjäturen </v>
      </c>
      <c r="M2688" s="5" t="s">
        <v>213</v>
      </c>
      <c r="N2688" s="6">
        <v>3</v>
      </c>
      <c r="O2688" s="6">
        <v>3</v>
      </c>
      <c r="Q2688" s="6">
        <v>20.8</v>
      </c>
      <c r="R2688" s="6">
        <v>8.6</v>
      </c>
      <c r="S2688" s="6">
        <v>94</v>
      </c>
    </row>
    <row r="2689" spans="1:51" x14ac:dyDescent="0.3">
      <c r="A2689" s="6">
        <v>46337</v>
      </c>
      <c r="B2689" s="5" t="s">
        <v>234</v>
      </c>
      <c r="C2689" s="5" t="s">
        <v>231</v>
      </c>
      <c r="D2689" s="2">
        <f t="shared" si="148"/>
        <v>2015</v>
      </c>
      <c r="E2689" s="2">
        <f t="shared" si="149"/>
        <v>8</v>
      </c>
      <c r="F2689" s="3" t="s">
        <v>179</v>
      </c>
      <c r="G2689" s="7">
        <v>42229</v>
      </c>
      <c r="H2689" s="6">
        <v>6595400</v>
      </c>
      <c r="I2689" s="6">
        <v>1624045</v>
      </c>
      <c r="J2689" s="5" t="s">
        <v>183</v>
      </c>
      <c r="K2689" s="1"/>
      <c r="L2689" s="1" t="str">
        <f t="shared" si="150"/>
        <v xml:space="preserve">Fjäturen </v>
      </c>
      <c r="M2689" s="5" t="s">
        <v>214</v>
      </c>
      <c r="N2689" s="6">
        <v>4</v>
      </c>
      <c r="O2689" s="6">
        <v>4</v>
      </c>
      <c r="Q2689" s="6">
        <v>20.399999999999999</v>
      </c>
      <c r="R2689" s="6">
        <v>7.7</v>
      </c>
      <c r="S2689" s="6">
        <v>84</v>
      </c>
    </row>
    <row r="2690" spans="1:51" x14ac:dyDescent="0.3">
      <c r="A2690" s="6">
        <v>46338</v>
      </c>
      <c r="B2690" s="5" t="s">
        <v>234</v>
      </c>
      <c r="C2690" s="5" t="s">
        <v>231</v>
      </c>
      <c r="D2690" s="2">
        <f t="shared" ref="D2690:D2753" si="151">YEAR(G2690)</f>
        <v>2015</v>
      </c>
      <c r="E2690" s="2">
        <f t="shared" ref="E2690:E2753" si="152">MONTH(G2690)</f>
        <v>8</v>
      </c>
      <c r="F2690" s="3" t="s">
        <v>179</v>
      </c>
      <c r="G2690" s="7">
        <v>42229</v>
      </c>
      <c r="H2690" s="6">
        <v>6595400</v>
      </c>
      <c r="I2690" s="6">
        <v>1624045</v>
      </c>
      <c r="J2690" s="5" t="s">
        <v>183</v>
      </c>
      <c r="K2690" s="1"/>
      <c r="L2690" s="1" t="str">
        <f t="shared" ref="L2690:L2753" si="153">CONCATENATE(J2690," ",K2690)</f>
        <v xml:space="preserve">Fjäturen </v>
      </c>
      <c r="M2690" s="5" t="s">
        <v>217</v>
      </c>
      <c r="N2690" s="6">
        <v>5</v>
      </c>
      <c r="O2690" s="6">
        <v>5</v>
      </c>
      <c r="Q2690" s="6">
        <v>17.399999999999999</v>
      </c>
      <c r="R2690" s="6">
        <v>0.1</v>
      </c>
      <c r="S2690" s="6">
        <v>1</v>
      </c>
    </row>
    <row r="2691" spans="1:51" x14ac:dyDescent="0.3">
      <c r="A2691" s="6">
        <v>46339</v>
      </c>
      <c r="B2691" s="5" t="s">
        <v>234</v>
      </c>
      <c r="C2691" s="5" t="s">
        <v>231</v>
      </c>
      <c r="D2691" s="2">
        <f t="shared" si="151"/>
        <v>2015</v>
      </c>
      <c r="E2691" s="2">
        <f t="shared" si="152"/>
        <v>8</v>
      </c>
      <c r="F2691" s="3" t="s">
        <v>179</v>
      </c>
      <c r="G2691" s="7">
        <v>42229</v>
      </c>
      <c r="H2691" s="6">
        <v>6595400</v>
      </c>
      <c r="I2691" s="6">
        <v>1624045</v>
      </c>
      <c r="J2691" s="5" t="s">
        <v>183</v>
      </c>
      <c r="K2691" s="1"/>
      <c r="L2691" s="1" t="str">
        <f t="shared" si="153"/>
        <v xml:space="preserve">Fjäturen </v>
      </c>
      <c r="M2691" s="5" t="s">
        <v>218</v>
      </c>
      <c r="N2691" s="6">
        <v>6</v>
      </c>
      <c r="O2691" s="6">
        <v>6</v>
      </c>
      <c r="Q2691" s="6">
        <v>16.7</v>
      </c>
      <c r="R2691" s="6">
        <v>0.1</v>
      </c>
      <c r="S2691" s="6">
        <v>1</v>
      </c>
    </row>
    <row r="2692" spans="1:51" x14ac:dyDescent="0.3">
      <c r="A2692" s="6">
        <v>46340</v>
      </c>
      <c r="B2692" s="5" t="s">
        <v>234</v>
      </c>
      <c r="C2692" s="5" t="s">
        <v>231</v>
      </c>
      <c r="D2692" s="2">
        <f t="shared" si="151"/>
        <v>2015</v>
      </c>
      <c r="E2692" s="2">
        <f t="shared" si="152"/>
        <v>8</v>
      </c>
      <c r="F2692" s="3" t="s">
        <v>179</v>
      </c>
      <c r="G2692" s="7">
        <v>42229</v>
      </c>
      <c r="H2692" s="6">
        <v>6595400</v>
      </c>
      <c r="I2692" s="6">
        <v>1624045</v>
      </c>
      <c r="J2692" s="5" t="s">
        <v>183</v>
      </c>
      <c r="K2692" s="1"/>
      <c r="L2692" s="1" t="str">
        <f t="shared" si="153"/>
        <v xml:space="preserve">Fjäturen </v>
      </c>
      <c r="M2692" s="5" t="s">
        <v>219</v>
      </c>
      <c r="N2692" s="6">
        <v>7</v>
      </c>
      <c r="O2692" s="6">
        <v>7</v>
      </c>
      <c r="Q2692" s="6">
        <v>13.2</v>
      </c>
      <c r="R2692" s="6">
        <v>0.1</v>
      </c>
      <c r="S2692" s="6">
        <v>1</v>
      </c>
    </row>
    <row r="2693" spans="1:51" x14ac:dyDescent="0.3">
      <c r="A2693" s="6">
        <v>46341</v>
      </c>
      <c r="B2693" s="5" t="s">
        <v>234</v>
      </c>
      <c r="C2693" s="5" t="s">
        <v>231</v>
      </c>
      <c r="D2693" s="2">
        <f t="shared" si="151"/>
        <v>2015</v>
      </c>
      <c r="E2693" s="2">
        <f t="shared" si="152"/>
        <v>8</v>
      </c>
      <c r="F2693" s="3" t="s">
        <v>179</v>
      </c>
      <c r="G2693" s="7">
        <v>42229</v>
      </c>
      <c r="H2693" s="6">
        <v>6595400</v>
      </c>
      <c r="I2693" s="6">
        <v>1624045</v>
      </c>
      <c r="J2693" s="5" t="s">
        <v>183</v>
      </c>
      <c r="K2693" s="1"/>
      <c r="L2693" s="1" t="str">
        <f t="shared" si="153"/>
        <v xml:space="preserve">Fjäturen </v>
      </c>
      <c r="M2693" s="5" t="s">
        <v>220</v>
      </c>
      <c r="N2693" s="6">
        <v>8</v>
      </c>
      <c r="O2693" s="6">
        <v>8</v>
      </c>
      <c r="Q2693" s="6">
        <v>11.7</v>
      </c>
      <c r="R2693" s="6">
        <v>0.1</v>
      </c>
      <c r="S2693" s="6">
        <v>1</v>
      </c>
    </row>
    <row r="2694" spans="1:51" x14ac:dyDescent="0.3">
      <c r="A2694" s="6">
        <v>46342</v>
      </c>
      <c r="B2694" s="5" t="s">
        <v>234</v>
      </c>
      <c r="C2694" s="5" t="s">
        <v>231</v>
      </c>
      <c r="D2694" s="2">
        <f t="shared" si="151"/>
        <v>2015</v>
      </c>
      <c r="E2694" s="2">
        <f t="shared" si="152"/>
        <v>8</v>
      </c>
      <c r="F2694" s="3" t="s">
        <v>179</v>
      </c>
      <c r="G2694" s="7">
        <v>42229</v>
      </c>
      <c r="H2694" s="6">
        <v>6595400</v>
      </c>
      <c r="I2694" s="6">
        <v>1624045</v>
      </c>
      <c r="J2694" s="5" t="s">
        <v>183</v>
      </c>
      <c r="K2694" s="1"/>
      <c r="L2694" s="1" t="str">
        <f t="shared" si="153"/>
        <v xml:space="preserve">Fjäturen </v>
      </c>
      <c r="M2694" s="1" t="s">
        <v>184</v>
      </c>
      <c r="N2694" s="6">
        <v>8.6999999999999993</v>
      </c>
      <c r="O2694" s="6">
        <v>8.6999999999999993</v>
      </c>
      <c r="Q2694" s="6">
        <v>11.4</v>
      </c>
      <c r="R2694" s="6">
        <v>0.1</v>
      </c>
      <c r="S2694" s="6">
        <v>1</v>
      </c>
      <c r="V2694" s="6">
        <v>2.5970823530000002</v>
      </c>
      <c r="W2694" s="6">
        <v>1813.1011000000001</v>
      </c>
      <c r="X2694" s="1">
        <f>W2694 * (1/((10^((0.0901821 + (2729.92 /(273.15 + Q2694)))-AE2694)+1)))</f>
        <v>10.279120304746293</v>
      </c>
      <c r="Y2694" s="6">
        <v>0.17699999999999999</v>
      </c>
      <c r="Z2694" s="6">
        <v>785.89</v>
      </c>
      <c r="AA2694" s="6">
        <v>14.4</v>
      </c>
      <c r="AD2694" s="6">
        <v>0</v>
      </c>
      <c r="AE2694" s="6">
        <v>7.44</v>
      </c>
      <c r="AK2694" s="6">
        <v>825.54</v>
      </c>
      <c r="AL2694" s="6">
        <v>2252.13</v>
      </c>
      <c r="AM2694" s="6"/>
      <c r="AN2694" s="6"/>
      <c r="AO2694" s="6"/>
      <c r="AP2694" s="6"/>
      <c r="AQ2694" s="6"/>
    </row>
    <row r="2695" spans="1:51" x14ac:dyDescent="0.3">
      <c r="A2695" s="6">
        <v>46343</v>
      </c>
      <c r="B2695" s="5" t="s">
        <v>234</v>
      </c>
      <c r="C2695" s="5" t="s">
        <v>231</v>
      </c>
      <c r="D2695" s="2">
        <f t="shared" si="151"/>
        <v>2015</v>
      </c>
      <c r="E2695" s="2">
        <f t="shared" si="152"/>
        <v>8</v>
      </c>
      <c r="F2695" s="3" t="s">
        <v>179</v>
      </c>
      <c r="G2695" s="7">
        <v>42229</v>
      </c>
      <c r="H2695" s="6">
        <v>6593820</v>
      </c>
      <c r="I2695" s="6">
        <v>1619360</v>
      </c>
      <c r="J2695" s="5" t="s">
        <v>188</v>
      </c>
      <c r="K2695" s="1"/>
      <c r="L2695" s="1" t="str">
        <f t="shared" si="153"/>
        <v xml:space="preserve">Ravalen </v>
      </c>
      <c r="M2695" s="1" t="s">
        <v>177</v>
      </c>
      <c r="N2695" s="6">
        <v>0.5</v>
      </c>
      <c r="O2695" s="6">
        <v>0.5</v>
      </c>
      <c r="P2695" s="6">
        <v>1.4</v>
      </c>
      <c r="Q2695" s="6">
        <v>21</v>
      </c>
      <c r="R2695" s="6">
        <v>9.6999999999999993</v>
      </c>
      <c r="S2695" s="6">
        <v>108</v>
      </c>
      <c r="V2695" s="6">
        <v>1.3851105881999999</v>
      </c>
      <c r="W2695" s="6">
        <v>9.0549999999999997</v>
      </c>
      <c r="X2695" s="1">
        <f>W2695 * (1/((10^((0.0901821 + (2729.92 /(273.15 + Q2695)))-AE2695)+1)))</f>
        <v>1.7490020671756106</v>
      </c>
      <c r="Y2695" s="6">
        <v>6.4000000000000001E-2</v>
      </c>
      <c r="Z2695" s="6">
        <v>1.1100000000000001</v>
      </c>
      <c r="AA2695" s="6">
        <v>1.2</v>
      </c>
      <c r="AB2695" s="6">
        <v>1.78461</v>
      </c>
      <c r="AD2695" s="6">
        <v>0.04</v>
      </c>
      <c r="AE2695" s="6">
        <v>8.75</v>
      </c>
      <c r="AK2695" s="6">
        <v>19.79</v>
      </c>
      <c r="AL2695" s="6">
        <v>767.53499999999997</v>
      </c>
      <c r="AM2695" s="6"/>
      <c r="AN2695" s="6"/>
      <c r="AO2695" s="6"/>
      <c r="AP2695" s="6"/>
      <c r="AQ2695" s="6"/>
    </row>
    <row r="2696" spans="1:51" x14ac:dyDescent="0.3">
      <c r="A2696" s="6">
        <v>46344</v>
      </c>
      <c r="B2696" s="5" t="s">
        <v>234</v>
      </c>
      <c r="C2696" s="5" t="s">
        <v>231</v>
      </c>
      <c r="D2696" s="2">
        <f t="shared" si="151"/>
        <v>2015</v>
      </c>
      <c r="E2696" s="2">
        <f t="shared" si="152"/>
        <v>8</v>
      </c>
      <c r="F2696" s="3" t="s">
        <v>179</v>
      </c>
      <c r="G2696" s="7">
        <v>42229</v>
      </c>
      <c r="H2696" s="6">
        <v>6593820</v>
      </c>
      <c r="I2696" s="6">
        <v>1619360</v>
      </c>
      <c r="J2696" s="5" t="s">
        <v>188</v>
      </c>
      <c r="K2696" s="1"/>
      <c r="L2696" s="1" t="str">
        <f t="shared" si="153"/>
        <v xml:space="preserve">Ravalen </v>
      </c>
      <c r="M2696" s="5" t="s">
        <v>211</v>
      </c>
      <c r="N2696" s="6">
        <v>1</v>
      </c>
      <c r="O2696" s="6">
        <v>1</v>
      </c>
      <c r="Q2696" s="6">
        <v>21</v>
      </c>
      <c r="R2696" s="6">
        <v>9.6999999999999993</v>
      </c>
      <c r="S2696" s="6">
        <v>107</v>
      </c>
    </row>
    <row r="2697" spans="1:51" x14ac:dyDescent="0.3">
      <c r="A2697" s="6">
        <v>46345</v>
      </c>
      <c r="B2697" s="5" t="s">
        <v>234</v>
      </c>
      <c r="C2697" s="5" t="s">
        <v>231</v>
      </c>
      <c r="D2697" s="2">
        <f t="shared" si="151"/>
        <v>2015</v>
      </c>
      <c r="E2697" s="2">
        <f t="shared" si="152"/>
        <v>8</v>
      </c>
      <c r="F2697" s="3" t="s">
        <v>179</v>
      </c>
      <c r="G2697" s="7">
        <v>42229</v>
      </c>
      <c r="H2697" s="6">
        <v>6593820</v>
      </c>
      <c r="I2697" s="6">
        <v>1619360</v>
      </c>
      <c r="J2697" s="5" t="s">
        <v>188</v>
      </c>
      <c r="K2697" s="1"/>
      <c r="L2697" s="1" t="str">
        <f t="shared" si="153"/>
        <v xml:space="preserve">Ravalen </v>
      </c>
      <c r="M2697" s="1" t="s">
        <v>184</v>
      </c>
      <c r="N2697" s="6">
        <v>1.4</v>
      </c>
      <c r="O2697" s="6">
        <v>1.4</v>
      </c>
      <c r="Q2697" s="6">
        <v>21</v>
      </c>
      <c r="R2697" s="6">
        <v>9.6999999999999993</v>
      </c>
      <c r="S2697" s="6">
        <v>107</v>
      </c>
      <c r="V2697" s="6">
        <v>1.3466352940999999</v>
      </c>
      <c r="W2697" s="6">
        <v>6.4649999999999999</v>
      </c>
      <c r="X2697" s="1">
        <f>W2697 * (1/((10^((0.0901821 + (2729.92 /(273.15 + Q2697)))-AE2697)+1)))</f>
        <v>1.295790786195109</v>
      </c>
      <c r="Y2697" s="6">
        <v>6.4000000000000001E-2</v>
      </c>
      <c r="Z2697" s="6">
        <v>1.6600000000000001</v>
      </c>
      <c r="AA2697" s="6">
        <v>0.7</v>
      </c>
      <c r="AD2697" s="6">
        <v>0</v>
      </c>
      <c r="AE2697" s="6">
        <v>8.77</v>
      </c>
      <c r="AK2697" s="6">
        <v>18.72</v>
      </c>
      <c r="AL2697" s="6">
        <v>758.66499999999996</v>
      </c>
      <c r="AM2697" s="6"/>
      <c r="AN2697" s="6"/>
      <c r="AO2697" s="6"/>
      <c r="AP2697" s="6"/>
      <c r="AQ2697" s="6"/>
    </row>
    <row r="2698" spans="1:51" x14ac:dyDescent="0.3">
      <c r="A2698" s="6">
        <v>46346</v>
      </c>
      <c r="B2698" s="5" t="s">
        <v>234</v>
      </c>
      <c r="C2698" s="5" t="s">
        <v>231</v>
      </c>
      <c r="D2698" s="2">
        <f t="shared" si="151"/>
        <v>2015</v>
      </c>
      <c r="E2698" s="2">
        <f t="shared" si="152"/>
        <v>8</v>
      </c>
      <c r="F2698" s="3" t="s">
        <v>179</v>
      </c>
      <c r="G2698" s="7">
        <v>42229</v>
      </c>
      <c r="H2698" s="6">
        <v>6594420</v>
      </c>
      <c r="I2698" s="6">
        <v>1615795</v>
      </c>
      <c r="J2698" s="5" t="s">
        <v>193</v>
      </c>
      <c r="K2698" s="1"/>
      <c r="L2698" s="1" t="str">
        <f t="shared" si="153"/>
        <v xml:space="preserve">Översjön </v>
      </c>
      <c r="M2698" s="1" t="s">
        <v>177</v>
      </c>
      <c r="N2698" s="6">
        <v>0.5</v>
      </c>
      <c r="O2698" s="6">
        <v>0.5</v>
      </c>
      <c r="P2698" s="6">
        <v>2.9</v>
      </c>
      <c r="Q2698" s="6">
        <v>21</v>
      </c>
      <c r="R2698" s="6">
        <v>7.5</v>
      </c>
      <c r="S2698" s="6">
        <v>83</v>
      </c>
      <c r="V2698" s="6">
        <v>1.8660517646999999</v>
      </c>
      <c r="W2698" s="6">
        <v>8.4459</v>
      </c>
      <c r="X2698" s="1">
        <f>W2698 * (1/((10^((0.0901821 + (2729.92 /(273.15 + Q2698)))-AE2698)+1)))</f>
        <v>0.22593359884918573</v>
      </c>
      <c r="Y2698" s="6">
        <v>5.7000000000000002E-2</v>
      </c>
      <c r="Z2698" s="6">
        <v>0.77</v>
      </c>
      <c r="AA2698" s="6">
        <v>1.8</v>
      </c>
      <c r="AB2698" s="6">
        <v>5.4665099999999995</v>
      </c>
      <c r="AD2698" s="6">
        <v>0</v>
      </c>
      <c r="AE2698" s="6">
        <v>7.8100000000000005</v>
      </c>
      <c r="AK2698" s="6">
        <v>19.48</v>
      </c>
      <c r="AL2698" s="6">
        <v>793.13499999999999</v>
      </c>
      <c r="AM2698" s="6"/>
      <c r="AN2698" s="6"/>
      <c r="AO2698" s="6"/>
      <c r="AP2698" s="6"/>
      <c r="AQ2698" s="6"/>
    </row>
    <row r="2699" spans="1:51" x14ac:dyDescent="0.3">
      <c r="A2699" s="6">
        <v>46347</v>
      </c>
      <c r="B2699" s="5" t="s">
        <v>234</v>
      </c>
      <c r="C2699" s="5" t="s">
        <v>231</v>
      </c>
      <c r="D2699" s="2">
        <f t="shared" si="151"/>
        <v>2015</v>
      </c>
      <c r="E2699" s="2">
        <f t="shared" si="152"/>
        <v>8</v>
      </c>
      <c r="F2699" s="3" t="s">
        <v>179</v>
      </c>
      <c r="G2699" s="7">
        <v>42229</v>
      </c>
      <c r="H2699" s="6">
        <v>6594420</v>
      </c>
      <c r="I2699" s="6">
        <v>1615795</v>
      </c>
      <c r="J2699" s="5" t="s">
        <v>193</v>
      </c>
      <c r="K2699" s="1"/>
      <c r="L2699" s="1" t="str">
        <f t="shared" si="153"/>
        <v xml:space="preserve">Översjön </v>
      </c>
      <c r="M2699" s="5" t="s">
        <v>211</v>
      </c>
      <c r="N2699" s="6">
        <v>1</v>
      </c>
      <c r="O2699" s="6">
        <v>1</v>
      </c>
      <c r="Q2699" s="6">
        <v>21</v>
      </c>
      <c r="R2699" s="6">
        <v>7.5</v>
      </c>
      <c r="S2699" s="6">
        <v>83</v>
      </c>
    </row>
    <row r="2700" spans="1:51" x14ac:dyDescent="0.3">
      <c r="A2700" s="6">
        <v>46348</v>
      </c>
      <c r="B2700" s="5" t="s">
        <v>234</v>
      </c>
      <c r="C2700" s="5" t="s">
        <v>231</v>
      </c>
      <c r="D2700" s="2">
        <f t="shared" si="151"/>
        <v>2015</v>
      </c>
      <c r="E2700" s="2">
        <f t="shared" si="152"/>
        <v>8</v>
      </c>
      <c r="F2700" s="3" t="s">
        <v>179</v>
      </c>
      <c r="G2700" s="7">
        <v>42229</v>
      </c>
      <c r="H2700" s="6">
        <v>6594420</v>
      </c>
      <c r="I2700" s="6">
        <v>1615795</v>
      </c>
      <c r="J2700" s="5" t="s">
        <v>193</v>
      </c>
      <c r="K2700" s="1"/>
      <c r="L2700" s="1" t="str">
        <f t="shared" si="153"/>
        <v xml:space="preserve">Översjön </v>
      </c>
      <c r="M2700" s="5" t="s">
        <v>212</v>
      </c>
      <c r="N2700" s="6">
        <v>2</v>
      </c>
      <c r="O2700" s="6">
        <v>2</v>
      </c>
      <c r="Q2700" s="6">
        <v>20.8</v>
      </c>
      <c r="R2700" s="6">
        <v>7.6</v>
      </c>
      <c r="S2700" s="6">
        <v>83</v>
      </c>
    </row>
    <row r="2701" spans="1:51" x14ac:dyDescent="0.3">
      <c r="A2701" s="6">
        <v>46349</v>
      </c>
      <c r="B2701" s="5" t="s">
        <v>234</v>
      </c>
      <c r="C2701" s="5" t="s">
        <v>231</v>
      </c>
      <c r="D2701" s="2">
        <f t="shared" si="151"/>
        <v>2015</v>
      </c>
      <c r="E2701" s="2">
        <f t="shared" si="152"/>
        <v>8</v>
      </c>
      <c r="F2701" s="3" t="s">
        <v>179</v>
      </c>
      <c r="G2701" s="7">
        <v>42229</v>
      </c>
      <c r="H2701" s="6">
        <v>6594420</v>
      </c>
      <c r="I2701" s="6">
        <v>1615795</v>
      </c>
      <c r="J2701" s="5" t="s">
        <v>193</v>
      </c>
      <c r="K2701" s="1"/>
      <c r="L2701" s="1" t="str">
        <f t="shared" si="153"/>
        <v xml:space="preserve">Översjön </v>
      </c>
      <c r="M2701" s="5" t="s">
        <v>213</v>
      </c>
      <c r="N2701" s="6">
        <v>3</v>
      </c>
      <c r="O2701" s="6">
        <v>3</v>
      </c>
      <c r="Q2701" s="6">
        <v>20.5</v>
      </c>
      <c r="R2701" s="6">
        <v>6.9</v>
      </c>
      <c r="S2701" s="6">
        <v>76</v>
      </c>
    </row>
    <row r="2702" spans="1:51" x14ac:dyDescent="0.3">
      <c r="A2702" s="6">
        <v>46350</v>
      </c>
      <c r="B2702" s="5" t="s">
        <v>234</v>
      </c>
      <c r="C2702" s="5" t="s">
        <v>231</v>
      </c>
      <c r="D2702" s="2">
        <f t="shared" si="151"/>
        <v>2015</v>
      </c>
      <c r="E2702" s="2">
        <f t="shared" si="152"/>
        <v>8</v>
      </c>
      <c r="F2702" s="3" t="s">
        <v>179</v>
      </c>
      <c r="G2702" s="7">
        <v>42229</v>
      </c>
      <c r="H2702" s="6">
        <v>6594420</v>
      </c>
      <c r="I2702" s="6">
        <v>1615795</v>
      </c>
      <c r="J2702" s="5" t="s">
        <v>193</v>
      </c>
      <c r="K2702" s="1"/>
      <c r="L2702" s="1" t="str">
        <f t="shared" si="153"/>
        <v xml:space="preserve">Översjön </v>
      </c>
      <c r="M2702" s="1" t="s">
        <v>184</v>
      </c>
      <c r="N2702" s="6">
        <v>3.8</v>
      </c>
      <c r="O2702" s="6">
        <v>3.8</v>
      </c>
      <c r="Q2702" s="6">
        <v>20.3</v>
      </c>
      <c r="R2702" s="6">
        <v>6.1</v>
      </c>
      <c r="S2702" s="6">
        <v>66</v>
      </c>
      <c r="V2702" s="6">
        <v>1.8468141177000001</v>
      </c>
      <c r="W2702" s="6">
        <v>8.8048000000000002</v>
      </c>
      <c r="X2702" s="1">
        <f>W2702 * (1/((10^((0.0901821 + (2729.92 /(273.15 + Q2702)))-AE2702)+1)))</f>
        <v>0.20486492699135186</v>
      </c>
      <c r="Y2702" s="6">
        <v>5.8000000000000003E-2</v>
      </c>
      <c r="Z2702" s="6">
        <v>0.65</v>
      </c>
      <c r="AA2702" s="6">
        <v>2.5</v>
      </c>
      <c r="AD2702" s="6">
        <v>0</v>
      </c>
      <c r="AE2702" s="6">
        <v>7.77</v>
      </c>
      <c r="AK2702" s="6">
        <v>26.62</v>
      </c>
      <c r="AL2702" s="6">
        <v>820.33500000000004</v>
      </c>
      <c r="AM2702" s="6"/>
      <c r="AN2702" s="6"/>
      <c r="AO2702" s="6"/>
      <c r="AP2702" s="6"/>
      <c r="AQ2702" s="6"/>
    </row>
    <row r="2703" spans="1:51" x14ac:dyDescent="0.3">
      <c r="D2703" s="2">
        <f t="shared" si="151"/>
        <v>2015</v>
      </c>
      <c r="E2703" s="2">
        <f t="shared" si="152"/>
        <v>8</v>
      </c>
      <c r="F2703" s="3" t="s">
        <v>179</v>
      </c>
      <c r="G2703" s="4">
        <v>42233</v>
      </c>
      <c r="H2703" s="1">
        <v>6606238</v>
      </c>
      <c r="I2703" s="1">
        <v>661152</v>
      </c>
      <c r="J2703" s="5" t="s">
        <v>176</v>
      </c>
      <c r="K2703" s="1"/>
      <c r="L2703" s="1" t="str">
        <f t="shared" si="153"/>
        <v xml:space="preserve">Oxundaån </v>
      </c>
      <c r="M2703" s="1" t="s">
        <v>177</v>
      </c>
      <c r="N2703" s="1">
        <v>0.2</v>
      </c>
      <c r="O2703" s="1">
        <v>0.2</v>
      </c>
      <c r="Q2703" s="1">
        <v>20.399999999999999</v>
      </c>
      <c r="T2703" s="1">
        <v>44.3</v>
      </c>
      <c r="V2703" s="1">
        <v>2.4660000000000002</v>
      </c>
      <c r="W2703" s="1">
        <v>61</v>
      </c>
      <c r="X2703" s="1">
        <f>W2703 * (1/((10^((0.0901821 + (2729.92 /(273.15 + Q2703)))-AE2703)+1)))</f>
        <v>1.5638398259197601</v>
      </c>
      <c r="Y2703" s="1">
        <v>4.3999999999999997E-2</v>
      </c>
      <c r="Z2703" s="1">
        <v>37</v>
      </c>
      <c r="AA2703" s="1">
        <v>3.8</v>
      </c>
      <c r="AB2703" s="1">
        <v>6.9</v>
      </c>
      <c r="AD2703" s="1">
        <v>7</v>
      </c>
      <c r="AE2703" s="1">
        <v>7.81</v>
      </c>
      <c r="AI2703" s="1">
        <v>10.199999999999999</v>
      </c>
      <c r="AK2703" s="1">
        <v>66.400000000000006</v>
      </c>
      <c r="AL2703" s="1">
        <v>722</v>
      </c>
      <c r="AR2703" s="1">
        <v>50.4</v>
      </c>
      <c r="AT2703" s="1">
        <v>4.7702</v>
      </c>
      <c r="AU2703" s="1">
        <v>8.4337</v>
      </c>
      <c r="AV2703" s="1">
        <v>35.130950000000006</v>
      </c>
      <c r="AW2703" s="1">
        <v>24.087000000000003</v>
      </c>
      <c r="AX2703" s="1">
        <v>42.908650000000002</v>
      </c>
      <c r="AY2703" s="1">
        <v>0.51</v>
      </c>
    </row>
    <row r="2704" spans="1:51" x14ac:dyDescent="0.3">
      <c r="A2704" s="6">
        <v>46351</v>
      </c>
      <c r="B2704" s="5" t="s">
        <v>234</v>
      </c>
      <c r="C2704" s="5" t="s">
        <v>231</v>
      </c>
      <c r="D2704" s="2">
        <f t="shared" si="151"/>
        <v>2015</v>
      </c>
      <c r="E2704" s="2">
        <f t="shared" si="152"/>
        <v>8</v>
      </c>
      <c r="F2704" s="3" t="s">
        <v>179</v>
      </c>
      <c r="G2704" s="7">
        <v>42234</v>
      </c>
      <c r="H2704" s="6">
        <v>6595515</v>
      </c>
      <c r="I2704" s="6">
        <v>1624630</v>
      </c>
      <c r="J2704" s="5" t="s">
        <v>207</v>
      </c>
      <c r="K2704" s="1"/>
      <c r="L2704" s="1" t="str">
        <f t="shared" si="153"/>
        <v xml:space="preserve">Käringsjön </v>
      </c>
      <c r="M2704" s="1" t="s">
        <v>177</v>
      </c>
      <c r="N2704" s="6">
        <v>0.5</v>
      </c>
      <c r="O2704" s="6">
        <v>1</v>
      </c>
      <c r="P2704" s="6">
        <v>1.6</v>
      </c>
      <c r="Q2704" s="6">
        <v>22.7</v>
      </c>
      <c r="R2704" s="6">
        <v>6.9</v>
      </c>
      <c r="S2704" s="6">
        <v>81</v>
      </c>
      <c r="V2704" s="1">
        <v>0.42322823529999998</v>
      </c>
      <c r="W2704" s="1">
        <v>7.21</v>
      </c>
      <c r="X2704" s="1">
        <v>2.3929335805974204E-2</v>
      </c>
      <c r="Y2704" s="1">
        <v>0.48399999999999999</v>
      </c>
      <c r="Z2704" s="1">
        <v>0.41</v>
      </c>
      <c r="AA2704" s="1">
        <v>1.1000000000000001</v>
      </c>
      <c r="AB2704" s="1">
        <v>7.1124299999999998</v>
      </c>
      <c r="AD2704" s="1">
        <v>1.23</v>
      </c>
      <c r="AE2704" s="1">
        <v>6.84</v>
      </c>
      <c r="AK2704" s="1">
        <v>18.79</v>
      </c>
      <c r="AL2704" s="1">
        <v>1007.52</v>
      </c>
    </row>
    <row r="2705" spans="1:43" x14ac:dyDescent="0.3">
      <c r="A2705" s="6">
        <v>46352</v>
      </c>
      <c r="B2705" s="5" t="s">
        <v>234</v>
      </c>
      <c r="C2705" s="5" t="s">
        <v>231</v>
      </c>
      <c r="D2705" s="2">
        <f t="shared" si="151"/>
        <v>2015</v>
      </c>
      <c r="E2705" s="2">
        <f t="shared" si="152"/>
        <v>8</v>
      </c>
      <c r="F2705" s="3" t="s">
        <v>179</v>
      </c>
      <c r="G2705" s="7">
        <v>42234</v>
      </c>
      <c r="H2705" s="6">
        <v>6595515</v>
      </c>
      <c r="I2705" s="6">
        <v>1624630</v>
      </c>
      <c r="J2705" s="5" t="s">
        <v>207</v>
      </c>
      <c r="K2705" s="1"/>
      <c r="L2705" s="1" t="str">
        <f t="shared" si="153"/>
        <v xml:space="preserve">Käringsjön </v>
      </c>
      <c r="M2705" s="5" t="s">
        <v>211</v>
      </c>
      <c r="N2705" s="6">
        <v>1</v>
      </c>
      <c r="O2705" s="6">
        <v>1</v>
      </c>
      <c r="Q2705" s="6">
        <v>22.7</v>
      </c>
      <c r="R2705" s="6">
        <v>6.8</v>
      </c>
      <c r="S2705" s="6">
        <v>80</v>
      </c>
    </row>
    <row r="2706" spans="1:43" x14ac:dyDescent="0.3">
      <c r="A2706" s="6">
        <v>46353</v>
      </c>
      <c r="B2706" s="5" t="s">
        <v>234</v>
      </c>
      <c r="C2706" s="5" t="s">
        <v>231</v>
      </c>
      <c r="D2706" s="2">
        <f t="shared" si="151"/>
        <v>2015</v>
      </c>
      <c r="E2706" s="2">
        <f t="shared" si="152"/>
        <v>8</v>
      </c>
      <c r="F2706" s="3" t="s">
        <v>179</v>
      </c>
      <c r="G2706" s="7">
        <v>42234</v>
      </c>
      <c r="H2706" s="6">
        <v>6595515</v>
      </c>
      <c r="I2706" s="6">
        <v>1624630</v>
      </c>
      <c r="J2706" s="5" t="s">
        <v>207</v>
      </c>
      <c r="K2706" s="1"/>
      <c r="L2706" s="1" t="str">
        <f t="shared" si="153"/>
        <v xml:space="preserve">Käringsjön </v>
      </c>
      <c r="M2706" s="5" t="s">
        <v>212</v>
      </c>
      <c r="N2706" s="6">
        <v>2</v>
      </c>
      <c r="O2706" s="6">
        <v>2</v>
      </c>
      <c r="Q2706" s="6">
        <v>19.5</v>
      </c>
      <c r="R2706" s="6">
        <v>5.5</v>
      </c>
      <c r="S2706" s="6">
        <v>60</v>
      </c>
    </row>
    <row r="2707" spans="1:43" x14ac:dyDescent="0.3">
      <c r="A2707" s="6">
        <v>46354</v>
      </c>
      <c r="B2707" s="5" t="s">
        <v>234</v>
      </c>
      <c r="C2707" s="5" t="s">
        <v>231</v>
      </c>
      <c r="D2707" s="2">
        <f t="shared" si="151"/>
        <v>2015</v>
      </c>
      <c r="E2707" s="2">
        <f t="shared" si="152"/>
        <v>8</v>
      </c>
      <c r="F2707" s="3" t="s">
        <v>179</v>
      </c>
      <c r="G2707" s="7">
        <v>42234</v>
      </c>
      <c r="H2707" s="6">
        <v>6595515</v>
      </c>
      <c r="I2707" s="6">
        <v>1624630</v>
      </c>
      <c r="J2707" s="5" t="s">
        <v>207</v>
      </c>
      <c r="K2707" s="1"/>
      <c r="L2707" s="1" t="str">
        <f t="shared" si="153"/>
        <v xml:space="preserve">Käringsjön </v>
      </c>
      <c r="M2707" s="5" t="s">
        <v>213</v>
      </c>
      <c r="N2707" s="6">
        <v>3</v>
      </c>
      <c r="O2707" s="6">
        <v>3</v>
      </c>
      <c r="Q2707" s="6">
        <v>16.600000000000001</v>
      </c>
      <c r="R2707" s="6">
        <v>2.9</v>
      </c>
      <c r="S2707" s="6">
        <v>29</v>
      </c>
    </row>
    <row r="2708" spans="1:43" x14ac:dyDescent="0.3">
      <c r="A2708" s="6">
        <v>46355</v>
      </c>
      <c r="B2708" s="5" t="s">
        <v>234</v>
      </c>
      <c r="C2708" s="5" t="s">
        <v>231</v>
      </c>
      <c r="D2708" s="2">
        <f t="shared" si="151"/>
        <v>2015</v>
      </c>
      <c r="E2708" s="2">
        <f t="shared" si="152"/>
        <v>8</v>
      </c>
      <c r="F2708" s="3" t="s">
        <v>179</v>
      </c>
      <c r="G2708" s="7">
        <v>42234</v>
      </c>
      <c r="H2708" s="6">
        <v>6595515</v>
      </c>
      <c r="I2708" s="6">
        <v>1624630</v>
      </c>
      <c r="J2708" s="5" t="s">
        <v>207</v>
      </c>
      <c r="K2708" s="1"/>
      <c r="L2708" s="1" t="str">
        <f t="shared" si="153"/>
        <v xml:space="preserve">Käringsjön </v>
      </c>
      <c r="M2708" s="1" t="s">
        <v>184</v>
      </c>
      <c r="N2708" s="6">
        <v>3.5</v>
      </c>
      <c r="O2708" s="6">
        <v>3.5</v>
      </c>
      <c r="Q2708" s="6">
        <v>15</v>
      </c>
      <c r="R2708" s="6">
        <v>2.1</v>
      </c>
      <c r="S2708" s="6">
        <v>21</v>
      </c>
      <c r="V2708" s="1">
        <v>0.71820549020000002</v>
      </c>
      <c r="W2708" s="1">
        <v>118.10639999999999</v>
      </c>
      <c r="X2708" s="1">
        <v>0.15051610516014824</v>
      </c>
      <c r="Y2708" s="1">
        <v>0.67200000000000004</v>
      </c>
      <c r="Z2708" s="1">
        <v>39.479999999999997</v>
      </c>
      <c r="AA2708" s="1">
        <v>6.3</v>
      </c>
      <c r="AD2708" s="1">
        <v>2.04</v>
      </c>
      <c r="AE2708" s="1">
        <v>6.67</v>
      </c>
      <c r="AK2708" s="1">
        <v>64.599999999999994</v>
      </c>
      <c r="AL2708" s="1">
        <v>1220.79</v>
      </c>
    </row>
    <row r="2709" spans="1:43" x14ac:dyDescent="0.3">
      <c r="A2709" s="6">
        <v>46356</v>
      </c>
      <c r="B2709" s="5" t="s">
        <v>234</v>
      </c>
      <c r="C2709" s="5" t="s">
        <v>231</v>
      </c>
      <c r="D2709" s="2">
        <f t="shared" si="151"/>
        <v>2015</v>
      </c>
      <c r="E2709" s="2">
        <f t="shared" si="152"/>
        <v>8</v>
      </c>
      <c r="F2709" s="3" t="s">
        <v>179</v>
      </c>
      <c r="G2709" s="7">
        <v>42234</v>
      </c>
      <c r="H2709" s="6">
        <v>6595470</v>
      </c>
      <c r="I2709" s="6">
        <v>1622370</v>
      </c>
      <c r="J2709" s="5" t="s">
        <v>190</v>
      </c>
      <c r="K2709" s="1"/>
      <c r="L2709" s="1" t="str">
        <f t="shared" si="153"/>
        <v xml:space="preserve">Snuggan </v>
      </c>
      <c r="M2709" s="1" t="s">
        <v>177</v>
      </c>
      <c r="N2709" s="6">
        <v>0.5</v>
      </c>
      <c r="O2709" s="6">
        <v>0.5</v>
      </c>
      <c r="P2709" s="6">
        <v>1.3</v>
      </c>
      <c r="Q2709" s="6">
        <v>22</v>
      </c>
      <c r="R2709" s="6">
        <v>8.9</v>
      </c>
      <c r="S2709" s="6">
        <v>101</v>
      </c>
    </row>
    <row r="2710" spans="1:43" x14ac:dyDescent="0.3">
      <c r="A2710" s="6">
        <v>46357</v>
      </c>
      <c r="B2710" s="5" t="s">
        <v>234</v>
      </c>
      <c r="C2710" s="5" t="s">
        <v>231</v>
      </c>
      <c r="D2710" s="2">
        <f t="shared" si="151"/>
        <v>2015</v>
      </c>
      <c r="E2710" s="2">
        <f t="shared" si="152"/>
        <v>8</v>
      </c>
      <c r="F2710" s="3" t="s">
        <v>179</v>
      </c>
      <c r="G2710" s="7">
        <v>42234</v>
      </c>
      <c r="H2710" s="6">
        <v>6595470</v>
      </c>
      <c r="I2710" s="6">
        <v>1622370</v>
      </c>
      <c r="J2710" s="5" t="s">
        <v>190</v>
      </c>
      <c r="K2710" s="1"/>
      <c r="L2710" s="1" t="str">
        <f t="shared" si="153"/>
        <v xml:space="preserve">Snuggan </v>
      </c>
      <c r="M2710" s="5" t="s">
        <v>211</v>
      </c>
      <c r="N2710" s="6">
        <v>1</v>
      </c>
      <c r="O2710" s="6">
        <v>1</v>
      </c>
      <c r="Q2710" s="6">
        <v>20.6</v>
      </c>
      <c r="R2710" s="6">
        <v>8.9</v>
      </c>
      <c r="S2710" s="6">
        <v>98</v>
      </c>
    </row>
    <row r="2711" spans="1:43" x14ac:dyDescent="0.3">
      <c r="A2711" s="6">
        <v>46358</v>
      </c>
      <c r="B2711" s="5" t="s">
        <v>234</v>
      </c>
      <c r="C2711" s="5" t="s">
        <v>231</v>
      </c>
      <c r="D2711" s="2">
        <f t="shared" si="151"/>
        <v>2015</v>
      </c>
      <c r="E2711" s="2">
        <f t="shared" si="152"/>
        <v>8</v>
      </c>
      <c r="F2711" s="3" t="s">
        <v>179</v>
      </c>
      <c r="G2711" s="7">
        <v>42234</v>
      </c>
      <c r="H2711" s="6">
        <v>6595470</v>
      </c>
      <c r="I2711" s="6">
        <v>1622370</v>
      </c>
      <c r="J2711" s="5" t="s">
        <v>190</v>
      </c>
      <c r="K2711" s="1"/>
      <c r="L2711" s="1" t="str">
        <f t="shared" si="153"/>
        <v xml:space="preserve">Snuggan </v>
      </c>
      <c r="M2711" s="5" t="s">
        <v>212</v>
      </c>
      <c r="N2711" s="6">
        <v>2</v>
      </c>
      <c r="O2711" s="6">
        <v>2</v>
      </c>
      <c r="Q2711" s="6">
        <v>20.3</v>
      </c>
      <c r="R2711" s="6">
        <v>6.9</v>
      </c>
      <c r="S2711" s="6">
        <v>74</v>
      </c>
    </row>
    <row r="2712" spans="1:43" x14ac:dyDescent="0.3">
      <c r="A2712" s="6">
        <v>46359</v>
      </c>
      <c r="B2712" s="5" t="s">
        <v>234</v>
      </c>
      <c r="C2712" s="5" t="s">
        <v>231</v>
      </c>
      <c r="D2712" s="2">
        <f t="shared" si="151"/>
        <v>2015</v>
      </c>
      <c r="E2712" s="2">
        <f t="shared" si="152"/>
        <v>8</v>
      </c>
      <c r="F2712" s="3" t="s">
        <v>179</v>
      </c>
      <c r="G2712" s="7">
        <v>42234</v>
      </c>
      <c r="H2712" s="6">
        <v>6595470</v>
      </c>
      <c r="I2712" s="6">
        <v>1622370</v>
      </c>
      <c r="J2712" s="5" t="s">
        <v>190</v>
      </c>
      <c r="K2712" s="1"/>
      <c r="L2712" s="1" t="str">
        <f t="shared" si="153"/>
        <v xml:space="preserve">Snuggan </v>
      </c>
      <c r="M2712" s="1" t="s">
        <v>184</v>
      </c>
      <c r="N2712" s="6">
        <v>2.5</v>
      </c>
      <c r="O2712" s="6">
        <v>2.5</v>
      </c>
      <c r="Q2712" s="6">
        <v>19.600000000000001</v>
      </c>
      <c r="R2712" s="6">
        <v>5.8</v>
      </c>
      <c r="S2712" s="6">
        <v>63</v>
      </c>
    </row>
    <row r="2713" spans="1:43" x14ac:dyDescent="0.3">
      <c r="A2713" s="6">
        <v>46379</v>
      </c>
      <c r="B2713" s="5" t="s">
        <v>234</v>
      </c>
      <c r="C2713" s="5" t="s">
        <v>231</v>
      </c>
      <c r="D2713" s="2">
        <f t="shared" si="151"/>
        <v>2015</v>
      </c>
      <c r="E2713" s="2">
        <f t="shared" si="152"/>
        <v>8</v>
      </c>
      <c r="F2713" s="3" t="s">
        <v>179</v>
      </c>
      <c r="G2713" s="7">
        <v>42235</v>
      </c>
      <c r="H2713" s="6">
        <v>6594430</v>
      </c>
      <c r="I2713" s="6">
        <v>1625370</v>
      </c>
      <c r="J2713" s="5" t="s">
        <v>201</v>
      </c>
      <c r="K2713" s="1"/>
      <c r="L2713" s="1" t="str">
        <f t="shared" si="153"/>
        <v xml:space="preserve">Mörtsjön </v>
      </c>
      <c r="M2713" s="1" t="s">
        <v>177</v>
      </c>
      <c r="N2713" s="6">
        <v>0.5</v>
      </c>
      <c r="O2713" s="6">
        <v>0.5</v>
      </c>
      <c r="P2713" s="6">
        <v>2</v>
      </c>
      <c r="Q2713" s="6">
        <v>20.3</v>
      </c>
      <c r="R2713" s="6">
        <v>8</v>
      </c>
      <c r="S2713" s="6">
        <v>87</v>
      </c>
      <c r="V2713" s="6">
        <v>1.96224</v>
      </c>
      <c r="W2713" s="6">
        <v>0</v>
      </c>
      <c r="X2713" s="1">
        <f>W2713 * (1/((10^((0.0901821 + (2729.92 /(273.15 + Q2713)))-AE2713)+1)))</f>
        <v>0</v>
      </c>
      <c r="Y2713" s="6">
        <v>0.128</v>
      </c>
      <c r="Z2713" s="6">
        <v>1.55</v>
      </c>
      <c r="AA2713" s="6">
        <v>2</v>
      </c>
      <c r="AB2713" s="6">
        <v>12.026475</v>
      </c>
      <c r="AD2713" s="6">
        <v>2.85</v>
      </c>
      <c r="AE2713" s="6">
        <v>7.7</v>
      </c>
      <c r="AK2713" s="6">
        <v>24.6</v>
      </c>
      <c r="AL2713" s="6">
        <v>735.14</v>
      </c>
      <c r="AM2713" s="6"/>
      <c r="AN2713" s="6"/>
      <c r="AO2713" s="6"/>
      <c r="AP2713" s="6"/>
      <c r="AQ2713" s="6"/>
    </row>
    <row r="2714" spans="1:43" x14ac:dyDescent="0.3">
      <c r="A2714" s="6">
        <v>46380</v>
      </c>
      <c r="B2714" s="5" t="s">
        <v>234</v>
      </c>
      <c r="C2714" s="5" t="s">
        <v>231</v>
      </c>
      <c r="D2714" s="2">
        <f t="shared" si="151"/>
        <v>2015</v>
      </c>
      <c r="E2714" s="2">
        <f t="shared" si="152"/>
        <v>8</v>
      </c>
      <c r="F2714" s="3" t="s">
        <v>179</v>
      </c>
      <c r="G2714" s="7">
        <v>42235</v>
      </c>
      <c r="H2714" s="6">
        <v>6594430</v>
      </c>
      <c r="I2714" s="6">
        <v>1625370</v>
      </c>
      <c r="J2714" s="5" t="s">
        <v>201</v>
      </c>
      <c r="K2714" s="1"/>
      <c r="L2714" s="1" t="str">
        <f t="shared" si="153"/>
        <v xml:space="preserve">Mörtsjön </v>
      </c>
      <c r="M2714" s="5" t="s">
        <v>211</v>
      </c>
      <c r="N2714" s="6">
        <v>1</v>
      </c>
      <c r="O2714" s="6">
        <v>1</v>
      </c>
      <c r="Q2714" s="6">
        <v>20</v>
      </c>
      <c r="R2714" s="6">
        <v>8</v>
      </c>
      <c r="S2714" s="6">
        <v>87</v>
      </c>
    </row>
    <row r="2715" spans="1:43" x14ac:dyDescent="0.3">
      <c r="A2715" s="6">
        <v>46381</v>
      </c>
      <c r="B2715" s="5" t="s">
        <v>234</v>
      </c>
      <c r="C2715" s="5" t="s">
        <v>231</v>
      </c>
      <c r="D2715" s="2">
        <f t="shared" si="151"/>
        <v>2015</v>
      </c>
      <c r="E2715" s="2">
        <f t="shared" si="152"/>
        <v>8</v>
      </c>
      <c r="F2715" s="3" t="s">
        <v>179</v>
      </c>
      <c r="G2715" s="7">
        <v>42235</v>
      </c>
      <c r="H2715" s="6">
        <v>6594430</v>
      </c>
      <c r="I2715" s="6">
        <v>1625370</v>
      </c>
      <c r="J2715" s="5" t="s">
        <v>201</v>
      </c>
      <c r="K2715" s="1"/>
      <c r="L2715" s="1" t="str">
        <f t="shared" si="153"/>
        <v xml:space="preserve">Mörtsjön </v>
      </c>
      <c r="M2715" s="5" t="s">
        <v>212</v>
      </c>
      <c r="N2715" s="6">
        <v>2</v>
      </c>
      <c r="O2715" s="6">
        <v>2</v>
      </c>
      <c r="Q2715" s="6">
        <v>19.7</v>
      </c>
      <c r="R2715" s="6">
        <v>7</v>
      </c>
      <c r="S2715" s="6">
        <v>75</v>
      </c>
    </row>
    <row r="2716" spans="1:43" x14ac:dyDescent="0.3">
      <c r="A2716" s="6">
        <v>46382</v>
      </c>
      <c r="B2716" s="5" t="s">
        <v>234</v>
      </c>
      <c r="C2716" s="5" t="s">
        <v>231</v>
      </c>
      <c r="D2716" s="2">
        <f t="shared" si="151"/>
        <v>2015</v>
      </c>
      <c r="E2716" s="2">
        <f t="shared" si="152"/>
        <v>8</v>
      </c>
      <c r="F2716" s="3" t="s">
        <v>179</v>
      </c>
      <c r="G2716" s="7">
        <v>42235</v>
      </c>
      <c r="H2716" s="6">
        <v>6594430</v>
      </c>
      <c r="I2716" s="6">
        <v>1625370</v>
      </c>
      <c r="J2716" s="5" t="s">
        <v>201</v>
      </c>
      <c r="K2716" s="1"/>
      <c r="L2716" s="1" t="str">
        <f t="shared" si="153"/>
        <v xml:space="preserve">Mörtsjön </v>
      </c>
      <c r="M2716" s="5" t="s">
        <v>213</v>
      </c>
      <c r="N2716" s="6">
        <v>3</v>
      </c>
      <c r="O2716" s="6">
        <v>3</v>
      </c>
      <c r="Q2716" s="6">
        <v>17</v>
      </c>
      <c r="R2716" s="6">
        <v>0.1</v>
      </c>
      <c r="S2716" s="6">
        <v>1</v>
      </c>
    </row>
    <row r="2717" spans="1:43" x14ac:dyDescent="0.3">
      <c r="A2717" s="6">
        <v>46383</v>
      </c>
      <c r="B2717" s="5" t="s">
        <v>234</v>
      </c>
      <c r="C2717" s="5" t="s">
        <v>231</v>
      </c>
      <c r="D2717" s="2">
        <f t="shared" si="151"/>
        <v>2015</v>
      </c>
      <c r="E2717" s="2">
        <f t="shared" si="152"/>
        <v>8</v>
      </c>
      <c r="F2717" s="3" t="s">
        <v>179</v>
      </c>
      <c r="G2717" s="7">
        <v>42235</v>
      </c>
      <c r="H2717" s="6">
        <v>6594430</v>
      </c>
      <c r="I2717" s="6">
        <v>1625370</v>
      </c>
      <c r="J2717" s="5" t="s">
        <v>201</v>
      </c>
      <c r="K2717" s="1"/>
      <c r="L2717" s="1" t="str">
        <f t="shared" si="153"/>
        <v xml:space="preserve">Mörtsjön </v>
      </c>
      <c r="M2717" s="1" t="s">
        <v>184</v>
      </c>
      <c r="N2717" s="6">
        <v>3.8</v>
      </c>
      <c r="O2717" s="6">
        <v>3.8</v>
      </c>
      <c r="Q2717" s="6">
        <v>13.3</v>
      </c>
      <c r="R2717" s="6">
        <v>0.1</v>
      </c>
      <c r="S2717" s="6">
        <v>1</v>
      </c>
      <c r="V2717" s="6">
        <v>2.4239435293999998</v>
      </c>
      <c r="W2717" s="6">
        <v>365.00409999999999</v>
      </c>
      <c r="X2717" s="1">
        <f>W2717 * (1/((10^((0.0901821 + (2729.92 /(273.15 + Q2717)))-AE2717)+1)))</f>
        <v>0.83357159915302803</v>
      </c>
      <c r="Y2717" s="6">
        <v>0.2</v>
      </c>
      <c r="Z2717" s="6">
        <v>3.84</v>
      </c>
      <c r="AA2717" s="6">
        <v>11.6</v>
      </c>
      <c r="AD2717" s="6">
        <v>7.16</v>
      </c>
      <c r="AE2717" s="6">
        <v>6.98</v>
      </c>
      <c r="AK2717" s="6">
        <v>108.18</v>
      </c>
      <c r="AL2717" s="6">
        <v>1711.51</v>
      </c>
      <c r="AM2717" s="6"/>
      <c r="AN2717" s="6"/>
      <c r="AO2717" s="6"/>
      <c r="AP2717" s="6"/>
      <c r="AQ2717" s="6"/>
    </row>
    <row r="2718" spans="1:43" x14ac:dyDescent="0.3">
      <c r="A2718" s="1">
        <v>45299</v>
      </c>
      <c r="B2718" s="1" t="s">
        <v>233</v>
      </c>
      <c r="C2718" s="1" t="s">
        <v>209</v>
      </c>
      <c r="D2718" s="2">
        <f t="shared" si="151"/>
        <v>2015</v>
      </c>
      <c r="E2718" s="2">
        <f t="shared" si="152"/>
        <v>8</v>
      </c>
      <c r="F2718" s="3" t="s">
        <v>179</v>
      </c>
      <c r="G2718" s="4">
        <v>42236</v>
      </c>
      <c r="H2718" s="1">
        <v>6600935</v>
      </c>
      <c r="I2718" s="1">
        <v>1626764</v>
      </c>
      <c r="J2718" s="1" t="s">
        <v>191</v>
      </c>
      <c r="K2718" s="1" t="s">
        <v>210</v>
      </c>
      <c r="L2718" s="1" t="str">
        <f t="shared" si="153"/>
        <v>Vallentunasjön Va2</v>
      </c>
      <c r="M2718" s="1" t="s">
        <v>177</v>
      </c>
      <c r="N2718" s="1">
        <v>0.5</v>
      </c>
      <c r="O2718" s="1">
        <v>0.5</v>
      </c>
      <c r="P2718" s="1">
        <v>0.8</v>
      </c>
      <c r="Q2718" s="1">
        <v>20.9</v>
      </c>
      <c r="R2718" s="1">
        <v>9.1999999999999993</v>
      </c>
      <c r="S2718" s="1">
        <v>101</v>
      </c>
    </row>
    <row r="2719" spans="1:43" x14ac:dyDescent="0.3">
      <c r="A2719" s="1">
        <v>45300</v>
      </c>
      <c r="B2719" s="1" t="s">
        <v>233</v>
      </c>
      <c r="C2719" s="1" t="s">
        <v>209</v>
      </c>
      <c r="D2719" s="2">
        <f t="shared" si="151"/>
        <v>2015</v>
      </c>
      <c r="E2719" s="2">
        <f t="shared" si="152"/>
        <v>8</v>
      </c>
      <c r="F2719" s="3" t="s">
        <v>179</v>
      </c>
      <c r="G2719" s="4">
        <v>42236</v>
      </c>
      <c r="H2719" s="1">
        <v>6600935</v>
      </c>
      <c r="I2719" s="1">
        <v>1626764</v>
      </c>
      <c r="J2719" s="1" t="s">
        <v>191</v>
      </c>
      <c r="K2719" s="1" t="s">
        <v>210</v>
      </c>
      <c r="L2719" s="1" t="str">
        <f t="shared" si="153"/>
        <v>Vallentunasjön Va2</v>
      </c>
      <c r="M2719" s="1" t="s">
        <v>211</v>
      </c>
      <c r="N2719" s="1">
        <v>1</v>
      </c>
      <c r="O2719" s="1">
        <v>1</v>
      </c>
      <c r="Q2719" s="1">
        <v>20.8</v>
      </c>
      <c r="R2719" s="1">
        <v>9.1999999999999993</v>
      </c>
      <c r="S2719" s="1">
        <v>100</v>
      </c>
    </row>
    <row r="2720" spans="1:43" x14ac:dyDescent="0.3">
      <c r="A2720" s="1">
        <v>45301</v>
      </c>
      <c r="B2720" s="1" t="s">
        <v>233</v>
      </c>
      <c r="C2720" s="1" t="s">
        <v>209</v>
      </c>
      <c r="D2720" s="2">
        <f t="shared" si="151"/>
        <v>2015</v>
      </c>
      <c r="E2720" s="2">
        <f t="shared" si="152"/>
        <v>8</v>
      </c>
      <c r="F2720" s="3" t="s">
        <v>179</v>
      </c>
      <c r="G2720" s="4">
        <v>42236</v>
      </c>
      <c r="H2720" s="1">
        <v>6600935</v>
      </c>
      <c r="I2720" s="1">
        <v>1626764</v>
      </c>
      <c r="J2720" s="1" t="s">
        <v>191</v>
      </c>
      <c r="K2720" s="1" t="s">
        <v>210</v>
      </c>
      <c r="L2720" s="1" t="str">
        <f t="shared" si="153"/>
        <v>Vallentunasjön Va2</v>
      </c>
      <c r="M2720" s="1" t="s">
        <v>212</v>
      </c>
      <c r="N2720" s="1">
        <v>2</v>
      </c>
      <c r="O2720" s="1">
        <v>2</v>
      </c>
      <c r="Q2720" s="1">
        <v>20.5</v>
      </c>
      <c r="R2720" s="1">
        <v>8.5</v>
      </c>
      <c r="S2720" s="1">
        <v>92</v>
      </c>
    </row>
    <row r="2721" spans="1:51" x14ac:dyDescent="0.3">
      <c r="A2721" s="1">
        <v>45302</v>
      </c>
      <c r="B2721" s="1" t="s">
        <v>233</v>
      </c>
      <c r="C2721" s="1" t="s">
        <v>209</v>
      </c>
      <c r="D2721" s="2">
        <f t="shared" si="151"/>
        <v>2015</v>
      </c>
      <c r="E2721" s="2">
        <f t="shared" si="152"/>
        <v>8</v>
      </c>
      <c r="F2721" s="3" t="s">
        <v>179</v>
      </c>
      <c r="G2721" s="4">
        <v>42236</v>
      </c>
      <c r="H2721" s="1">
        <v>6600935</v>
      </c>
      <c r="I2721" s="1">
        <v>1626764</v>
      </c>
      <c r="J2721" s="1" t="s">
        <v>191</v>
      </c>
      <c r="K2721" s="1" t="s">
        <v>210</v>
      </c>
      <c r="L2721" s="1" t="str">
        <f t="shared" si="153"/>
        <v>Vallentunasjön Va2</v>
      </c>
      <c r="M2721" s="1" t="s">
        <v>213</v>
      </c>
      <c r="N2721" s="1">
        <v>3</v>
      </c>
      <c r="O2721" s="1">
        <v>3</v>
      </c>
      <c r="Q2721" s="1">
        <v>20.399999999999999</v>
      </c>
      <c r="R2721" s="1">
        <v>8.1</v>
      </c>
      <c r="S2721" s="1">
        <v>88</v>
      </c>
    </row>
    <row r="2722" spans="1:51" x14ac:dyDescent="0.3">
      <c r="A2722" s="1">
        <v>45303</v>
      </c>
      <c r="B2722" s="1" t="s">
        <v>233</v>
      </c>
      <c r="C2722" s="1" t="s">
        <v>209</v>
      </c>
      <c r="D2722" s="2">
        <f t="shared" si="151"/>
        <v>2015</v>
      </c>
      <c r="E2722" s="2">
        <f t="shared" si="152"/>
        <v>8</v>
      </c>
      <c r="F2722" s="3" t="s">
        <v>179</v>
      </c>
      <c r="G2722" s="4">
        <v>42236</v>
      </c>
      <c r="H2722" s="1">
        <v>6600935</v>
      </c>
      <c r="I2722" s="1">
        <v>1626764</v>
      </c>
      <c r="J2722" s="1" t="s">
        <v>191</v>
      </c>
      <c r="K2722" s="1" t="s">
        <v>210</v>
      </c>
      <c r="L2722" s="1" t="str">
        <f t="shared" si="153"/>
        <v>Vallentunasjön Va2</v>
      </c>
      <c r="M2722" s="1" t="s">
        <v>214</v>
      </c>
      <c r="N2722" s="1">
        <v>4</v>
      </c>
      <c r="O2722" s="1">
        <v>4</v>
      </c>
      <c r="Q2722" s="1">
        <v>20.2</v>
      </c>
      <c r="R2722" s="1">
        <v>4.7</v>
      </c>
      <c r="S2722" s="1">
        <v>51</v>
      </c>
    </row>
    <row r="2723" spans="1:51" x14ac:dyDescent="0.3">
      <c r="A2723" s="1">
        <v>45304</v>
      </c>
      <c r="B2723" s="1" t="s">
        <v>233</v>
      </c>
      <c r="C2723" s="1" t="s">
        <v>209</v>
      </c>
      <c r="D2723" s="2">
        <f t="shared" si="151"/>
        <v>2015</v>
      </c>
      <c r="E2723" s="2">
        <f t="shared" si="152"/>
        <v>8</v>
      </c>
      <c r="F2723" s="3" t="s">
        <v>179</v>
      </c>
      <c r="G2723" s="4">
        <v>42236</v>
      </c>
      <c r="H2723" s="1">
        <v>6600935</v>
      </c>
      <c r="I2723" s="1">
        <v>1626764</v>
      </c>
      <c r="J2723" s="1" t="s">
        <v>191</v>
      </c>
      <c r="K2723" s="1" t="s">
        <v>210</v>
      </c>
      <c r="L2723" s="1" t="str">
        <f t="shared" si="153"/>
        <v>Vallentunasjön Va2</v>
      </c>
      <c r="M2723" s="1" t="s">
        <v>184</v>
      </c>
      <c r="N2723" s="1">
        <v>4.3</v>
      </c>
      <c r="O2723" s="1">
        <v>4.3</v>
      </c>
      <c r="Q2723" s="1">
        <v>20.100000000000001</v>
      </c>
      <c r="R2723" s="1">
        <v>4.0999999999999996</v>
      </c>
      <c r="S2723" s="1">
        <v>45</v>
      </c>
    </row>
    <row r="2724" spans="1:51" x14ac:dyDescent="0.3">
      <c r="A2724" s="1">
        <v>45305</v>
      </c>
      <c r="B2724" s="1" t="s">
        <v>233</v>
      </c>
      <c r="C2724" s="1" t="s">
        <v>209</v>
      </c>
      <c r="D2724" s="2">
        <f t="shared" si="151"/>
        <v>2015</v>
      </c>
      <c r="E2724" s="2">
        <f t="shared" si="152"/>
        <v>8</v>
      </c>
      <c r="F2724" s="3" t="s">
        <v>179</v>
      </c>
      <c r="G2724" s="4">
        <v>42236</v>
      </c>
      <c r="J2724" s="1" t="s">
        <v>191</v>
      </c>
      <c r="K2724" s="1" t="s">
        <v>206</v>
      </c>
      <c r="L2724" s="1" t="str">
        <f t="shared" si="153"/>
        <v>Vallentunasjön Blandprov</v>
      </c>
      <c r="M2724" s="1" t="s">
        <v>177</v>
      </c>
      <c r="N2724" s="1">
        <v>4</v>
      </c>
      <c r="O2724" s="1">
        <v>0</v>
      </c>
      <c r="W2724" s="1">
        <v>5.7445000000000004</v>
      </c>
      <c r="Z2724" s="1">
        <v>0</v>
      </c>
      <c r="AB2724" s="1">
        <v>28.183949999999999</v>
      </c>
      <c r="AD2724" s="1">
        <v>4.8600000000000003</v>
      </c>
      <c r="AG2724" s="1">
        <v>16.5</v>
      </c>
      <c r="AK2724" s="1">
        <v>55.38</v>
      </c>
      <c r="AL2724" s="1">
        <v>1135.24</v>
      </c>
    </row>
    <row r="2725" spans="1:51" x14ac:dyDescent="0.3">
      <c r="A2725" s="1">
        <v>45923</v>
      </c>
      <c r="B2725" s="1" t="s">
        <v>233</v>
      </c>
      <c r="C2725" s="1" t="s">
        <v>209</v>
      </c>
      <c r="D2725" s="2">
        <f t="shared" si="151"/>
        <v>2015</v>
      </c>
      <c r="E2725" s="2">
        <f t="shared" si="152"/>
        <v>9</v>
      </c>
      <c r="F2725" s="2"/>
      <c r="G2725" s="4">
        <v>42248</v>
      </c>
      <c r="H2725" s="1">
        <v>6600935</v>
      </c>
      <c r="I2725" s="1">
        <v>1626764</v>
      </c>
      <c r="J2725" s="1" t="s">
        <v>191</v>
      </c>
      <c r="K2725" s="1" t="s">
        <v>210</v>
      </c>
      <c r="L2725" s="1" t="str">
        <f t="shared" si="153"/>
        <v>Vallentunasjön Va2</v>
      </c>
      <c r="M2725" s="1" t="s">
        <v>177</v>
      </c>
      <c r="N2725" s="1">
        <v>0.5</v>
      </c>
      <c r="O2725" s="1">
        <v>0.5</v>
      </c>
      <c r="P2725" s="1">
        <v>0.8</v>
      </c>
      <c r="Q2725" s="1">
        <v>19.100000000000001</v>
      </c>
      <c r="R2725" s="1">
        <v>8.6999999999999993</v>
      </c>
      <c r="S2725" s="1">
        <v>95</v>
      </c>
    </row>
    <row r="2726" spans="1:51" x14ac:dyDescent="0.3">
      <c r="A2726" s="1">
        <v>45924</v>
      </c>
      <c r="B2726" s="1" t="s">
        <v>233</v>
      </c>
      <c r="C2726" s="1" t="s">
        <v>209</v>
      </c>
      <c r="D2726" s="2">
        <f t="shared" si="151"/>
        <v>2015</v>
      </c>
      <c r="E2726" s="2">
        <f t="shared" si="152"/>
        <v>9</v>
      </c>
      <c r="F2726" s="2"/>
      <c r="G2726" s="4">
        <v>42248</v>
      </c>
      <c r="H2726" s="1">
        <v>6600935</v>
      </c>
      <c r="I2726" s="1">
        <v>1626764</v>
      </c>
      <c r="J2726" s="1" t="s">
        <v>191</v>
      </c>
      <c r="K2726" s="1" t="s">
        <v>210</v>
      </c>
      <c r="L2726" s="1" t="str">
        <f t="shared" si="153"/>
        <v>Vallentunasjön Va2</v>
      </c>
      <c r="M2726" s="1" t="s">
        <v>211</v>
      </c>
      <c r="N2726" s="1">
        <v>1</v>
      </c>
      <c r="O2726" s="1">
        <v>1</v>
      </c>
      <c r="Q2726" s="1">
        <v>19.100000000000001</v>
      </c>
      <c r="R2726" s="1">
        <v>8.9</v>
      </c>
      <c r="S2726" s="1">
        <v>98</v>
      </c>
    </row>
    <row r="2727" spans="1:51" x14ac:dyDescent="0.3">
      <c r="A2727" s="1">
        <v>45925</v>
      </c>
      <c r="B2727" s="1" t="s">
        <v>233</v>
      </c>
      <c r="C2727" s="1" t="s">
        <v>209</v>
      </c>
      <c r="D2727" s="2">
        <f t="shared" si="151"/>
        <v>2015</v>
      </c>
      <c r="E2727" s="2">
        <f t="shared" si="152"/>
        <v>9</v>
      </c>
      <c r="F2727" s="2"/>
      <c r="G2727" s="4">
        <v>42248</v>
      </c>
      <c r="H2727" s="1">
        <v>6600935</v>
      </c>
      <c r="I2727" s="1">
        <v>1626764</v>
      </c>
      <c r="J2727" s="1" t="s">
        <v>191</v>
      </c>
      <c r="K2727" s="1" t="s">
        <v>210</v>
      </c>
      <c r="L2727" s="1" t="str">
        <f t="shared" si="153"/>
        <v>Vallentunasjön Va2</v>
      </c>
      <c r="M2727" s="1" t="s">
        <v>212</v>
      </c>
      <c r="N2727" s="1">
        <v>2</v>
      </c>
      <c r="O2727" s="1">
        <v>2</v>
      </c>
      <c r="Q2727" s="1">
        <v>19.100000000000001</v>
      </c>
      <c r="R2727" s="1">
        <v>9.1</v>
      </c>
      <c r="S2727" s="1">
        <v>101</v>
      </c>
    </row>
    <row r="2728" spans="1:51" x14ac:dyDescent="0.3">
      <c r="A2728" s="1">
        <v>45926</v>
      </c>
      <c r="B2728" s="1" t="s">
        <v>233</v>
      </c>
      <c r="C2728" s="1" t="s">
        <v>209</v>
      </c>
      <c r="D2728" s="2">
        <f t="shared" si="151"/>
        <v>2015</v>
      </c>
      <c r="E2728" s="2">
        <f t="shared" si="152"/>
        <v>9</v>
      </c>
      <c r="F2728" s="2"/>
      <c r="G2728" s="4">
        <v>42248</v>
      </c>
      <c r="H2728" s="1">
        <v>6600935</v>
      </c>
      <c r="I2728" s="1">
        <v>1626764</v>
      </c>
      <c r="J2728" s="1" t="s">
        <v>191</v>
      </c>
      <c r="K2728" s="1" t="s">
        <v>210</v>
      </c>
      <c r="L2728" s="1" t="str">
        <f t="shared" si="153"/>
        <v>Vallentunasjön Va2</v>
      </c>
      <c r="M2728" s="1" t="s">
        <v>213</v>
      </c>
      <c r="N2728" s="1">
        <v>3</v>
      </c>
      <c r="O2728" s="1">
        <v>3</v>
      </c>
      <c r="Q2728" s="1">
        <v>19.100000000000001</v>
      </c>
      <c r="R2728" s="1">
        <v>9</v>
      </c>
      <c r="S2728" s="1">
        <v>100</v>
      </c>
    </row>
    <row r="2729" spans="1:51" x14ac:dyDescent="0.3">
      <c r="A2729" s="1">
        <v>45927</v>
      </c>
      <c r="B2729" s="1" t="s">
        <v>233</v>
      </c>
      <c r="C2729" s="1" t="s">
        <v>209</v>
      </c>
      <c r="D2729" s="2">
        <f t="shared" si="151"/>
        <v>2015</v>
      </c>
      <c r="E2729" s="2">
        <f t="shared" si="152"/>
        <v>9</v>
      </c>
      <c r="F2729" s="2"/>
      <c r="G2729" s="4">
        <v>42248</v>
      </c>
      <c r="H2729" s="1">
        <v>6600935</v>
      </c>
      <c r="I2729" s="1">
        <v>1626764</v>
      </c>
      <c r="J2729" s="1" t="s">
        <v>191</v>
      </c>
      <c r="K2729" s="1" t="s">
        <v>210</v>
      </c>
      <c r="L2729" s="1" t="str">
        <f t="shared" si="153"/>
        <v>Vallentunasjön Va2</v>
      </c>
      <c r="M2729" s="1" t="s">
        <v>214</v>
      </c>
      <c r="N2729" s="1">
        <v>4</v>
      </c>
      <c r="O2729" s="1">
        <v>4</v>
      </c>
      <c r="Q2729" s="1">
        <v>18.899999999999999</v>
      </c>
      <c r="R2729" s="1">
        <v>6.2</v>
      </c>
      <c r="S2729" s="1">
        <v>68</v>
      </c>
    </row>
    <row r="2730" spans="1:51" x14ac:dyDescent="0.3">
      <c r="A2730" s="1">
        <v>45928</v>
      </c>
      <c r="B2730" s="1" t="s">
        <v>233</v>
      </c>
      <c r="C2730" s="1" t="s">
        <v>209</v>
      </c>
      <c r="D2730" s="2">
        <f t="shared" si="151"/>
        <v>2015</v>
      </c>
      <c r="E2730" s="2">
        <f t="shared" si="152"/>
        <v>9</v>
      </c>
      <c r="F2730" s="2"/>
      <c r="G2730" s="4">
        <v>42248</v>
      </c>
      <c r="H2730" s="1">
        <v>6600935</v>
      </c>
      <c r="I2730" s="1">
        <v>1626764</v>
      </c>
      <c r="J2730" s="1" t="s">
        <v>191</v>
      </c>
      <c r="K2730" s="1" t="s">
        <v>210</v>
      </c>
      <c r="L2730" s="1" t="str">
        <f t="shared" si="153"/>
        <v>Vallentunasjön Va2</v>
      </c>
      <c r="M2730" s="1" t="s">
        <v>184</v>
      </c>
      <c r="N2730" s="1">
        <v>4.4000000000000004</v>
      </c>
      <c r="O2730" s="1">
        <v>4.4000000000000004</v>
      </c>
      <c r="Q2730" s="1">
        <v>18.899999999999999</v>
      </c>
      <c r="R2730" s="1">
        <v>5.7</v>
      </c>
      <c r="S2730" s="1">
        <v>63</v>
      </c>
    </row>
    <row r="2731" spans="1:51" x14ac:dyDescent="0.3">
      <c r="A2731" s="1">
        <v>45929</v>
      </c>
      <c r="B2731" s="1" t="s">
        <v>233</v>
      </c>
      <c r="C2731" s="1" t="s">
        <v>209</v>
      </c>
      <c r="D2731" s="2">
        <f t="shared" si="151"/>
        <v>2015</v>
      </c>
      <c r="E2731" s="2">
        <f t="shared" si="152"/>
        <v>9</v>
      </c>
      <c r="F2731" s="2"/>
      <c r="G2731" s="4">
        <v>42248</v>
      </c>
      <c r="J2731" s="1" t="s">
        <v>191</v>
      </c>
      <c r="K2731" s="1" t="s">
        <v>206</v>
      </c>
      <c r="L2731" s="1" t="str">
        <f t="shared" si="153"/>
        <v>Vallentunasjön Blandprov</v>
      </c>
      <c r="M2731" s="1" t="s">
        <v>177</v>
      </c>
      <c r="N2731" s="1">
        <v>4</v>
      </c>
      <c r="O2731" s="1">
        <v>0</v>
      </c>
      <c r="W2731" s="1">
        <v>3.6448</v>
      </c>
      <c r="Z2731" s="1">
        <v>0</v>
      </c>
      <c r="AB2731" s="1">
        <v>28.821149999999999</v>
      </c>
      <c r="AD2731" s="1">
        <v>4.51</v>
      </c>
      <c r="AG2731" s="1">
        <v>16</v>
      </c>
      <c r="AK2731" s="1">
        <v>51.1</v>
      </c>
      <c r="AL2731" s="1">
        <v>1159.27</v>
      </c>
    </row>
    <row r="2732" spans="1:51" x14ac:dyDescent="0.3">
      <c r="D2732" s="2">
        <f t="shared" si="151"/>
        <v>2015</v>
      </c>
      <c r="E2732" s="2">
        <f t="shared" si="152"/>
        <v>9</v>
      </c>
      <c r="F2732" s="3"/>
      <c r="G2732" s="4">
        <v>42262</v>
      </c>
      <c r="H2732" s="1">
        <v>6606238</v>
      </c>
      <c r="I2732" s="1">
        <v>661152</v>
      </c>
      <c r="J2732" s="5" t="s">
        <v>176</v>
      </c>
      <c r="K2732" s="1"/>
      <c r="L2732" s="1" t="str">
        <f t="shared" si="153"/>
        <v xml:space="preserve">Oxundaån </v>
      </c>
      <c r="M2732" s="1" t="s">
        <v>177</v>
      </c>
      <c r="N2732" s="1">
        <v>0.2</v>
      </c>
      <c r="O2732" s="1">
        <v>0.2</v>
      </c>
      <c r="Q2732" s="1">
        <v>15.5</v>
      </c>
      <c r="T2732" s="1">
        <v>43</v>
      </c>
      <c r="V2732" s="1">
        <v>2.387</v>
      </c>
      <c r="W2732" s="1">
        <v>62</v>
      </c>
      <c r="X2732" s="1">
        <f>W2732 * (1/((10^((0.0901821 + (2729.92 /(273.15 + Q2732)))-AE2732)+1)))</f>
        <v>0.950508948039261</v>
      </c>
      <c r="Y2732" s="1">
        <v>0.05</v>
      </c>
      <c r="Z2732" s="1">
        <v>52</v>
      </c>
      <c r="AA2732" s="1">
        <v>2.4</v>
      </c>
      <c r="AD2732" s="1">
        <v>46</v>
      </c>
      <c r="AE2732" s="1">
        <v>7.74</v>
      </c>
      <c r="AI2732" s="1">
        <v>10.4</v>
      </c>
      <c r="AK2732" s="1">
        <v>74.400000000000006</v>
      </c>
      <c r="AL2732" s="1">
        <v>752</v>
      </c>
      <c r="AR2732" s="1">
        <v>47.400000000000006</v>
      </c>
      <c r="AT2732" s="1">
        <v>5.0048000000000004</v>
      </c>
      <c r="AU2732" s="1">
        <v>7.9981</v>
      </c>
      <c r="AV2732" s="1">
        <v>33.571150000000003</v>
      </c>
      <c r="AW2732" s="1">
        <v>23.857600000000001</v>
      </c>
      <c r="AX2732" s="1">
        <v>43.100850000000001</v>
      </c>
      <c r="AY2732" s="1">
        <v>1.3</v>
      </c>
    </row>
    <row r="2733" spans="1:51" x14ac:dyDescent="0.3">
      <c r="A2733" s="6">
        <v>47231</v>
      </c>
      <c r="B2733" s="5" t="s">
        <v>235</v>
      </c>
      <c r="C2733" s="5" t="s">
        <v>236</v>
      </c>
      <c r="D2733" s="2">
        <f t="shared" si="151"/>
        <v>2015</v>
      </c>
      <c r="E2733" s="2">
        <f t="shared" si="152"/>
        <v>9</v>
      </c>
      <c r="F2733" s="2"/>
      <c r="G2733" s="7">
        <v>42264</v>
      </c>
      <c r="H2733" s="6">
        <v>6594899</v>
      </c>
      <c r="I2733" s="6">
        <v>1622837</v>
      </c>
      <c r="J2733" s="5" t="s">
        <v>192</v>
      </c>
      <c r="K2733" s="6">
        <v>1</v>
      </c>
      <c r="L2733" s="1" t="str">
        <f t="shared" si="153"/>
        <v>Väsjön 1</v>
      </c>
      <c r="M2733" s="1" t="s">
        <v>177</v>
      </c>
      <c r="AA2733" s="6">
        <v>0.8</v>
      </c>
    </row>
    <row r="2734" spans="1:51" x14ac:dyDescent="0.3">
      <c r="A2734" s="6">
        <v>47232</v>
      </c>
      <c r="B2734" s="5" t="s">
        <v>235</v>
      </c>
      <c r="C2734" s="5" t="s">
        <v>236</v>
      </c>
      <c r="D2734" s="2">
        <f t="shared" si="151"/>
        <v>2015</v>
      </c>
      <c r="E2734" s="2">
        <f t="shared" si="152"/>
        <v>9</v>
      </c>
      <c r="F2734" s="2"/>
      <c r="G2734" s="7">
        <v>42264</v>
      </c>
      <c r="H2734" s="6">
        <v>6594981</v>
      </c>
      <c r="I2734" s="6">
        <v>1622940</v>
      </c>
      <c r="J2734" s="5" t="s">
        <v>192</v>
      </c>
      <c r="K2734" s="6">
        <v>2</v>
      </c>
      <c r="L2734" s="1" t="str">
        <f t="shared" si="153"/>
        <v>Väsjön 2</v>
      </c>
      <c r="M2734" s="1" t="s">
        <v>177</v>
      </c>
      <c r="AA2734" s="6">
        <v>0.8</v>
      </c>
    </row>
    <row r="2735" spans="1:51" x14ac:dyDescent="0.3">
      <c r="A2735" s="6">
        <v>47233</v>
      </c>
      <c r="B2735" s="5" t="s">
        <v>235</v>
      </c>
      <c r="C2735" s="5" t="s">
        <v>236</v>
      </c>
      <c r="D2735" s="2">
        <f t="shared" si="151"/>
        <v>2015</v>
      </c>
      <c r="E2735" s="2">
        <f t="shared" si="152"/>
        <v>9</v>
      </c>
      <c r="F2735" s="2"/>
      <c r="G2735" s="7">
        <v>42264</v>
      </c>
      <c r="H2735" s="6">
        <v>6594875</v>
      </c>
      <c r="I2735" s="6">
        <v>1623052</v>
      </c>
      <c r="J2735" s="5" t="s">
        <v>192</v>
      </c>
      <c r="K2735" s="6">
        <v>3</v>
      </c>
      <c r="L2735" s="1" t="str">
        <f t="shared" si="153"/>
        <v>Väsjön 3</v>
      </c>
      <c r="M2735" s="1" t="s">
        <v>177</v>
      </c>
      <c r="AA2735" s="6">
        <v>0.9</v>
      </c>
    </row>
    <row r="2736" spans="1:51" x14ac:dyDescent="0.3">
      <c r="A2736" s="1">
        <v>47196</v>
      </c>
      <c r="B2736" s="1" t="s">
        <v>233</v>
      </c>
      <c r="C2736" s="1" t="s">
        <v>209</v>
      </c>
      <c r="D2736" s="2">
        <f t="shared" si="151"/>
        <v>2015</v>
      </c>
      <c r="E2736" s="2">
        <f t="shared" si="152"/>
        <v>9</v>
      </c>
      <c r="F2736" s="2"/>
      <c r="G2736" s="4">
        <v>42264</v>
      </c>
      <c r="H2736" s="1">
        <v>6600935</v>
      </c>
      <c r="I2736" s="1">
        <v>1626764</v>
      </c>
      <c r="J2736" s="1" t="s">
        <v>191</v>
      </c>
      <c r="K2736" s="1" t="s">
        <v>210</v>
      </c>
      <c r="L2736" s="1" t="str">
        <f t="shared" si="153"/>
        <v>Vallentunasjön Va2</v>
      </c>
      <c r="M2736" s="1" t="s">
        <v>177</v>
      </c>
      <c r="N2736" s="1">
        <v>0.5</v>
      </c>
      <c r="O2736" s="1">
        <v>0.5</v>
      </c>
      <c r="P2736" s="1">
        <v>1</v>
      </c>
      <c r="Q2736" s="1">
        <v>15.7</v>
      </c>
      <c r="R2736" s="1">
        <v>9.6999999999999993</v>
      </c>
      <c r="S2736" s="1">
        <v>99</v>
      </c>
    </row>
    <row r="2737" spans="1:43" x14ac:dyDescent="0.3">
      <c r="A2737" s="1">
        <v>47197</v>
      </c>
      <c r="B2737" s="1" t="s">
        <v>233</v>
      </c>
      <c r="C2737" s="1" t="s">
        <v>209</v>
      </c>
      <c r="D2737" s="2">
        <f t="shared" si="151"/>
        <v>2015</v>
      </c>
      <c r="E2737" s="2">
        <f t="shared" si="152"/>
        <v>9</v>
      </c>
      <c r="F2737" s="2"/>
      <c r="G2737" s="4">
        <v>42264</v>
      </c>
      <c r="H2737" s="1">
        <v>6600935</v>
      </c>
      <c r="I2737" s="1">
        <v>1626764</v>
      </c>
      <c r="J2737" s="1" t="s">
        <v>191</v>
      </c>
      <c r="K2737" s="1" t="s">
        <v>210</v>
      </c>
      <c r="L2737" s="1" t="str">
        <f t="shared" si="153"/>
        <v>Vallentunasjön Va2</v>
      </c>
      <c r="M2737" s="1" t="s">
        <v>211</v>
      </c>
      <c r="N2737" s="1">
        <v>1</v>
      </c>
      <c r="O2737" s="1">
        <v>1</v>
      </c>
      <c r="Q2737" s="1">
        <v>15.7</v>
      </c>
      <c r="R2737" s="1">
        <v>9.6999999999999993</v>
      </c>
      <c r="S2737" s="1">
        <v>99</v>
      </c>
    </row>
    <row r="2738" spans="1:43" x14ac:dyDescent="0.3">
      <c r="A2738" s="1">
        <v>47198</v>
      </c>
      <c r="B2738" s="1" t="s">
        <v>233</v>
      </c>
      <c r="C2738" s="1" t="s">
        <v>209</v>
      </c>
      <c r="D2738" s="2">
        <f t="shared" si="151"/>
        <v>2015</v>
      </c>
      <c r="E2738" s="2">
        <f t="shared" si="152"/>
        <v>9</v>
      </c>
      <c r="F2738" s="2"/>
      <c r="G2738" s="4">
        <v>42264</v>
      </c>
      <c r="H2738" s="1">
        <v>6600935</v>
      </c>
      <c r="I2738" s="1">
        <v>1626764</v>
      </c>
      <c r="J2738" s="1" t="s">
        <v>191</v>
      </c>
      <c r="K2738" s="1" t="s">
        <v>210</v>
      </c>
      <c r="L2738" s="1" t="str">
        <f t="shared" si="153"/>
        <v>Vallentunasjön Va2</v>
      </c>
      <c r="M2738" s="1" t="s">
        <v>212</v>
      </c>
      <c r="N2738" s="1">
        <v>2</v>
      </c>
      <c r="O2738" s="1">
        <v>2</v>
      </c>
      <c r="Q2738" s="1">
        <v>15.7</v>
      </c>
      <c r="R2738" s="1">
        <v>9.6999999999999993</v>
      </c>
      <c r="S2738" s="1">
        <v>99</v>
      </c>
    </row>
    <row r="2739" spans="1:43" x14ac:dyDescent="0.3">
      <c r="A2739" s="1">
        <v>47199</v>
      </c>
      <c r="B2739" s="1" t="s">
        <v>233</v>
      </c>
      <c r="C2739" s="1" t="s">
        <v>209</v>
      </c>
      <c r="D2739" s="2">
        <f t="shared" si="151"/>
        <v>2015</v>
      </c>
      <c r="E2739" s="2">
        <f t="shared" si="152"/>
        <v>9</v>
      </c>
      <c r="F2739" s="2"/>
      <c r="G2739" s="4">
        <v>42264</v>
      </c>
      <c r="H2739" s="1">
        <v>6600935</v>
      </c>
      <c r="I2739" s="1">
        <v>1626764</v>
      </c>
      <c r="J2739" s="1" t="s">
        <v>191</v>
      </c>
      <c r="K2739" s="1" t="s">
        <v>210</v>
      </c>
      <c r="L2739" s="1" t="str">
        <f t="shared" si="153"/>
        <v>Vallentunasjön Va2</v>
      </c>
      <c r="M2739" s="1" t="s">
        <v>213</v>
      </c>
      <c r="N2739" s="1">
        <v>3</v>
      </c>
      <c r="O2739" s="1">
        <v>3</v>
      </c>
      <c r="Q2739" s="1">
        <v>15.7</v>
      </c>
      <c r="R2739" s="1">
        <v>9.6999999999999993</v>
      </c>
      <c r="S2739" s="1">
        <v>99</v>
      </c>
    </row>
    <row r="2740" spans="1:43" x14ac:dyDescent="0.3">
      <c r="A2740" s="1">
        <v>47200</v>
      </c>
      <c r="B2740" s="1" t="s">
        <v>233</v>
      </c>
      <c r="C2740" s="1" t="s">
        <v>209</v>
      </c>
      <c r="D2740" s="2">
        <f t="shared" si="151"/>
        <v>2015</v>
      </c>
      <c r="E2740" s="2">
        <f t="shared" si="152"/>
        <v>9</v>
      </c>
      <c r="F2740" s="2"/>
      <c r="G2740" s="4">
        <v>42264</v>
      </c>
      <c r="H2740" s="1">
        <v>6600935</v>
      </c>
      <c r="I2740" s="1">
        <v>1626764</v>
      </c>
      <c r="J2740" s="1" t="s">
        <v>191</v>
      </c>
      <c r="K2740" s="1" t="s">
        <v>210</v>
      </c>
      <c r="L2740" s="1" t="str">
        <f t="shared" si="153"/>
        <v>Vallentunasjön Va2</v>
      </c>
      <c r="M2740" s="1" t="s">
        <v>214</v>
      </c>
      <c r="N2740" s="1">
        <v>4</v>
      </c>
      <c r="O2740" s="1">
        <v>4</v>
      </c>
      <c r="Q2740" s="1">
        <v>15.7</v>
      </c>
      <c r="R2740" s="1">
        <v>9.6999999999999993</v>
      </c>
      <c r="S2740" s="1">
        <v>98</v>
      </c>
    </row>
    <row r="2741" spans="1:43" x14ac:dyDescent="0.3">
      <c r="A2741" s="1">
        <v>47201</v>
      </c>
      <c r="B2741" s="1" t="s">
        <v>233</v>
      </c>
      <c r="C2741" s="1" t="s">
        <v>209</v>
      </c>
      <c r="D2741" s="2">
        <f t="shared" si="151"/>
        <v>2015</v>
      </c>
      <c r="E2741" s="2">
        <f t="shared" si="152"/>
        <v>9</v>
      </c>
      <c r="F2741" s="2"/>
      <c r="G2741" s="4">
        <v>42264</v>
      </c>
      <c r="H2741" s="1">
        <v>6600935</v>
      </c>
      <c r="I2741" s="1">
        <v>1626764</v>
      </c>
      <c r="J2741" s="1" t="s">
        <v>191</v>
      </c>
      <c r="K2741" s="1" t="s">
        <v>210</v>
      </c>
      <c r="L2741" s="1" t="str">
        <f t="shared" si="153"/>
        <v>Vallentunasjön Va2</v>
      </c>
      <c r="M2741" s="1" t="s">
        <v>184</v>
      </c>
      <c r="N2741" s="1">
        <v>4.5</v>
      </c>
      <c r="O2741" s="1">
        <v>4.5</v>
      </c>
      <c r="Q2741" s="1">
        <v>15.4</v>
      </c>
      <c r="R2741" s="1">
        <v>9.5</v>
      </c>
      <c r="S2741" s="1">
        <v>96</v>
      </c>
    </row>
    <row r="2742" spans="1:43" x14ac:dyDescent="0.3">
      <c r="A2742" s="1">
        <v>47202</v>
      </c>
      <c r="B2742" s="1" t="s">
        <v>233</v>
      </c>
      <c r="C2742" s="1" t="s">
        <v>209</v>
      </c>
      <c r="D2742" s="2">
        <f t="shared" si="151"/>
        <v>2015</v>
      </c>
      <c r="E2742" s="2">
        <f t="shared" si="152"/>
        <v>9</v>
      </c>
      <c r="F2742" s="2"/>
      <c r="G2742" s="4">
        <v>42264</v>
      </c>
      <c r="J2742" s="1" t="s">
        <v>191</v>
      </c>
      <c r="K2742" s="1" t="s">
        <v>206</v>
      </c>
      <c r="L2742" s="1" t="str">
        <f t="shared" si="153"/>
        <v>Vallentunasjön Blandprov</v>
      </c>
      <c r="M2742" s="1" t="s">
        <v>177</v>
      </c>
      <c r="N2742" s="1">
        <v>4</v>
      </c>
      <c r="O2742" s="1">
        <v>0</v>
      </c>
      <c r="W2742" s="1">
        <v>6.6683000000000003</v>
      </c>
      <c r="Z2742" s="1">
        <v>1</v>
      </c>
      <c r="AB2742" s="1">
        <v>28.945636363999999</v>
      </c>
      <c r="AD2742" s="1">
        <v>0.59</v>
      </c>
      <c r="AG2742" s="1">
        <v>12.8</v>
      </c>
      <c r="AK2742" s="1">
        <v>50.26</v>
      </c>
      <c r="AL2742" s="1">
        <v>1131.2</v>
      </c>
    </row>
    <row r="2743" spans="1:43" x14ac:dyDescent="0.3">
      <c r="A2743" s="1">
        <v>47574</v>
      </c>
      <c r="B2743" s="1" t="s">
        <v>233</v>
      </c>
      <c r="C2743" s="1" t="s">
        <v>209</v>
      </c>
      <c r="D2743" s="2">
        <f t="shared" si="151"/>
        <v>2015</v>
      </c>
      <c r="E2743" s="2">
        <f t="shared" si="152"/>
        <v>9</v>
      </c>
      <c r="F2743" s="2"/>
      <c r="G2743" s="4">
        <v>42277</v>
      </c>
      <c r="H2743" s="1">
        <v>6600935</v>
      </c>
      <c r="I2743" s="1">
        <v>1626764</v>
      </c>
      <c r="J2743" s="1" t="s">
        <v>191</v>
      </c>
      <c r="K2743" s="1" t="s">
        <v>210</v>
      </c>
      <c r="L2743" s="1" t="str">
        <f t="shared" si="153"/>
        <v>Vallentunasjön Va2</v>
      </c>
      <c r="M2743" s="1" t="s">
        <v>177</v>
      </c>
      <c r="N2743" s="1">
        <v>0.5</v>
      </c>
      <c r="O2743" s="1">
        <v>0.5</v>
      </c>
      <c r="P2743" s="1">
        <v>0.9</v>
      </c>
      <c r="Q2743" s="1">
        <v>13.7</v>
      </c>
      <c r="R2743" s="1">
        <v>9.9</v>
      </c>
      <c r="S2743" s="1">
        <v>94</v>
      </c>
    </row>
    <row r="2744" spans="1:43" x14ac:dyDescent="0.3">
      <c r="A2744" s="1">
        <v>47575</v>
      </c>
      <c r="B2744" s="1" t="s">
        <v>233</v>
      </c>
      <c r="C2744" s="1" t="s">
        <v>209</v>
      </c>
      <c r="D2744" s="2">
        <f t="shared" si="151"/>
        <v>2015</v>
      </c>
      <c r="E2744" s="2">
        <f t="shared" si="152"/>
        <v>9</v>
      </c>
      <c r="F2744" s="2"/>
      <c r="G2744" s="4">
        <v>42277</v>
      </c>
      <c r="H2744" s="1">
        <v>6600935</v>
      </c>
      <c r="I2744" s="1">
        <v>1626764</v>
      </c>
      <c r="J2744" s="1" t="s">
        <v>191</v>
      </c>
      <c r="K2744" s="1" t="s">
        <v>210</v>
      </c>
      <c r="L2744" s="1" t="str">
        <f t="shared" si="153"/>
        <v>Vallentunasjön Va2</v>
      </c>
      <c r="M2744" s="1" t="s">
        <v>211</v>
      </c>
      <c r="N2744" s="1">
        <v>1</v>
      </c>
      <c r="O2744" s="1">
        <v>1</v>
      </c>
      <c r="Q2744" s="1">
        <v>13.4</v>
      </c>
      <c r="R2744" s="1">
        <v>10.1</v>
      </c>
      <c r="S2744" s="1">
        <v>96</v>
      </c>
    </row>
    <row r="2745" spans="1:43" x14ac:dyDescent="0.3">
      <c r="A2745" s="1">
        <v>47576</v>
      </c>
      <c r="B2745" s="1" t="s">
        <v>233</v>
      </c>
      <c r="C2745" s="1" t="s">
        <v>209</v>
      </c>
      <c r="D2745" s="2">
        <f t="shared" si="151"/>
        <v>2015</v>
      </c>
      <c r="E2745" s="2">
        <f t="shared" si="152"/>
        <v>9</v>
      </c>
      <c r="F2745" s="2"/>
      <c r="G2745" s="4">
        <v>42277</v>
      </c>
      <c r="H2745" s="1">
        <v>6600935</v>
      </c>
      <c r="I2745" s="1">
        <v>1626764</v>
      </c>
      <c r="J2745" s="1" t="s">
        <v>191</v>
      </c>
      <c r="K2745" s="1" t="s">
        <v>210</v>
      </c>
      <c r="L2745" s="1" t="str">
        <f t="shared" si="153"/>
        <v>Vallentunasjön Va2</v>
      </c>
      <c r="M2745" s="1" t="s">
        <v>212</v>
      </c>
      <c r="N2745" s="1">
        <v>2</v>
      </c>
      <c r="O2745" s="1">
        <v>2</v>
      </c>
      <c r="Q2745" s="1">
        <v>13.3</v>
      </c>
      <c r="R2745" s="1">
        <v>10.1</v>
      </c>
      <c r="S2745" s="1">
        <v>96</v>
      </c>
    </row>
    <row r="2746" spans="1:43" x14ac:dyDescent="0.3">
      <c r="A2746" s="1">
        <v>47577</v>
      </c>
      <c r="B2746" s="1" t="s">
        <v>233</v>
      </c>
      <c r="C2746" s="1" t="s">
        <v>209</v>
      </c>
      <c r="D2746" s="2">
        <f t="shared" si="151"/>
        <v>2015</v>
      </c>
      <c r="E2746" s="2">
        <f t="shared" si="152"/>
        <v>9</v>
      </c>
      <c r="F2746" s="2"/>
      <c r="G2746" s="4">
        <v>42277</v>
      </c>
      <c r="H2746" s="1">
        <v>6600935</v>
      </c>
      <c r="I2746" s="1">
        <v>1626764</v>
      </c>
      <c r="J2746" s="1" t="s">
        <v>191</v>
      </c>
      <c r="K2746" s="1" t="s">
        <v>210</v>
      </c>
      <c r="L2746" s="1" t="str">
        <f t="shared" si="153"/>
        <v>Vallentunasjön Va2</v>
      </c>
      <c r="M2746" s="1" t="s">
        <v>213</v>
      </c>
      <c r="N2746" s="1">
        <v>3</v>
      </c>
      <c r="O2746" s="1">
        <v>3</v>
      </c>
      <c r="Q2746" s="1">
        <v>13.2</v>
      </c>
      <c r="R2746" s="1">
        <v>10.199999999999999</v>
      </c>
      <c r="S2746" s="1">
        <v>96</v>
      </c>
    </row>
    <row r="2747" spans="1:43" x14ac:dyDescent="0.3">
      <c r="A2747" s="1">
        <v>47578</v>
      </c>
      <c r="B2747" s="1" t="s">
        <v>233</v>
      </c>
      <c r="C2747" s="1" t="s">
        <v>209</v>
      </c>
      <c r="D2747" s="2">
        <f t="shared" si="151"/>
        <v>2015</v>
      </c>
      <c r="E2747" s="2">
        <f t="shared" si="152"/>
        <v>9</v>
      </c>
      <c r="F2747" s="2"/>
      <c r="G2747" s="4">
        <v>42277</v>
      </c>
      <c r="H2747" s="1">
        <v>6600935</v>
      </c>
      <c r="I2747" s="1">
        <v>1626764</v>
      </c>
      <c r="J2747" s="1" t="s">
        <v>191</v>
      </c>
      <c r="K2747" s="1" t="s">
        <v>210</v>
      </c>
      <c r="L2747" s="1" t="str">
        <f t="shared" si="153"/>
        <v>Vallentunasjön Va2</v>
      </c>
      <c r="M2747" s="1" t="s">
        <v>214</v>
      </c>
      <c r="N2747" s="1">
        <v>4</v>
      </c>
      <c r="O2747" s="1">
        <v>4</v>
      </c>
      <c r="Q2747" s="1">
        <v>13.2</v>
      </c>
      <c r="R2747" s="1">
        <v>10.199999999999999</v>
      </c>
      <c r="S2747" s="1">
        <v>96</v>
      </c>
    </row>
    <row r="2748" spans="1:43" x14ac:dyDescent="0.3">
      <c r="A2748" s="1">
        <v>47579</v>
      </c>
      <c r="B2748" s="1" t="s">
        <v>233</v>
      </c>
      <c r="C2748" s="1" t="s">
        <v>209</v>
      </c>
      <c r="D2748" s="2">
        <f t="shared" si="151"/>
        <v>2015</v>
      </c>
      <c r="E2748" s="2">
        <f t="shared" si="152"/>
        <v>9</v>
      </c>
      <c r="F2748" s="2"/>
      <c r="G2748" s="4">
        <v>42277</v>
      </c>
      <c r="H2748" s="1">
        <v>6600935</v>
      </c>
      <c r="I2748" s="1">
        <v>1626764</v>
      </c>
      <c r="J2748" s="1" t="s">
        <v>191</v>
      </c>
      <c r="K2748" s="1" t="s">
        <v>210</v>
      </c>
      <c r="L2748" s="1" t="str">
        <f t="shared" si="153"/>
        <v>Vallentunasjön Va2</v>
      </c>
      <c r="M2748" s="1" t="s">
        <v>184</v>
      </c>
      <c r="N2748" s="1">
        <v>4.5</v>
      </c>
      <c r="O2748" s="1">
        <v>4.5</v>
      </c>
      <c r="Q2748" s="1">
        <v>13.2</v>
      </c>
      <c r="R2748" s="1">
        <v>10.199999999999999</v>
      </c>
      <c r="S2748" s="1">
        <v>96</v>
      </c>
    </row>
    <row r="2749" spans="1:43" x14ac:dyDescent="0.3">
      <c r="A2749" s="1">
        <v>47580</v>
      </c>
      <c r="B2749" s="1" t="s">
        <v>233</v>
      </c>
      <c r="C2749" s="1" t="s">
        <v>209</v>
      </c>
      <c r="D2749" s="2">
        <f t="shared" si="151"/>
        <v>2015</v>
      </c>
      <c r="E2749" s="2">
        <f t="shared" si="152"/>
        <v>9</v>
      </c>
      <c r="F2749" s="2"/>
      <c r="G2749" s="4">
        <v>42277</v>
      </c>
      <c r="J2749" s="1" t="s">
        <v>191</v>
      </c>
      <c r="K2749" s="1" t="s">
        <v>206</v>
      </c>
      <c r="L2749" s="1" t="str">
        <f t="shared" si="153"/>
        <v>Vallentunasjön Blandprov</v>
      </c>
      <c r="M2749" s="1" t="s">
        <v>177</v>
      </c>
      <c r="N2749" s="1">
        <v>4</v>
      </c>
      <c r="O2749" s="1">
        <v>0</v>
      </c>
      <c r="W2749" s="1">
        <v>8.2884999999999991</v>
      </c>
      <c r="Z2749" s="1">
        <v>0</v>
      </c>
      <c r="AB2749" s="1">
        <v>35.727600000000002</v>
      </c>
      <c r="AD2749" s="1">
        <v>0</v>
      </c>
      <c r="AG2749" s="1">
        <v>15</v>
      </c>
      <c r="AK2749" s="1">
        <v>46.08</v>
      </c>
      <c r="AL2749" s="1">
        <v>1126.93</v>
      </c>
    </row>
    <row r="2750" spans="1:43" x14ac:dyDescent="0.3">
      <c r="A2750" s="6">
        <v>47755</v>
      </c>
      <c r="B2750" s="5" t="s">
        <v>234</v>
      </c>
      <c r="C2750" s="5" t="s">
        <v>231</v>
      </c>
      <c r="D2750" s="2">
        <f t="shared" si="151"/>
        <v>2015</v>
      </c>
      <c r="E2750" s="2">
        <f t="shared" si="152"/>
        <v>10</v>
      </c>
      <c r="F2750" s="3" t="s">
        <v>180</v>
      </c>
      <c r="G2750" s="7">
        <v>42290</v>
      </c>
      <c r="H2750" s="6">
        <v>6599245</v>
      </c>
      <c r="I2750" s="6">
        <v>1622345</v>
      </c>
      <c r="J2750" s="5" t="s">
        <v>186</v>
      </c>
      <c r="K2750" s="1">
        <v>1</v>
      </c>
      <c r="L2750" s="1" t="str">
        <f t="shared" si="153"/>
        <v>Norrviken 1</v>
      </c>
      <c r="M2750" s="1" t="s">
        <v>177</v>
      </c>
      <c r="N2750" s="6">
        <v>0.5</v>
      </c>
      <c r="O2750" s="6">
        <v>0.5</v>
      </c>
      <c r="P2750" s="6">
        <v>1.7</v>
      </c>
      <c r="Q2750" s="6">
        <v>8.6999999999999993</v>
      </c>
      <c r="R2750" s="6">
        <v>11.5</v>
      </c>
      <c r="S2750" s="6">
        <v>97</v>
      </c>
      <c r="V2750" s="6">
        <v>2.6073070866000001</v>
      </c>
      <c r="W2750" s="6">
        <v>6.2438000000000002</v>
      </c>
      <c r="X2750" s="1">
        <f>W2750 * (1/((10^((0.0901821 + (2729.92 /(273.15 + Q2750)))-AE2750)+1)))</f>
        <v>9.8322782120540658E-2</v>
      </c>
      <c r="Y2750" s="6">
        <v>0.06</v>
      </c>
      <c r="Z2750" s="6">
        <v>32.72</v>
      </c>
      <c r="AA2750" s="6">
        <v>5.9</v>
      </c>
      <c r="AD2750" s="6">
        <v>39.340000000000003</v>
      </c>
      <c r="AE2750" s="6">
        <v>7.98</v>
      </c>
      <c r="AK2750" s="6">
        <v>154.21</v>
      </c>
      <c r="AL2750" s="6">
        <v>1575.34</v>
      </c>
      <c r="AM2750" s="6"/>
      <c r="AN2750" s="6"/>
      <c r="AO2750" s="6"/>
      <c r="AP2750" s="6"/>
      <c r="AQ2750" s="6"/>
    </row>
    <row r="2751" spans="1:43" x14ac:dyDescent="0.3">
      <c r="A2751" s="6">
        <v>47756</v>
      </c>
      <c r="B2751" s="5" t="s">
        <v>234</v>
      </c>
      <c r="C2751" s="5" t="s">
        <v>231</v>
      </c>
      <c r="D2751" s="2">
        <f t="shared" si="151"/>
        <v>2015</v>
      </c>
      <c r="E2751" s="2">
        <f t="shared" si="152"/>
        <v>10</v>
      </c>
      <c r="F2751" s="3" t="s">
        <v>180</v>
      </c>
      <c r="G2751" s="7">
        <v>42290</v>
      </c>
      <c r="H2751" s="6">
        <v>6599245</v>
      </c>
      <c r="I2751" s="6">
        <v>1622345</v>
      </c>
      <c r="J2751" s="5" t="s">
        <v>186</v>
      </c>
      <c r="K2751" s="1">
        <v>1</v>
      </c>
      <c r="L2751" s="1" t="str">
        <f t="shared" si="153"/>
        <v>Norrviken 1</v>
      </c>
      <c r="M2751" s="5" t="s">
        <v>211</v>
      </c>
      <c r="N2751" s="6">
        <v>1</v>
      </c>
      <c r="O2751" s="6">
        <v>1</v>
      </c>
      <c r="Q2751" s="6">
        <v>8.5</v>
      </c>
      <c r="R2751" s="6">
        <v>11.2</v>
      </c>
      <c r="S2751" s="6">
        <v>94</v>
      </c>
    </row>
    <row r="2752" spans="1:43" x14ac:dyDescent="0.3">
      <c r="A2752" s="6">
        <v>47757</v>
      </c>
      <c r="B2752" s="5" t="s">
        <v>234</v>
      </c>
      <c r="C2752" s="5" t="s">
        <v>231</v>
      </c>
      <c r="D2752" s="2">
        <f t="shared" si="151"/>
        <v>2015</v>
      </c>
      <c r="E2752" s="2">
        <f t="shared" si="152"/>
        <v>10</v>
      </c>
      <c r="F2752" s="3" t="s">
        <v>180</v>
      </c>
      <c r="G2752" s="7">
        <v>42290</v>
      </c>
      <c r="H2752" s="6">
        <v>6599245</v>
      </c>
      <c r="I2752" s="6">
        <v>1622345</v>
      </c>
      <c r="J2752" s="5" t="s">
        <v>186</v>
      </c>
      <c r="K2752" s="1">
        <v>1</v>
      </c>
      <c r="L2752" s="1" t="str">
        <f t="shared" si="153"/>
        <v>Norrviken 1</v>
      </c>
      <c r="M2752" s="5" t="s">
        <v>212</v>
      </c>
      <c r="N2752" s="6">
        <v>2</v>
      </c>
      <c r="O2752" s="6">
        <v>2</v>
      </c>
      <c r="Q2752" s="6">
        <v>7.9</v>
      </c>
      <c r="R2752" s="6">
        <v>9.4</v>
      </c>
      <c r="S2752" s="6">
        <v>78</v>
      </c>
    </row>
    <row r="2753" spans="1:43" x14ac:dyDescent="0.3">
      <c r="A2753" s="6">
        <v>47758</v>
      </c>
      <c r="B2753" s="5" t="s">
        <v>234</v>
      </c>
      <c r="C2753" s="5" t="s">
        <v>231</v>
      </c>
      <c r="D2753" s="2">
        <f t="shared" si="151"/>
        <v>2015</v>
      </c>
      <c r="E2753" s="2">
        <f t="shared" si="152"/>
        <v>10</v>
      </c>
      <c r="F2753" s="3" t="s">
        <v>180</v>
      </c>
      <c r="G2753" s="7">
        <v>42290</v>
      </c>
      <c r="H2753" s="6">
        <v>6599245</v>
      </c>
      <c r="I2753" s="6">
        <v>1622345</v>
      </c>
      <c r="J2753" s="5" t="s">
        <v>186</v>
      </c>
      <c r="K2753" s="1">
        <v>1</v>
      </c>
      <c r="L2753" s="1" t="str">
        <f t="shared" si="153"/>
        <v>Norrviken 1</v>
      </c>
      <c r="M2753" s="1" t="s">
        <v>184</v>
      </c>
      <c r="N2753" s="6">
        <v>2.6</v>
      </c>
      <c r="O2753" s="6">
        <v>2.6</v>
      </c>
      <c r="Q2753" s="6">
        <v>7.4</v>
      </c>
      <c r="R2753" s="6">
        <v>7</v>
      </c>
      <c r="S2753" s="6">
        <v>57</v>
      </c>
    </row>
    <row r="2754" spans="1:43" x14ac:dyDescent="0.3">
      <c r="A2754" s="6">
        <v>47759</v>
      </c>
      <c r="B2754" s="5" t="s">
        <v>234</v>
      </c>
      <c r="C2754" s="5" t="s">
        <v>231</v>
      </c>
      <c r="D2754" s="2">
        <f t="shared" ref="D2754:D2817" si="154">YEAR(G2754)</f>
        <v>2015</v>
      </c>
      <c r="E2754" s="2">
        <f t="shared" ref="E2754:E2817" si="155">MONTH(G2754)</f>
        <v>10</v>
      </c>
      <c r="F2754" s="3" t="s">
        <v>180</v>
      </c>
      <c r="G2754" s="7">
        <v>42290</v>
      </c>
      <c r="H2754" s="6">
        <v>6596620</v>
      </c>
      <c r="I2754" s="6">
        <v>1620350</v>
      </c>
      <c r="J2754" s="5" t="s">
        <v>186</v>
      </c>
      <c r="K2754" s="1">
        <v>2</v>
      </c>
      <c r="L2754" s="1" t="str">
        <f t="shared" ref="L2754:L2817" si="156">CONCATENATE(J2754," ",K2754)</f>
        <v>Norrviken 2</v>
      </c>
      <c r="M2754" s="1" t="s">
        <v>177</v>
      </c>
      <c r="N2754" s="6">
        <v>0.5</v>
      </c>
      <c r="O2754" s="6">
        <v>0.5</v>
      </c>
      <c r="P2754" s="6">
        <v>2.8</v>
      </c>
      <c r="Q2754" s="6">
        <v>11.6</v>
      </c>
      <c r="R2754" s="6">
        <v>7.1</v>
      </c>
      <c r="S2754" s="6">
        <v>64</v>
      </c>
      <c r="V2754" s="6">
        <v>2.5107401574999999</v>
      </c>
      <c r="W2754" s="6">
        <v>62.936700000000002</v>
      </c>
      <c r="X2754" s="1">
        <f>W2754 * (1/((10^((0.0901821 + (2729.92 /(273.15 + Q2754)))-AE2754)+1)))</f>
        <v>0.82399010147137464</v>
      </c>
      <c r="Y2754" s="6">
        <v>4.3999999999999997E-2</v>
      </c>
      <c r="Z2754" s="6">
        <v>93.89</v>
      </c>
      <c r="AA2754" s="6">
        <v>1.81</v>
      </c>
      <c r="AD2754" s="6">
        <v>223.85</v>
      </c>
      <c r="AE2754" s="6">
        <v>7.8</v>
      </c>
      <c r="AK2754" s="6">
        <v>109.17</v>
      </c>
      <c r="AL2754" s="6">
        <v>970.96</v>
      </c>
      <c r="AM2754" s="6"/>
      <c r="AN2754" s="6"/>
      <c r="AO2754" s="6"/>
      <c r="AP2754" s="6"/>
      <c r="AQ2754" s="6"/>
    </row>
    <row r="2755" spans="1:43" x14ac:dyDescent="0.3">
      <c r="A2755" s="6">
        <v>47760</v>
      </c>
      <c r="B2755" s="5" t="s">
        <v>234</v>
      </c>
      <c r="C2755" s="5" t="s">
        <v>231</v>
      </c>
      <c r="D2755" s="2">
        <f t="shared" si="154"/>
        <v>2015</v>
      </c>
      <c r="E2755" s="2">
        <f t="shared" si="155"/>
        <v>10</v>
      </c>
      <c r="F2755" s="3" t="s">
        <v>180</v>
      </c>
      <c r="G2755" s="7">
        <v>42290</v>
      </c>
      <c r="H2755" s="6">
        <v>6596620</v>
      </c>
      <c r="I2755" s="6">
        <v>1620350</v>
      </c>
      <c r="J2755" s="5" t="s">
        <v>186</v>
      </c>
      <c r="K2755" s="1">
        <v>2</v>
      </c>
      <c r="L2755" s="1" t="str">
        <f t="shared" si="156"/>
        <v>Norrviken 2</v>
      </c>
      <c r="M2755" s="5" t="s">
        <v>211</v>
      </c>
      <c r="N2755" s="6">
        <v>1</v>
      </c>
      <c r="O2755" s="6">
        <v>1</v>
      </c>
      <c r="Q2755" s="6">
        <v>11.6</v>
      </c>
      <c r="R2755" s="6">
        <v>7.1</v>
      </c>
      <c r="S2755" s="6">
        <v>64</v>
      </c>
    </row>
    <row r="2756" spans="1:43" x14ac:dyDescent="0.3">
      <c r="A2756" s="6">
        <v>47761</v>
      </c>
      <c r="B2756" s="5" t="s">
        <v>234</v>
      </c>
      <c r="C2756" s="5" t="s">
        <v>231</v>
      </c>
      <c r="D2756" s="2">
        <f t="shared" si="154"/>
        <v>2015</v>
      </c>
      <c r="E2756" s="2">
        <f t="shared" si="155"/>
        <v>10</v>
      </c>
      <c r="F2756" s="3" t="s">
        <v>180</v>
      </c>
      <c r="G2756" s="7">
        <v>42290</v>
      </c>
      <c r="H2756" s="6">
        <v>6596620</v>
      </c>
      <c r="I2756" s="6">
        <v>1620350</v>
      </c>
      <c r="J2756" s="5" t="s">
        <v>186</v>
      </c>
      <c r="K2756" s="1">
        <v>2</v>
      </c>
      <c r="L2756" s="1" t="str">
        <f t="shared" si="156"/>
        <v>Norrviken 2</v>
      </c>
      <c r="M2756" s="5" t="s">
        <v>212</v>
      </c>
      <c r="N2756" s="6">
        <v>2</v>
      </c>
      <c r="O2756" s="6">
        <v>2</v>
      </c>
      <c r="Q2756" s="6">
        <v>11.6</v>
      </c>
      <c r="R2756" s="6">
        <v>7</v>
      </c>
      <c r="S2756" s="6">
        <v>63</v>
      </c>
    </row>
    <row r="2757" spans="1:43" x14ac:dyDescent="0.3">
      <c r="A2757" s="6">
        <v>47762</v>
      </c>
      <c r="B2757" s="5" t="s">
        <v>234</v>
      </c>
      <c r="C2757" s="5" t="s">
        <v>231</v>
      </c>
      <c r="D2757" s="2">
        <f t="shared" si="154"/>
        <v>2015</v>
      </c>
      <c r="E2757" s="2">
        <f t="shared" si="155"/>
        <v>10</v>
      </c>
      <c r="F2757" s="3" t="s">
        <v>180</v>
      </c>
      <c r="G2757" s="7">
        <v>42290</v>
      </c>
      <c r="H2757" s="6">
        <v>6596620</v>
      </c>
      <c r="I2757" s="6">
        <v>1620350</v>
      </c>
      <c r="J2757" s="5" t="s">
        <v>186</v>
      </c>
      <c r="K2757" s="1">
        <v>2</v>
      </c>
      <c r="L2757" s="1" t="str">
        <f t="shared" si="156"/>
        <v>Norrviken 2</v>
      </c>
      <c r="M2757" s="5" t="s">
        <v>213</v>
      </c>
      <c r="N2757" s="6">
        <v>3</v>
      </c>
      <c r="O2757" s="6">
        <v>3</v>
      </c>
      <c r="Q2757" s="6">
        <v>11.6</v>
      </c>
      <c r="R2757" s="6">
        <v>6.9</v>
      </c>
      <c r="S2757" s="6">
        <v>62</v>
      </c>
    </row>
    <row r="2758" spans="1:43" x14ac:dyDescent="0.3">
      <c r="A2758" s="6">
        <v>47763</v>
      </c>
      <c r="B2758" s="5" t="s">
        <v>234</v>
      </c>
      <c r="C2758" s="5" t="s">
        <v>231</v>
      </c>
      <c r="D2758" s="2">
        <f t="shared" si="154"/>
        <v>2015</v>
      </c>
      <c r="E2758" s="2">
        <f t="shared" si="155"/>
        <v>10</v>
      </c>
      <c r="F2758" s="3" t="s">
        <v>180</v>
      </c>
      <c r="G2758" s="7">
        <v>42290</v>
      </c>
      <c r="H2758" s="6">
        <v>6596620</v>
      </c>
      <c r="I2758" s="6">
        <v>1620350</v>
      </c>
      <c r="J2758" s="5" t="s">
        <v>186</v>
      </c>
      <c r="K2758" s="1">
        <v>2</v>
      </c>
      <c r="L2758" s="1" t="str">
        <f t="shared" si="156"/>
        <v>Norrviken 2</v>
      </c>
      <c r="M2758" s="5" t="s">
        <v>214</v>
      </c>
      <c r="N2758" s="6">
        <v>4</v>
      </c>
      <c r="O2758" s="6">
        <v>4</v>
      </c>
      <c r="Q2758" s="6">
        <v>11.3</v>
      </c>
      <c r="R2758" s="6">
        <v>7.4</v>
      </c>
      <c r="S2758" s="6">
        <v>66</v>
      </c>
    </row>
    <row r="2759" spans="1:43" x14ac:dyDescent="0.3">
      <c r="A2759" s="6">
        <v>47764</v>
      </c>
      <c r="B2759" s="5" t="s">
        <v>234</v>
      </c>
      <c r="C2759" s="5" t="s">
        <v>231</v>
      </c>
      <c r="D2759" s="2">
        <f t="shared" si="154"/>
        <v>2015</v>
      </c>
      <c r="E2759" s="2">
        <f t="shared" si="155"/>
        <v>10</v>
      </c>
      <c r="F2759" s="3" t="s">
        <v>180</v>
      </c>
      <c r="G2759" s="7">
        <v>42290</v>
      </c>
      <c r="H2759" s="6">
        <v>6596620</v>
      </c>
      <c r="I2759" s="6">
        <v>1620350</v>
      </c>
      <c r="J2759" s="5" t="s">
        <v>186</v>
      </c>
      <c r="K2759" s="1">
        <v>2</v>
      </c>
      <c r="L2759" s="1" t="str">
        <f t="shared" si="156"/>
        <v>Norrviken 2</v>
      </c>
      <c r="M2759" s="5" t="s">
        <v>217</v>
      </c>
      <c r="N2759" s="6">
        <v>5</v>
      </c>
      <c r="O2759" s="6">
        <v>5</v>
      </c>
      <c r="Q2759" s="6">
        <v>11.2</v>
      </c>
      <c r="R2759" s="6">
        <v>7.6</v>
      </c>
      <c r="S2759" s="6">
        <v>68</v>
      </c>
    </row>
    <row r="2760" spans="1:43" x14ac:dyDescent="0.3">
      <c r="A2760" s="6">
        <v>47765</v>
      </c>
      <c r="B2760" s="5" t="s">
        <v>234</v>
      </c>
      <c r="C2760" s="5" t="s">
        <v>231</v>
      </c>
      <c r="D2760" s="2">
        <f t="shared" si="154"/>
        <v>2015</v>
      </c>
      <c r="E2760" s="2">
        <f t="shared" si="155"/>
        <v>10</v>
      </c>
      <c r="F2760" s="3" t="s">
        <v>180</v>
      </c>
      <c r="G2760" s="7">
        <v>42290</v>
      </c>
      <c r="H2760" s="6">
        <v>6596620</v>
      </c>
      <c r="I2760" s="6">
        <v>1620350</v>
      </c>
      <c r="J2760" s="5" t="s">
        <v>186</v>
      </c>
      <c r="K2760" s="1">
        <v>2</v>
      </c>
      <c r="L2760" s="1" t="str">
        <f t="shared" si="156"/>
        <v>Norrviken 2</v>
      </c>
      <c r="M2760" s="5" t="s">
        <v>218</v>
      </c>
      <c r="N2760" s="6">
        <v>6</v>
      </c>
      <c r="O2760" s="6">
        <v>6</v>
      </c>
      <c r="Q2760" s="6">
        <v>11.2</v>
      </c>
      <c r="R2760" s="6">
        <v>7.6</v>
      </c>
      <c r="S2760" s="6">
        <v>68</v>
      </c>
    </row>
    <row r="2761" spans="1:43" x14ac:dyDescent="0.3">
      <c r="A2761" s="6">
        <v>47766</v>
      </c>
      <c r="B2761" s="5" t="s">
        <v>234</v>
      </c>
      <c r="C2761" s="5" t="s">
        <v>231</v>
      </c>
      <c r="D2761" s="2">
        <f t="shared" si="154"/>
        <v>2015</v>
      </c>
      <c r="E2761" s="2">
        <f t="shared" si="155"/>
        <v>10</v>
      </c>
      <c r="F2761" s="3" t="s">
        <v>180</v>
      </c>
      <c r="G2761" s="7">
        <v>42290</v>
      </c>
      <c r="H2761" s="6">
        <v>6596620</v>
      </c>
      <c r="I2761" s="6">
        <v>1620350</v>
      </c>
      <c r="J2761" s="5" t="s">
        <v>186</v>
      </c>
      <c r="K2761" s="1">
        <v>2</v>
      </c>
      <c r="L2761" s="1" t="str">
        <f t="shared" si="156"/>
        <v>Norrviken 2</v>
      </c>
      <c r="M2761" s="5" t="s">
        <v>219</v>
      </c>
      <c r="N2761" s="6">
        <v>7</v>
      </c>
      <c r="O2761" s="6">
        <v>7</v>
      </c>
      <c r="Q2761" s="6">
        <v>11</v>
      </c>
      <c r="R2761" s="6">
        <v>7.2</v>
      </c>
      <c r="S2761" s="6">
        <v>64</v>
      </c>
    </row>
    <row r="2762" spans="1:43" x14ac:dyDescent="0.3">
      <c r="A2762" s="6">
        <v>47767</v>
      </c>
      <c r="B2762" s="5" t="s">
        <v>234</v>
      </c>
      <c r="C2762" s="5" t="s">
        <v>231</v>
      </c>
      <c r="D2762" s="2">
        <f t="shared" si="154"/>
        <v>2015</v>
      </c>
      <c r="E2762" s="2">
        <f t="shared" si="155"/>
        <v>10</v>
      </c>
      <c r="F2762" s="3" t="s">
        <v>180</v>
      </c>
      <c r="G2762" s="7">
        <v>42290</v>
      </c>
      <c r="H2762" s="6">
        <v>6596620</v>
      </c>
      <c r="I2762" s="6">
        <v>1620350</v>
      </c>
      <c r="J2762" s="5" t="s">
        <v>186</v>
      </c>
      <c r="K2762" s="1">
        <v>2</v>
      </c>
      <c r="L2762" s="1" t="str">
        <f t="shared" si="156"/>
        <v>Norrviken 2</v>
      </c>
      <c r="M2762" s="5" t="s">
        <v>220</v>
      </c>
      <c r="N2762" s="6">
        <v>8</v>
      </c>
      <c r="O2762" s="6">
        <v>8</v>
      </c>
      <c r="Q2762" s="6">
        <v>10.1</v>
      </c>
      <c r="R2762" s="6">
        <v>6.5</v>
      </c>
      <c r="S2762" s="6">
        <v>57</v>
      </c>
    </row>
    <row r="2763" spans="1:43" x14ac:dyDescent="0.3">
      <c r="A2763" s="6">
        <v>47768</v>
      </c>
      <c r="B2763" s="5" t="s">
        <v>234</v>
      </c>
      <c r="C2763" s="5" t="s">
        <v>231</v>
      </c>
      <c r="D2763" s="2">
        <f t="shared" si="154"/>
        <v>2015</v>
      </c>
      <c r="E2763" s="2">
        <f t="shared" si="155"/>
        <v>10</v>
      </c>
      <c r="F2763" s="3" t="s">
        <v>180</v>
      </c>
      <c r="G2763" s="7">
        <v>42290</v>
      </c>
      <c r="H2763" s="6">
        <v>6596620</v>
      </c>
      <c r="I2763" s="6">
        <v>1620350</v>
      </c>
      <c r="J2763" s="5" t="s">
        <v>186</v>
      </c>
      <c r="K2763" s="1">
        <v>2</v>
      </c>
      <c r="L2763" s="1" t="str">
        <f t="shared" si="156"/>
        <v>Norrviken 2</v>
      </c>
      <c r="M2763" s="1" t="s">
        <v>184</v>
      </c>
      <c r="N2763" s="6">
        <v>8.9</v>
      </c>
      <c r="O2763" s="6">
        <v>8.9</v>
      </c>
      <c r="Q2763" s="6">
        <v>9.9</v>
      </c>
      <c r="R2763" s="6">
        <v>6.5</v>
      </c>
      <c r="S2763" s="6">
        <v>57</v>
      </c>
    </row>
    <row r="2764" spans="1:43" x14ac:dyDescent="0.3">
      <c r="A2764" s="6">
        <v>47769</v>
      </c>
      <c r="B2764" s="5" t="s">
        <v>234</v>
      </c>
      <c r="C2764" s="5" t="s">
        <v>231</v>
      </c>
      <c r="D2764" s="2">
        <f t="shared" si="154"/>
        <v>2015</v>
      </c>
      <c r="E2764" s="2">
        <f t="shared" si="155"/>
        <v>10</v>
      </c>
      <c r="F2764" s="3" t="s">
        <v>180</v>
      </c>
      <c r="G2764" s="7">
        <v>42290</v>
      </c>
      <c r="H2764" s="6">
        <v>6594885</v>
      </c>
      <c r="I2764" s="6">
        <v>1620750</v>
      </c>
      <c r="J2764" s="5" t="s">
        <v>186</v>
      </c>
      <c r="K2764" s="1">
        <v>3</v>
      </c>
      <c r="L2764" s="1" t="str">
        <f t="shared" si="156"/>
        <v>Norrviken 3</v>
      </c>
      <c r="M2764" s="1" t="s">
        <v>177</v>
      </c>
      <c r="N2764" s="6">
        <v>0.5</v>
      </c>
      <c r="O2764" s="6">
        <v>0.5</v>
      </c>
      <c r="P2764" s="6">
        <v>2.8</v>
      </c>
      <c r="Q2764" s="6">
        <v>11.5</v>
      </c>
      <c r="R2764" s="6">
        <v>6.9</v>
      </c>
      <c r="S2764" s="6">
        <v>62</v>
      </c>
      <c r="V2764" s="6">
        <v>2.4914267717</v>
      </c>
      <c r="W2764" s="6">
        <v>76.227500000000006</v>
      </c>
      <c r="X2764" s="1">
        <f>W2764 * (1/((10^((0.0901821 + (2729.92 /(273.15 + Q2764)))-AE2764)+1)))</f>
        <v>0.94636711480693692</v>
      </c>
      <c r="Y2764" s="6">
        <v>0.05</v>
      </c>
      <c r="Z2764" s="6">
        <v>93.66</v>
      </c>
      <c r="AA2764" s="6">
        <v>2.1</v>
      </c>
      <c r="AD2764" s="6">
        <v>216.38</v>
      </c>
      <c r="AE2764" s="6">
        <v>7.78</v>
      </c>
      <c r="AK2764" s="6">
        <v>105.75</v>
      </c>
      <c r="AL2764" s="6">
        <v>974.81</v>
      </c>
      <c r="AM2764" s="6"/>
      <c r="AN2764" s="6"/>
      <c r="AO2764" s="6"/>
      <c r="AP2764" s="6"/>
      <c r="AQ2764" s="6"/>
    </row>
    <row r="2765" spans="1:43" x14ac:dyDescent="0.3">
      <c r="A2765" s="6">
        <v>47770</v>
      </c>
      <c r="B2765" s="5" t="s">
        <v>234</v>
      </c>
      <c r="C2765" s="5" t="s">
        <v>231</v>
      </c>
      <c r="D2765" s="2">
        <f t="shared" si="154"/>
        <v>2015</v>
      </c>
      <c r="E2765" s="2">
        <f t="shared" si="155"/>
        <v>10</v>
      </c>
      <c r="F2765" s="3" t="s">
        <v>180</v>
      </c>
      <c r="G2765" s="7">
        <v>42290</v>
      </c>
      <c r="H2765" s="6">
        <v>6594885</v>
      </c>
      <c r="I2765" s="6">
        <v>1620750</v>
      </c>
      <c r="J2765" s="5" t="s">
        <v>186</v>
      </c>
      <c r="K2765" s="1">
        <v>3</v>
      </c>
      <c r="L2765" s="1" t="str">
        <f t="shared" si="156"/>
        <v>Norrviken 3</v>
      </c>
      <c r="M2765" s="5" t="s">
        <v>211</v>
      </c>
      <c r="N2765" s="6">
        <v>1</v>
      </c>
      <c r="O2765" s="6">
        <v>1</v>
      </c>
      <c r="Q2765" s="6">
        <v>11.5</v>
      </c>
      <c r="R2765" s="6">
        <v>6.9</v>
      </c>
      <c r="S2765" s="6">
        <v>62</v>
      </c>
    </row>
    <row r="2766" spans="1:43" x14ac:dyDescent="0.3">
      <c r="A2766" s="6">
        <v>47771</v>
      </c>
      <c r="B2766" s="5" t="s">
        <v>234</v>
      </c>
      <c r="C2766" s="5" t="s">
        <v>231</v>
      </c>
      <c r="D2766" s="2">
        <f t="shared" si="154"/>
        <v>2015</v>
      </c>
      <c r="E2766" s="2">
        <f t="shared" si="155"/>
        <v>10</v>
      </c>
      <c r="F2766" s="3" t="s">
        <v>180</v>
      </c>
      <c r="G2766" s="7">
        <v>42290</v>
      </c>
      <c r="H2766" s="6">
        <v>6594885</v>
      </c>
      <c r="I2766" s="6">
        <v>1620750</v>
      </c>
      <c r="J2766" s="5" t="s">
        <v>186</v>
      </c>
      <c r="K2766" s="1">
        <v>3</v>
      </c>
      <c r="L2766" s="1" t="str">
        <f t="shared" si="156"/>
        <v>Norrviken 3</v>
      </c>
      <c r="M2766" s="5" t="s">
        <v>212</v>
      </c>
      <c r="N2766" s="6">
        <v>2</v>
      </c>
      <c r="O2766" s="6">
        <v>2</v>
      </c>
      <c r="Q2766" s="6">
        <v>11.5</v>
      </c>
      <c r="R2766" s="6">
        <v>6.9</v>
      </c>
      <c r="S2766" s="6">
        <v>62</v>
      </c>
    </row>
    <row r="2767" spans="1:43" x14ac:dyDescent="0.3">
      <c r="A2767" s="6">
        <v>47772</v>
      </c>
      <c r="B2767" s="5" t="s">
        <v>234</v>
      </c>
      <c r="C2767" s="5" t="s">
        <v>231</v>
      </c>
      <c r="D2767" s="2">
        <f t="shared" si="154"/>
        <v>2015</v>
      </c>
      <c r="E2767" s="2">
        <f t="shared" si="155"/>
        <v>10</v>
      </c>
      <c r="F2767" s="3" t="s">
        <v>180</v>
      </c>
      <c r="G2767" s="7">
        <v>42290</v>
      </c>
      <c r="H2767" s="6">
        <v>6594885</v>
      </c>
      <c r="I2767" s="6">
        <v>1620750</v>
      </c>
      <c r="J2767" s="5" t="s">
        <v>186</v>
      </c>
      <c r="K2767" s="1">
        <v>3</v>
      </c>
      <c r="L2767" s="1" t="str">
        <f t="shared" si="156"/>
        <v>Norrviken 3</v>
      </c>
      <c r="M2767" s="5" t="s">
        <v>213</v>
      </c>
      <c r="N2767" s="6">
        <v>3</v>
      </c>
      <c r="O2767" s="6">
        <v>3</v>
      </c>
      <c r="Q2767" s="6">
        <v>11.5</v>
      </c>
      <c r="R2767" s="6">
        <v>6.9</v>
      </c>
      <c r="S2767" s="6">
        <v>62</v>
      </c>
    </row>
    <row r="2768" spans="1:43" x14ac:dyDescent="0.3">
      <c r="A2768" s="6">
        <v>47773</v>
      </c>
      <c r="B2768" s="5" t="s">
        <v>234</v>
      </c>
      <c r="C2768" s="5" t="s">
        <v>231</v>
      </c>
      <c r="D2768" s="2">
        <f t="shared" si="154"/>
        <v>2015</v>
      </c>
      <c r="E2768" s="2">
        <f t="shared" si="155"/>
        <v>10</v>
      </c>
      <c r="F2768" s="3" t="s">
        <v>180</v>
      </c>
      <c r="G2768" s="7">
        <v>42290</v>
      </c>
      <c r="H2768" s="6">
        <v>6594885</v>
      </c>
      <c r="I2768" s="6">
        <v>1620750</v>
      </c>
      <c r="J2768" s="5" t="s">
        <v>186</v>
      </c>
      <c r="K2768" s="1">
        <v>3</v>
      </c>
      <c r="L2768" s="1" t="str">
        <f t="shared" si="156"/>
        <v>Norrviken 3</v>
      </c>
      <c r="M2768" s="5" t="s">
        <v>214</v>
      </c>
      <c r="N2768" s="6">
        <v>4</v>
      </c>
      <c r="O2768" s="6">
        <v>4</v>
      </c>
      <c r="Q2768" s="6">
        <v>11.5</v>
      </c>
      <c r="R2768" s="6">
        <v>6.9</v>
      </c>
      <c r="S2768" s="6">
        <v>62</v>
      </c>
    </row>
    <row r="2769" spans="1:43" x14ac:dyDescent="0.3">
      <c r="A2769" s="6">
        <v>47774</v>
      </c>
      <c r="B2769" s="5" t="s">
        <v>234</v>
      </c>
      <c r="C2769" s="5" t="s">
        <v>231</v>
      </c>
      <c r="D2769" s="2">
        <f t="shared" si="154"/>
        <v>2015</v>
      </c>
      <c r="E2769" s="2">
        <f t="shared" si="155"/>
        <v>10</v>
      </c>
      <c r="F2769" s="3" t="s">
        <v>180</v>
      </c>
      <c r="G2769" s="7">
        <v>42290</v>
      </c>
      <c r="H2769" s="6">
        <v>6594885</v>
      </c>
      <c r="I2769" s="6">
        <v>1620750</v>
      </c>
      <c r="J2769" s="5" t="s">
        <v>186</v>
      </c>
      <c r="K2769" s="1">
        <v>3</v>
      </c>
      <c r="L2769" s="1" t="str">
        <f t="shared" si="156"/>
        <v>Norrviken 3</v>
      </c>
      <c r="M2769" s="5" t="s">
        <v>217</v>
      </c>
      <c r="N2769" s="6">
        <v>5</v>
      </c>
      <c r="O2769" s="6">
        <v>5</v>
      </c>
      <c r="Q2769" s="6">
        <v>11.4</v>
      </c>
      <c r="R2769" s="6">
        <v>6.8</v>
      </c>
      <c r="S2769" s="6">
        <v>62</v>
      </c>
    </row>
    <row r="2770" spans="1:43" x14ac:dyDescent="0.3">
      <c r="A2770" s="6">
        <v>47775</v>
      </c>
      <c r="B2770" s="5" t="s">
        <v>234</v>
      </c>
      <c r="C2770" s="5" t="s">
        <v>231</v>
      </c>
      <c r="D2770" s="2">
        <f t="shared" si="154"/>
        <v>2015</v>
      </c>
      <c r="E2770" s="2">
        <f t="shared" si="155"/>
        <v>10</v>
      </c>
      <c r="F2770" s="3" t="s">
        <v>180</v>
      </c>
      <c r="G2770" s="7">
        <v>42290</v>
      </c>
      <c r="H2770" s="6">
        <v>6594885</v>
      </c>
      <c r="I2770" s="6">
        <v>1620750</v>
      </c>
      <c r="J2770" s="5" t="s">
        <v>186</v>
      </c>
      <c r="K2770" s="1">
        <v>3</v>
      </c>
      <c r="L2770" s="1" t="str">
        <f t="shared" si="156"/>
        <v>Norrviken 3</v>
      </c>
      <c r="M2770" s="5" t="s">
        <v>218</v>
      </c>
      <c r="N2770" s="6">
        <v>6</v>
      </c>
      <c r="O2770" s="6">
        <v>6</v>
      </c>
      <c r="Q2770" s="6">
        <v>11.4</v>
      </c>
      <c r="R2770" s="6">
        <v>6.8</v>
      </c>
      <c r="S2770" s="6">
        <v>62</v>
      </c>
    </row>
    <row r="2771" spans="1:43" x14ac:dyDescent="0.3">
      <c r="A2771" s="6">
        <v>47776</v>
      </c>
      <c r="B2771" s="5" t="s">
        <v>234</v>
      </c>
      <c r="C2771" s="5" t="s">
        <v>231</v>
      </c>
      <c r="D2771" s="2">
        <f t="shared" si="154"/>
        <v>2015</v>
      </c>
      <c r="E2771" s="2">
        <f t="shared" si="155"/>
        <v>10</v>
      </c>
      <c r="F2771" s="3" t="s">
        <v>180</v>
      </c>
      <c r="G2771" s="7">
        <v>42290</v>
      </c>
      <c r="H2771" s="6">
        <v>6594885</v>
      </c>
      <c r="I2771" s="6">
        <v>1620750</v>
      </c>
      <c r="J2771" s="5" t="s">
        <v>186</v>
      </c>
      <c r="K2771" s="1">
        <v>3</v>
      </c>
      <c r="L2771" s="1" t="str">
        <f t="shared" si="156"/>
        <v>Norrviken 3</v>
      </c>
      <c r="M2771" s="5" t="s">
        <v>219</v>
      </c>
      <c r="N2771" s="6">
        <v>7</v>
      </c>
      <c r="O2771" s="6">
        <v>7</v>
      </c>
      <c r="Q2771" s="6">
        <v>11.4</v>
      </c>
      <c r="R2771" s="6">
        <v>6.8</v>
      </c>
      <c r="S2771" s="6">
        <v>61</v>
      </c>
    </row>
    <row r="2772" spans="1:43" x14ac:dyDescent="0.3">
      <c r="A2772" s="6">
        <v>47777</v>
      </c>
      <c r="B2772" s="5" t="s">
        <v>234</v>
      </c>
      <c r="C2772" s="5" t="s">
        <v>231</v>
      </c>
      <c r="D2772" s="2">
        <f t="shared" si="154"/>
        <v>2015</v>
      </c>
      <c r="E2772" s="2">
        <f t="shared" si="155"/>
        <v>10</v>
      </c>
      <c r="F2772" s="3" t="s">
        <v>180</v>
      </c>
      <c r="G2772" s="7">
        <v>42290</v>
      </c>
      <c r="H2772" s="6">
        <v>6594885</v>
      </c>
      <c r="I2772" s="6">
        <v>1620750</v>
      </c>
      <c r="J2772" s="5" t="s">
        <v>186</v>
      </c>
      <c r="K2772" s="1">
        <v>3</v>
      </c>
      <c r="L2772" s="1" t="str">
        <f t="shared" si="156"/>
        <v>Norrviken 3</v>
      </c>
      <c r="M2772" s="5" t="s">
        <v>220</v>
      </c>
      <c r="N2772" s="6">
        <v>8</v>
      </c>
      <c r="O2772" s="6">
        <v>8</v>
      </c>
      <c r="Q2772" s="6">
        <v>11.2</v>
      </c>
      <c r="R2772" s="6">
        <v>7.1</v>
      </c>
      <c r="S2772" s="6">
        <v>63</v>
      </c>
    </row>
    <row r="2773" spans="1:43" x14ac:dyDescent="0.3">
      <c r="A2773" s="6">
        <v>47778</v>
      </c>
      <c r="B2773" s="5" t="s">
        <v>234</v>
      </c>
      <c r="C2773" s="5" t="s">
        <v>231</v>
      </c>
      <c r="D2773" s="2">
        <f t="shared" si="154"/>
        <v>2015</v>
      </c>
      <c r="E2773" s="2">
        <f t="shared" si="155"/>
        <v>10</v>
      </c>
      <c r="F2773" s="3" t="s">
        <v>180</v>
      </c>
      <c r="G2773" s="7">
        <v>42290</v>
      </c>
      <c r="H2773" s="6">
        <v>6594885</v>
      </c>
      <c r="I2773" s="6">
        <v>1620750</v>
      </c>
      <c r="J2773" s="5" t="s">
        <v>186</v>
      </c>
      <c r="K2773" s="1">
        <v>3</v>
      </c>
      <c r="L2773" s="1" t="str">
        <f t="shared" si="156"/>
        <v>Norrviken 3</v>
      </c>
      <c r="M2773" s="5" t="s">
        <v>221</v>
      </c>
      <c r="N2773" s="6">
        <v>9</v>
      </c>
      <c r="O2773" s="6">
        <v>9</v>
      </c>
      <c r="Q2773" s="6">
        <v>10.9</v>
      </c>
      <c r="R2773" s="6">
        <v>7</v>
      </c>
      <c r="S2773" s="6">
        <v>62</v>
      </c>
    </row>
    <row r="2774" spans="1:43" x14ac:dyDescent="0.3">
      <c r="A2774" s="6">
        <v>47779</v>
      </c>
      <c r="B2774" s="5" t="s">
        <v>234</v>
      </c>
      <c r="C2774" s="5" t="s">
        <v>231</v>
      </c>
      <c r="D2774" s="2">
        <f t="shared" si="154"/>
        <v>2015</v>
      </c>
      <c r="E2774" s="2">
        <f t="shared" si="155"/>
        <v>10</v>
      </c>
      <c r="F2774" s="3" t="s">
        <v>180</v>
      </c>
      <c r="G2774" s="7">
        <v>42290</v>
      </c>
      <c r="H2774" s="6">
        <v>6594885</v>
      </c>
      <c r="I2774" s="6">
        <v>1620750</v>
      </c>
      <c r="J2774" s="5" t="s">
        <v>186</v>
      </c>
      <c r="K2774" s="1">
        <v>3</v>
      </c>
      <c r="L2774" s="1" t="str">
        <f t="shared" si="156"/>
        <v>Norrviken 3</v>
      </c>
      <c r="M2774" s="5" t="s">
        <v>222</v>
      </c>
      <c r="N2774" s="6">
        <v>10</v>
      </c>
      <c r="O2774" s="6">
        <v>10</v>
      </c>
      <c r="Q2774" s="6">
        <v>10.8</v>
      </c>
      <c r="R2774" s="6">
        <v>7</v>
      </c>
      <c r="S2774" s="6">
        <v>62</v>
      </c>
    </row>
    <row r="2775" spans="1:43" x14ac:dyDescent="0.3">
      <c r="A2775" s="6">
        <v>47780</v>
      </c>
      <c r="B2775" s="5" t="s">
        <v>234</v>
      </c>
      <c r="C2775" s="5" t="s">
        <v>231</v>
      </c>
      <c r="D2775" s="2">
        <f t="shared" si="154"/>
        <v>2015</v>
      </c>
      <c r="E2775" s="2">
        <f t="shared" si="155"/>
        <v>10</v>
      </c>
      <c r="F2775" s="3" t="s">
        <v>180</v>
      </c>
      <c r="G2775" s="7">
        <v>42290</v>
      </c>
      <c r="H2775" s="6">
        <v>6594885</v>
      </c>
      <c r="I2775" s="6">
        <v>1620750</v>
      </c>
      <c r="J2775" s="5" t="s">
        <v>186</v>
      </c>
      <c r="K2775" s="1">
        <v>3</v>
      </c>
      <c r="L2775" s="1" t="str">
        <f t="shared" si="156"/>
        <v>Norrviken 3</v>
      </c>
      <c r="M2775" s="5" t="s">
        <v>223</v>
      </c>
      <c r="N2775" s="6">
        <v>11</v>
      </c>
      <c r="O2775" s="6">
        <v>11</v>
      </c>
      <c r="Q2775" s="6">
        <v>10.8</v>
      </c>
      <c r="R2775" s="6">
        <v>6.9</v>
      </c>
      <c r="S2775" s="6">
        <v>61</v>
      </c>
    </row>
    <row r="2776" spans="1:43" x14ac:dyDescent="0.3">
      <c r="A2776" s="6">
        <v>47781</v>
      </c>
      <c r="B2776" s="5" t="s">
        <v>234</v>
      </c>
      <c r="C2776" s="5" t="s">
        <v>231</v>
      </c>
      <c r="D2776" s="2">
        <f t="shared" si="154"/>
        <v>2015</v>
      </c>
      <c r="E2776" s="2">
        <f t="shared" si="155"/>
        <v>10</v>
      </c>
      <c r="F2776" s="3" t="s">
        <v>180</v>
      </c>
      <c r="G2776" s="7">
        <v>42290</v>
      </c>
      <c r="H2776" s="6">
        <v>6594885</v>
      </c>
      <c r="I2776" s="6">
        <v>1620750</v>
      </c>
      <c r="J2776" s="5" t="s">
        <v>186</v>
      </c>
      <c r="K2776" s="1">
        <v>3</v>
      </c>
      <c r="L2776" s="1" t="str">
        <f t="shared" si="156"/>
        <v>Norrviken 3</v>
      </c>
      <c r="M2776" s="1" t="s">
        <v>184</v>
      </c>
      <c r="N2776" s="6">
        <v>11.4</v>
      </c>
      <c r="O2776" s="6">
        <v>11.4</v>
      </c>
      <c r="Q2776" s="6">
        <v>10.8</v>
      </c>
      <c r="R2776" s="6">
        <v>6.9</v>
      </c>
      <c r="S2776" s="6">
        <v>61</v>
      </c>
    </row>
    <row r="2777" spans="1:43" x14ac:dyDescent="0.3">
      <c r="A2777" s="6">
        <v>47782</v>
      </c>
      <c r="B2777" s="5" t="s">
        <v>234</v>
      </c>
      <c r="C2777" s="5" t="s">
        <v>231</v>
      </c>
      <c r="D2777" s="2">
        <f t="shared" si="154"/>
        <v>2015</v>
      </c>
      <c r="E2777" s="2">
        <f t="shared" si="155"/>
        <v>10</v>
      </c>
      <c r="F2777" s="3" t="s">
        <v>180</v>
      </c>
      <c r="G2777" s="7">
        <v>42290</v>
      </c>
      <c r="H2777" s="6">
        <v>6597300</v>
      </c>
      <c r="I2777" s="6">
        <v>1619975</v>
      </c>
      <c r="J2777" s="5" t="s">
        <v>186</v>
      </c>
      <c r="K2777" s="1">
        <v>4</v>
      </c>
      <c r="L2777" s="1" t="str">
        <f t="shared" si="156"/>
        <v>Norrviken 4</v>
      </c>
      <c r="M2777" s="1" t="s">
        <v>177</v>
      </c>
      <c r="N2777" s="6">
        <v>0.5</v>
      </c>
      <c r="O2777" s="6">
        <v>0.5</v>
      </c>
      <c r="P2777" s="6">
        <v>2.2000000000000002</v>
      </c>
      <c r="Q2777" s="6">
        <v>11.2</v>
      </c>
      <c r="R2777" s="6">
        <v>7.9</v>
      </c>
      <c r="S2777" s="6">
        <v>71</v>
      </c>
      <c r="V2777" s="6">
        <v>2.5493669292000001</v>
      </c>
      <c r="W2777" s="6">
        <v>47.439399999999999</v>
      </c>
      <c r="X2777" s="1">
        <f>W2777 * (1/((10^((0.0901821 + (2729.92 /(273.15 + Q2777)))-AE2777)+1)))</f>
        <v>0.67479596130492503</v>
      </c>
      <c r="Y2777" s="6">
        <v>4.7E-2</v>
      </c>
      <c r="Z2777" s="6">
        <v>93.92</v>
      </c>
      <c r="AA2777" s="6">
        <v>1.55</v>
      </c>
      <c r="AD2777" s="6">
        <v>212.1</v>
      </c>
      <c r="AE2777" s="6">
        <v>7.85</v>
      </c>
      <c r="AK2777" s="6">
        <v>105.81</v>
      </c>
      <c r="AL2777" s="6">
        <v>970.41</v>
      </c>
      <c r="AM2777" s="6"/>
      <c r="AN2777" s="6"/>
      <c r="AO2777" s="6"/>
      <c r="AP2777" s="6"/>
      <c r="AQ2777" s="6"/>
    </row>
    <row r="2778" spans="1:43" x14ac:dyDescent="0.3">
      <c r="A2778" s="6">
        <v>47783</v>
      </c>
      <c r="B2778" s="5" t="s">
        <v>234</v>
      </c>
      <c r="C2778" s="5" t="s">
        <v>231</v>
      </c>
      <c r="D2778" s="2">
        <f t="shared" si="154"/>
        <v>2015</v>
      </c>
      <c r="E2778" s="2">
        <f t="shared" si="155"/>
        <v>10</v>
      </c>
      <c r="F2778" s="3" t="s">
        <v>180</v>
      </c>
      <c r="G2778" s="7">
        <v>42290</v>
      </c>
      <c r="H2778" s="6">
        <v>6597300</v>
      </c>
      <c r="I2778" s="6">
        <v>1619975</v>
      </c>
      <c r="J2778" s="5" t="s">
        <v>186</v>
      </c>
      <c r="K2778" s="1">
        <v>4</v>
      </c>
      <c r="L2778" s="1" t="str">
        <f t="shared" si="156"/>
        <v>Norrviken 4</v>
      </c>
      <c r="M2778" s="5" t="s">
        <v>211</v>
      </c>
      <c r="N2778" s="6">
        <v>1</v>
      </c>
      <c r="O2778" s="6">
        <v>1</v>
      </c>
      <c r="Q2778" s="6">
        <v>11.2</v>
      </c>
      <c r="R2778" s="6">
        <v>7.9</v>
      </c>
      <c r="S2778" s="6">
        <v>71</v>
      </c>
    </row>
    <row r="2779" spans="1:43" x14ac:dyDescent="0.3">
      <c r="A2779" s="6">
        <v>47784</v>
      </c>
      <c r="B2779" s="5" t="s">
        <v>234</v>
      </c>
      <c r="C2779" s="5" t="s">
        <v>231</v>
      </c>
      <c r="D2779" s="2">
        <f t="shared" si="154"/>
        <v>2015</v>
      </c>
      <c r="E2779" s="2">
        <f t="shared" si="155"/>
        <v>10</v>
      </c>
      <c r="F2779" s="3" t="s">
        <v>180</v>
      </c>
      <c r="G2779" s="7">
        <v>42290</v>
      </c>
      <c r="H2779" s="6">
        <v>6597300</v>
      </c>
      <c r="I2779" s="6">
        <v>1619975</v>
      </c>
      <c r="J2779" s="5" t="s">
        <v>186</v>
      </c>
      <c r="K2779" s="1">
        <v>4</v>
      </c>
      <c r="L2779" s="1" t="str">
        <f t="shared" si="156"/>
        <v>Norrviken 4</v>
      </c>
      <c r="M2779" s="1" t="s">
        <v>184</v>
      </c>
      <c r="N2779" s="6">
        <v>2.2000000000000002</v>
      </c>
      <c r="O2779" s="6">
        <v>2.2000000000000002</v>
      </c>
      <c r="Q2779" s="6">
        <v>11.2</v>
      </c>
      <c r="R2779" s="6">
        <v>7.9</v>
      </c>
      <c r="S2779" s="6">
        <v>71</v>
      </c>
    </row>
    <row r="2780" spans="1:43" x14ac:dyDescent="0.3">
      <c r="A2780" s="1">
        <v>47741</v>
      </c>
      <c r="B2780" s="1" t="s">
        <v>233</v>
      </c>
      <c r="C2780" s="1" t="s">
        <v>209</v>
      </c>
      <c r="D2780" s="2">
        <f t="shared" si="154"/>
        <v>2015</v>
      </c>
      <c r="E2780" s="2">
        <f t="shared" si="155"/>
        <v>10</v>
      </c>
      <c r="F2780" s="3" t="s">
        <v>180</v>
      </c>
      <c r="G2780" s="4">
        <v>42290</v>
      </c>
      <c r="H2780" s="1">
        <v>6600935</v>
      </c>
      <c r="I2780" s="1">
        <v>1626764</v>
      </c>
      <c r="J2780" s="1" t="s">
        <v>191</v>
      </c>
      <c r="K2780" s="1" t="s">
        <v>210</v>
      </c>
      <c r="L2780" s="1" t="str">
        <f t="shared" si="156"/>
        <v>Vallentunasjön Va2</v>
      </c>
      <c r="M2780" s="1" t="s">
        <v>177</v>
      </c>
      <c r="N2780" s="1">
        <v>0.5</v>
      </c>
      <c r="O2780" s="1">
        <v>0.5</v>
      </c>
      <c r="P2780" s="1">
        <v>0.9</v>
      </c>
      <c r="Q2780" s="1">
        <v>9.1</v>
      </c>
      <c r="R2780" s="1">
        <v>10.6</v>
      </c>
      <c r="S2780" s="1">
        <v>90</v>
      </c>
    </row>
    <row r="2781" spans="1:43" x14ac:dyDescent="0.3">
      <c r="A2781" s="1">
        <v>47742</v>
      </c>
      <c r="B2781" s="1" t="s">
        <v>233</v>
      </c>
      <c r="C2781" s="1" t="s">
        <v>209</v>
      </c>
      <c r="D2781" s="2">
        <f t="shared" si="154"/>
        <v>2015</v>
      </c>
      <c r="E2781" s="2">
        <f t="shared" si="155"/>
        <v>10</v>
      </c>
      <c r="F2781" s="3" t="s">
        <v>180</v>
      </c>
      <c r="G2781" s="4">
        <v>42290</v>
      </c>
      <c r="H2781" s="1">
        <v>6600935</v>
      </c>
      <c r="I2781" s="1">
        <v>1626764</v>
      </c>
      <c r="J2781" s="1" t="s">
        <v>191</v>
      </c>
      <c r="K2781" s="1" t="s">
        <v>210</v>
      </c>
      <c r="L2781" s="1" t="str">
        <f t="shared" si="156"/>
        <v>Vallentunasjön Va2</v>
      </c>
      <c r="M2781" s="1" t="s">
        <v>211</v>
      </c>
      <c r="N2781" s="1">
        <v>1</v>
      </c>
      <c r="O2781" s="1">
        <v>1</v>
      </c>
      <c r="Q2781" s="1">
        <v>9.1</v>
      </c>
      <c r="R2781" s="1">
        <v>10.5</v>
      </c>
      <c r="S2781" s="1">
        <v>89</v>
      </c>
    </row>
    <row r="2782" spans="1:43" x14ac:dyDescent="0.3">
      <c r="A2782" s="1">
        <v>47743</v>
      </c>
      <c r="B2782" s="1" t="s">
        <v>233</v>
      </c>
      <c r="C2782" s="1" t="s">
        <v>209</v>
      </c>
      <c r="D2782" s="2">
        <f t="shared" si="154"/>
        <v>2015</v>
      </c>
      <c r="E2782" s="2">
        <f t="shared" si="155"/>
        <v>10</v>
      </c>
      <c r="F2782" s="3" t="s">
        <v>180</v>
      </c>
      <c r="G2782" s="4">
        <v>42290</v>
      </c>
      <c r="H2782" s="1">
        <v>6600935</v>
      </c>
      <c r="I2782" s="1">
        <v>1626764</v>
      </c>
      <c r="J2782" s="1" t="s">
        <v>191</v>
      </c>
      <c r="K2782" s="1" t="s">
        <v>210</v>
      </c>
      <c r="L2782" s="1" t="str">
        <f t="shared" si="156"/>
        <v>Vallentunasjön Va2</v>
      </c>
      <c r="M2782" s="1" t="s">
        <v>212</v>
      </c>
      <c r="N2782" s="1">
        <v>2</v>
      </c>
      <c r="O2782" s="1">
        <v>2</v>
      </c>
      <c r="Q2782" s="1">
        <v>9</v>
      </c>
      <c r="R2782" s="1">
        <v>10.4</v>
      </c>
      <c r="S2782" s="1">
        <v>88</v>
      </c>
    </row>
    <row r="2783" spans="1:43" x14ac:dyDescent="0.3">
      <c r="A2783" s="1">
        <v>47744</v>
      </c>
      <c r="B2783" s="1" t="s">
        <v>233</v>
      </c>
      <c r="C2783" s="1" t="s">
        <v>209</v>
      </c>
      <c r="D2783" s="2">
        <f t="shared" si="154"/>
        <v>2015</v>
      </c>
      <c r="E2783" s="2">
        <f t="shared" si="155"/>
        <v>10</v>
      </c>
      <c r="F2783" s="3" t="s">
        <v>180</v>
      </c>
      <c r="G2783" s="4">
        <v>42290</v>
      </c>
      <c r="H2783" s="1">
        <v>6600935</v>
      </c>
      <c r="I2783" s="1">
        <v>1626764</v>
      </c>
      <c r="J2783" s="1" t="s">
        <v>191</v>
      </c>
      <c r="K2783" s="1" t="s">
        <v>210</v>
      </c>
      <c r="L2783" s="1" t="str">
        <f t="shared" si="156"/>
        <v>Vallentunasjön Va2</v>
      </c>
      <c r="M2783" s="1" t="s">
        <v>213</v>
      </c>
      <c r="N2783" s="1">
        <v>3</v>
      </c>
      <c r="O2783" s="1">
        <v>3</v>
      </c>
      <c r="Q2783" s="1">
        <v>8.8000000000000007</v>
      </c>
      <c r="R2783" s="1">
        <v>9.6999999999999993</v>
      </c>
      <c r="S2783" s="1">
        <v>82</v>
      </c>
    </row>
    <row r="2784" spans="1:43" x14ac:dyDescent="0.3">
      <c r="A2784" s="1">
        <v>47745</v>
      </c>
      <c r="B2784" s="1" t="s">
        <v>233</v>
      </c>
      <c r="C2784" s="1" t="s">
        <v>209</v>
      </c>
      <c r="D2784" s="2">
        <f t="shared" si="154"/>
        <v>2015</v>
      </c>
      <c r="E2784" s="2">
        <f t="shared" si="155"/>
        <v>10</v>
      </c>
      <c r="F2784" s="3" t="s">
        <v>180</v>
      </c>
      <c r="G2784" s="4">
        <v>42290</v>
      </c>
      <c r="H2784" s="1">
        <v>6600935</v>
      </c>
      <c r="I2784" s="1">
        <v>1626764</v>
      </c>
      <c r="J2784" s="1" t="s">
        <v>191</v>
      </c>
      <c r="K2784" s="1" t="s">
        <v>210</v>
      </c>
      <c r="L2784" s="1" t="str">
        <f t="shared" si="156"/>
        <v>Vallentunasjön Va2</v>
      </c>
      <c r="M2784" s="1" t="s">
        <v>214</v>
      </c>
      <c r="N2784" s="1">
        <v>4</v>
      </c>
      <c r="O2784" s="1">
        <v>4</v>
      </c>
      <c r="Q2784" s="1">
        <v>8.5</v>
      </c>
      <c r="R2784" s="1">
        <v>9.9</v>
      </c>
      <c r="S2784" s="1">
        <v>84</v>
      </c>
    </row>
    <row r="2785" spans="1:91" x14ac:dyDescent="0.3">
      <c r="A2785" s="1">
        <v>47746</v>
      </c>
      <c r="B2785" s="1" t="s">
        <v>233</v>
      </c>
      <c r="C2785" s="1" t="s">
        <v>209</v>
      </c>
      <c r="D2785" s="2">
        <f t="shared" si="154"/>
        <v>2015</v>
      </c>
      <c r="E2785" s="2">
        <f t="shared" si="155"/>
        <v>10</v>
      </c>
      <c r="F2785" s="3" t="s">
        <v>180</v>
      </c>
      <c r="G2785" s="4">
        <v>42290</v>
      </c>
      <c r="H2785" s="1">
        <v>6600935</v>
      </c>
      <c r="I2785" s="1">
        <v>1626764</v>
      </c>
      <c r="J2785" s="1" t="s">
        <v>191</v>
      </c>
      <c r="K2785" s="1" t="s">
        <v>210</v>
      </c>
      <c r="L2785" s="1" t="str">
        <f t="shared" si="156"/>
        <v>Vallentunasjön Va2</v>
      </c>
      <c r="M2785" s="1" t="s">
        <v>184</v>
      </c>
      <c r="N2785" s="1">
        <v>4.5</v>
      </c>
      <c r="O2785" s="1">
        <v>4.5</v>
      </c>
      <c r="Q2785" s="1">
        <v>8.5</v>
      </c>
      <c r="R2785" s="1">
        <v>9.6999999999999993</v>
      </c>
      <c r="S2785" s="1">
        <v>81</v>
      </c>
    </row>
    <row r="2786" spans="1:91" x14ac:dyDescent="0.3">
      <c r="A2786" s="1">
        <v>47747</v>
      </c>
      <c r="B2786" s="1" t="s">
        <v>233</v>
      </c>
      <c r="C2786" s="1" t="s">
        <v>209</v>
      </c>
      <c r="D2786" s="2">
        <f t="shared" si="154"/>
        <v>2015</v>
      </c>
      <c r="E2786" s="2">
        <f t="shared" si="155"/>
        <v>10</v>
      </c>
      <c r="F2786" s="3" t="s">
        <v>180</v>
      </c>
      <c r="G2786" s="4">
        <v>42290</v>
      </c>
      <c r="J2786" s="1" t="s">
        <v>191</v>
      </c>
      <c r="K2786" s="1" t="s">
        <v>206</v>
      </c>
      <c r="L2786" s="1" t="str">
        <f t="shared" si="156"/>
        <v>Vallentunasjön Blandprov</v>
      </c>
      <c r="M2786" s="1" t="s">
        <v>177</v>
      </c>
      <c r="N2786" s="1">
        <v>4</v>
      </c>
      <c r="O2786" s="1">
        <v>0</v>
      </c>
      <c r="W2786" s="1">
        <v>11.571300000000001</v>
      </c>
      <c r="Z2786" s="1">
        <v>1.9100000000000001</v>
      </c>
      <c r="AB2786" s="1">
        <v>27.33642</v>
      </c>
      <c r="AD2786" s="1">
        <v>2.5</v>
      </c>
      <c r="AG2786" s="1">
        <v>10.5</v>
      </c>
      <c r="AK2786" s="1">
        <v>34.56</v>
      </c>
      <c r="AL2786" s="1">
        <v>1044.54</v>
      </c>
    </row>
    <row r="2787" spans="1:91" x14ac:dyDescent="0.3">
      <c r="A2787" s="6">
        <v>47785</v>
      </c>
      <c r="B2787" s="5" t="s">
        <v>234</v>
      </c>
      <c r="C2787" s="5" t="s">
        <v>231</v>
      </c>
      <c r="D2787" s="2">
        <f t="shared" si="154"/>
        <v>2015</v>
      </c>
      <c r="E2787" s="2">
        <f t="shared" si="155"/>
        <v>10</v>
      </c>
      <c r="F2787" s="3" t="s">
        <v>180</v>
      </c>
      <c r="G2787" s="7">
        <v>42291</v>
      </c>
      <c r="H2787" s="6">
        <v>6595400</v>
      </c>
      <c r="I2787" s="6">
        <v>1624045</v>
      </c>
      <c r="J2787" s="5" t="s">
        <v>183</v>
      </c>
      <c r="K2787" s="1"/>
      <c r="L2787" s="1" t="str">
        <f t="shared" si="156"/>
        <v xml:space="preserve">Fjäturen </v>
      </c>
      <c r="M2787" s="1" t="s">
        <v>177</v>
      </c>
      <c r="N2787" s="6">
        <v>0.5</v>
      </c>
      <c r="O2787" s="6">
        <v>0.5</v>
      </c>
      <c r="P2787" s="6">
        <v>2.5</v>
      </c>
      <c r="Q2787" s="6">
        <v>10.5</v>
      </c>
      <c r="R2787" s="6">
        <v>8.9</v>
      </c>
      <c r="S2787" s="6">
        <v>78</v>
      </c>
      <c r="V2787" s="6">
        <v>1.9506519684999999</v>
      </c>
      <c r="W2787" s="6">
        <v>6.0052000000000003</v>
      </c>
      <c r="X2787" s="1">
        <f>W2787 * (1/((10^((0.0901821 + (2729.92 /(273.15 + Q2787)))-AE2787)+1)))</f>
        <v>7.3911447634422062E-2</v>
      </c>
      <c r="Y2787" s="6">
        <v>6.8000000000000005E-2</v>
      </c>
      <c r="Z2787" s="6">
        <v>3.41</v>
      </c>
      <c r="AA2787" s="6">
        <v>2.2999999999999998</v>
      </c>
      <c r="AD2787" s="6">
        <v>0.4</v>
      </c>
      <c r="AE2787" s="6">
        <v>7.8100000000000005</v>
      </c>
      <c r="AK2787" s="6">
        <v>22.79</v>
      </c>
      <c r="AL2787" s="6">
        <v>685.85</v>
      </c>
      <c r="AM2787" s="6"/>
      <c r="AN2787" s="6"/>
      <c r="AO2787" s="6"/>
      <c r="AP2787" s="6"/>
      <c r="AQ2787" s="6"/>
    </row>
    <row r="2788" spans="1:91" x14ac:dyDescent="0.3">
      <c r="A2788" s="6">
        <v>47786</v>
      </c>
      <c r="B2788" s="5" t="s">
        <v>234</v>
      </c>
      <c r="C2788" s="5" t="s">
        <v>231</v>
      </c>
      <c r="D2788" s="2">
        <f t="shared" si="154"/>
        <v>2015</v>
      </c>
      <c r="E2788" s="2">
        <f t="shared" si="155"/>
        <v>10</v>
      </c>
      <c r="F2788" s="3" t="s">
        <v>180</v>
      </c>
      <c r="G2788" s="7">
        <v>42291</v>
      </c>
      <c r="H2788" s="6">
        <v>6595400</v>
      </c>
      <c r="I2788" s="6">
        <v>1624045</v>
      </c>
      <c r="J2788" s="5" t="s">
        <v>183</v>
      </c>
      <c r="K2788" s="1"/>
      <c r="L2788" s="1" t="str">
        <f t="shared" si="156"/>
        <v xml:space="preserve">Fjäturen </v>
      </c>
      <c r="M2788" s="5" t="s">
        <v>211</v>
      </c>
      <c r="N2788" s="6">
        <v>1</v>
      </c>
      <c r="O2788" s="6">
        <v>1</v>
      </c>
      <c r="Q2788" s="6">
        <v>10.4</v>
      </c>
      <c r="R2788" s="6">
        <v>8.9</v>
      </c>
      <c r="S2788" s="6">
        <v>78</v>
      </c>
    </row>
    <row r="2789" spans="1:91" x14ac:dyDescent="0.3">
      <c r="A2789" s="6">
        <v>47787</v>
      </c>
      <c r="B2789" s="5" t="s">
        <v>234</v>
      </c>
      <c r="C2789" s="5" t="s">
        <v>231</v>
      </c>
      <c r="D2789" s="2">
        <f t="shared" si="154"/>
        <v>2015</v>
      </c>
      <c r="E2789" s="2">
        <f t="shared" si="155"/>
        <v>10</v>
      </c>
      <c r="F2789" s="3" t="s">
        <v>180</v>
      </c>
      <c r="G2789" s="7">
        <v>42291</v>
      </c>
      <c r="H2789" s="6">
        <v>6595400</v>
      </c>
      <c r="I2789" s="6">
        <v>1624045</v>
      </c>
      <c r="J2789" s="5" t="s">
        <v>183</v>
      </c>
      <c r="K2789" s="1"/>
      <c r="L2789" s="1" t="str">
        <f t="shared" si="156"/>
        <v xml:space="preserve">Fjäturen </v>
      </c>
      <c r="M2789" s="5" t="s">
        <v>212</v>
      </c>
      <c r="N2789" s="6">
        <v>2</v>
      </c>
      <c r="O2789" s="6">
        <v>2</v>
      </c>
      <c r="Q2789" s="6">
        <v>10.3</v>
      </c>
      <c r="R2789" s="6">
        <v>8.8000000000000007</v>
      </c>
      <c r="S2789" s="6">
        <v>77</v>
      </c>
    </row>
    <row r="2790" spans="1:91" x14ac:dyDescent="0.3">
      <c r="A2790" s="6">
        <v>47788</v>
      </c>
      <c r="B2790" s="5" t="s">
        <v>234</v>
      </c>
      <c r="C2790" s="5" t="s">
        <v>231</v>
      </c>
      <c r="D2790" s="2">
        <f t="shared" si="154"/>
        <v>2015</v>
      </c>
      <c r="E2790" s="2">
        <f t="shared" si="155"/>
        <v>10</v>
      </c>
      <c r="F2790" s="3" t="s">
        <v>180</v>
      </c>
      <c r="G2790" s="7">
        <v>42291</v>
      </c>
      <c r="H2790" s="6">
        <v>6595400</v>
      </c>
      <c r="I2790" s="6">
        <v>1624045</v>
      </c>
      <c r="J2790" s="5" t="s">
        <v>183</v>
      </c>
      <c r="K2790" s="1"/>
      <c r="L2790" s="1" t="str">
        <f t="shared" si="156"/>
        <v xml:space="preserve">Fjäturen </v>
      </c>
      <c r="M2790" s="5" t="s">
        <v>213</v>
      </c>
      <c r="N2790" s="6">
        <v>3</v>
      </c>
      <c r="O2790" s="6">
        <v>3</v>
      </c>
      <c r="Q2790" s="6">
        <v>10.3</v>
      </c>
      <c r="R2790" s="6">
        <v>8.8000000000000007</v>
      </c>
      <c r="S2790" s="6">
        <v>77</v>
      </c>
    </row>
    <row r="2791" spans="1:91" x14ac:dyDescent="0.3">
      <c r="A2791" s="6">
        <v>47789</v>
      </c>
      <c r="B2791" s="5" t="s">
        <v>234</v>
      </c>
      <c r="C2791" s="5" t="s">
        <v>231</v>
      </c>
      <c r="D2791" s="2">
        <f t="shared" si="154"/>
        <v>2015</v>
      </c>
      <c r="E2791" s="2">
        <f t="shared" si="155"/>
        <v>10</v>
      </c>
      <c r="F2791" s="3" t="s">
        <v>180</v>
      </c>
      <c r="G2791" s="7">
        <v>42291</v>
      </c>
      <c r="H2791" s="6">
        <v>6595400</v>
      </c>
      <c r="I2791" s="6">
        <v>1624045</v>
      </c>
      <c r="J2791" s="5" t="s">
        <v>183</v>
      </c>
      <c r="K2791" s="1"/>
      <c r="L2791" s="1" t="str">
        <f t="shared" si="156"/>
        <v xml:space="preserve">Fjäturen </v>
      </c>
      <c r="M2791" s="5" t="s">
        <v>214</v>
      </c>
      <c r="N2791" s="6">
        <v>4</v>
      </c>
      <c r="O2791" s="6">
        <v>4</v>
      </c>
      <c r="Q2791" s="6">
        <v>10.3</v>
      </c>
      <c r="R2791" s="6">
        <v>8.6999999999999993</v>
      </c>
      <c r="S2791" s="6">
        <v>77</v>
      </c>
    </row>
    <row r="2792" spans="1:91" x14ac:dyDescent="0.3">
      <c r="A2792" s="6">
        <v>47790</v>
      </c>
      <c r="B2792" s="5" t="s">
        <v>234</v>
      </c>
      <c r="C2792" s="5" t="s">
        <v>231</v>
      </c>
      <c r="D2792" s="2">
        <f t="shared" si="154"/>
        <v>2015</v>
      </c>
      <c r="E2792" s="2">
        <f t="shared" si="155"/>
        <v>10</v>
      </c>
      <c r="F2792" s="3" t="s">
        <v>180</v>
      </c>
      <c r="G2792" s="7">
        <v>42291</v>
      </c>
      <c r="H2792" s="6">
        <v>6595400</v>
      </c>
      <c r="I2792" s="6">
        <v>1624045</v>
      </c>
      <c r="J2792" s="5" t="s">
        <v>183</v>
      </c>
      <c r="K2792" s="1"/>
      <c r="L2792" s="1" t="str">
        <f t="shared" si="156"/>
        <v xml:space="preserve">Fjäturen </v>
      </c>
      <c r="M2792" s="5" t="s">
        <v>217</v>
      </c>
      <c r="N2792" s="6">
        <v>5</v>
      </c>
      <c r="O2792" s="6">
        <v>5</v>
      </c>
      <c r="Q2792" s="6">
        <v>10.3</v>
      </c>
      <c r="R2792" s="6">
        <v>8.6999999999999993</v>
      </c>
      <c r="S2792" s="6">
        <v>76</v>
      </c>
    </row>
    <row r="2793" spans="1:91" x14ac:dyDescent="0.3">
      <c r="A2793" s="6">
        <v>47791</v>
      </c>
      <c r="B2793" s="5" t="s">
        <v>234</v>
      </c>
      <c r="C2793" s="5" t="s">
        <v>231</v>
      </c>
      <c r="D2793" s="2">
        <f t="shared" si="154"/>
        <v>2015</v>
      </c>
      <c r="E2793" s="2">
        <f t="shared" si="155"/>
        <v>10</v>
      </c>
      <c r="F2793" s="3" t="s">
        <v>180</v>
      </c>
      <c r="G2793" s="7">
        <v>42291</v>
      </c>
      <c r="H2793" s="6">
        <v>6595400</v>
      </c>
      <c r="I2793" s="6">
        <v>1624045</v>
      </c>
      <c r="J2793" s="5" t="s">
        <v>183</v>
      </c>
      <c r="K2793" s="1"/>
      <c r="L2793" s="1" t="str">
        <f t="shared" si="156"/>
        <v xml:space="preserve">Fjäturen </v>
      </c>
      <c r="M2793" s="5" t="s">
        <v>218</v>
      </c>
      <c r="N2793" s="6">
        <v>6</v>
      </c>
      <c r="O2793" s="6">
        <v>6</v>
      </c>
      <c r="Q2793" s="6">
        <v>10.3</v>
      </c>
      <c r="R2793" s="6">
        <v>8.6999999999999993</v>
      </c>
      <c r="S2793" s="6">
        <v>76</v>
      </c>
    </row>
    <row r="2794" spans="1:91" x14ac:dyDescent="0.3">
      <c r="A2794" s="6">
        <v>47792</v>
      </c>
      <c r="B2794" s="5" t="s">
        <v>234</v>
      </c>
      <c r="C2794" s="5" t="s">
        <v>231</v>
      </c>
      <c r="D2794" s="2">
        <f t="shared" si="154"/>
        <v>2015</v>
      </c>
      <c r="E2794" s="2">
        <f t="shared" si="155"/>
        <v>10</v>
      </c>
      <c r="F2794" s="3" t="s">
        <v>180</v>
      </c>
      <c r="G2794" s="7">
        <v>42291</v>
      </c>
      <c r="H2794" s="6">
        <v>6595400</v>
      </c>
      <c r="I2794" s="6">
        <v>1624045</v>
      </c>
      <c r="J2794" s="5" t="s">
        <v>183</v>
      </c>
      <c r="K2794" s="1"/>
      <c r="L2794" s="1" t="str">
        <f t="shared" si="156"/>
        <v xml:space="preserve">Fjäturen </v>
      </c>
      <c r="M2794" s="5" t="s">
        <v>219</v>
      </c>
      <c r="N2794" s="6">
        <v>7</v>
      </c>
      <c r="O2794" s="6">
        <v>7</v>
      </c>
      <c r="Q2794" s="6">
        <v>10.3</v>
      </c>
      <c r="R2794" s="6">
        <v>8.6999999999999993</v>
      </c>
      <c r="S2794" s="6">
        <v>76</v>
      </c>
    </row>
    <row r="2795" spans="1:91" x14ac:dyDescent="0.3">
      <c r="A2795" s="6">
        <v>47793</v>
      </c>
      <c r="B2795" s="5" t="s">
        <v>234</v>
      </c>
      <c r="C2795" s="5" t="s">
        <v>231</v>
      </c>
      <c r="D2795" s="2">
        <f t="shared" si="154"/>
        <v>2015</v>
      </c>
      <c r="E2795" s="2">
        <f t="shared" si="155"/>
        <v>10</v>
      </c>
      <c r="F2795" s="3" t="s">
        <v>180</v>
      </c>
      <c r="G2795" s="7">
        <v>42291</v>
      </c>
      <c r="H2795" s="6">
        <v>6595400</v>
      </c>
      <c r="I2795" s="6">
        <v>1624045</v>
      </c>
      <c r="J2795" s="5" t="s">
        <v>183</v>
      </c>
      <c r="K2795" s="1"/>
      <c r="L2795" s="1" t="str">
        <f t="shared" si="156"/>
        <v xml:space="preserve">Fjäturen </v>
      </c>
      <c r="M2795" s="5" t="s">
        <v>220</v>
      </c>
      <c r="N2795" s="6">
        <v>8</v>
      </c>
      <c r="O2795" s="6">
        <v>8</v>
      </c>
      <c r="Q2795" s="6">
        <v>10.3</v>
      </c>
      <c r="R2795" s="6">
        <v>8.6</v>
      </c>
      <c r="S2795" s="6">
        <v>75</v>
      </c>
    </row>
    <row r="2796" spans="1:91" x14ac:dyDescent="0.3">
      <c r="A2796" s="6">
        <v>47794</v>
      </c>
      <c r="B2796" s="5" t="s">
        <v>234</v>
      </c>
      <c r="C2796" s="5" t="s">
        <v>231</v>
      </c>
      <c r="D2796" s="2">
        <f t="shared" si="154"/>
        <v>2015</v>
      </c>
      <c r="E2796" s="2">
        <f t="shared" si="155"/>
        <v>10</v>
      </c>
      <c r="F2796" s="3" t="s">
        <v>180</v>
      </c>
      <c r="G2796" s="7">
        <v>42291</v>
      </c>
      <c r="H2796" s="6">
        <v>6595400</v>
      </c>
      <c r="I2796" s="6">
        <v>1624045</v>
      </c>
      <c r="J2796" s="5" t="s">
        <v>183</v>
      </c>
      <c r="K2796" s="1"/>
      <c r="L2796" s="1" t="str">
        <f t="shared" si="156"/>
        <v xml:space="preserve">Fjäturen </v>
      </c>
      <c r="M2796" s="1" t="s">
        <v>184</v>
      </c>
      <c r="N2796" s="6">
        <v>8.8000000000000007</v>
      </c>
      <c r="O2796" s="6">
        <v>8.8000000000000007</v>
      </c>
      <c r="Q2796" s="6">
        <v>10.3</v>
      </c>
      <c r="R2796" s="6">
        <v>6.3</v>
      </c>
      <c r="S2796" s="6">
        <v>55</v>
      </c>
    </row>
    <row r="2797" spans="1:91" x14ac:dyDescent="0.3">
      <c r="A2797" s="6">
        <v>47795</v>
      </c>
      <c r="B2797" s="5" t="s">
        <v>234</v>
      </c>
      <c r="C2797" s="5" t="s">
        <v>231</v>
      </c>
      <c r="D2797" s="2">
        <f t="shared" si="154"/>
        <v>2015</v>
      </c>
      <c r="E2797" s="2">
        <f t="shared" si="155"/>
        <v>10</v>
      </c>
      <c r="F2797" s="3" t="s">
        <v>180</v>
      </c>
      <c r="G2797" s="7">
        <v>42291</v>
      </c>
      <c r="H2797" s="6">
        <v>6593820</v>
      </c>
      <c r="I2797" s="6">
        <v>1624215</v>
      </c>
      <c r="J2797" s="5" t="s">
        <v>189</v>
      </c>
      <c r="K2797" s="1"/>
      <c r="L2797" s="1" t="str">
        <f t="shared" si="156"/>
        <v xml:space="preserve">Rösjön </v>
      </c>
      <c r="M2797" s="1" t="s">
        <v>177</v>
      </c>
      <c r="N2797" s="6">
        <v>0.5</v>
      </c>
      <c r="O2797" s="6">
        <v>0.5</v>
      </c>
      <c r="P2797" s="6">
        <v>3.5</v>
      </c>
      <c r="Q2797" s="6">
        <v>10.5</v>
      </c>
      <c r="R2797" s="6">
        <v>9.1999999999999993</v>
      </c>
      <c r="S2797" s="6">
        <v>81</v>
      </c>
      <c r="V2797" s="6">
        <v>1.5450708662000001</v>
      </c>
      <c r="W2797" s="6">
        <v>16.205200000000001</v>
      </c>
      <c r="X2797" s="1">
        <f>W2797 * (1/((10^((0.0901821 + (2729.92 /(273.15 + Q2797)))-AE2797)+1)))</f>
        <v>0.22345336402866403</v>
      </c>
      <c r="Y2797" s="6">
        <v>4.2999999999999997E-2</v>
      </c>
      <c r="Z2797" s="6">
        <v>2.42</v>
      </c>
      <c r="AA2797" s="6">
        <v>2.2000000000000002</v>
      </c>
      <c r="AD2797" s="6">
        <v>3.49</v>
      </c>
      <c r="AE2797" s="6">
        <v>7.86</v>
      </c>
      <c r="AK2797" s="6">
        <v>18.89</v>
      </c>
      <c r="AL2797" s="6">
        <v>528.6</v>
      </c>
      <c r="AM2797" s="6"/>
      <c r="AN2797" s="6"/>
      <c r="AO2797" s="6"/>
      <c r="AP2797" s="6"/>
      <c r="AQ2797" s="6"/>
      <c r="AR2797" s="6">
        <v>29.1</v>
      </c>
      <c r="AS2797" s="6">
        <v>6.6100000000000006E-2</v>
      </c>
      <c r="AT2797" s="6">
        <v>1.96</v>
      </c>
      <c r="AU2797" s="6">
        <v>4.03</v>
      </c>
      <c r="AW2797" s="6">
        <v>14.8</v>
      </c>
      <c r="AY2797" s="6">
        <v>0.88700000000000001</v>
      </c>
      <c r="AZ2797" s="6">
        <v>35.799999999999898</v>
      </c>
      <c r="BA2797" s="6">
        <v>0.80400000000000005</v>
      </c>
      <c r="BB2797" s="6">
        <v>14.2</v>
      </c>
      <c r="BC2797" s="6">
        <v>3.3400000000000001E-3</v>
      </c>
      <c r="BD2797" s="6">
        <v>3.1099999999999899E-2</v>
      </c>
      <c r="BE2797" s="6">
        <v>0.128</v>
      </c>
      <c r="BF2797" s="6">
        <v>3.12</v>
      </c>
      <c r="BG2797" s="6">
        <v>7.62E-3</v>
      </c>
      <c r="BH2797" s="6">
        <v>21.3</v>
      </c>
      <c r="BI2797" s="6">
        <v>0.65400000000000003</v>
      </c>
      <c r="BJ2797" s="6">
        <v>0.45600000000000002</v>
      </c>
      <c r="BK2797" s="6">
        <v>16.600000000000001</v>
      </c>
      <c r="BL2797" s="6">
        <v>0.217</v>
      </c>
      <c r="BM2797" s="6">
        <v>72.5</v>
      </c>
      <c r="BN2797" s="6">
        <v>0.36499999999999899</v>
      </c>
      <c r="BO2797" s="6">
        <v>4.5199999999999898</v>
      </c>
      <c r="BQ2797" s="6">
        <v>2.57</v>
      </c>
      <c r="BR2797" s="6">
        <v>2.8900000000000002E-3</v>
      </c>
      <c r="BS2797" s="6">
        <v>2.8500000000000001E-2</v>
      </c>
      <c r="BT2797" s="6">
        <v>5.5899999999999901E-2</v>
      </c>
      <c r="BU2797" s="6">
        <v>3.14</v>
      </c>
      <c r="BV2797" s="6">
        <v>0.39300000000000002</v>
      </c>
      <c r="BW2797" s="6">
        <v>0.504</v>
      </c>
      <c r="BX2797" s="6">
        <v>1.1900000000000001E-2</v>
      </c>
      <c r="BY2797" s="6">
        <v>5.67</v>
      </c>
      <c r="BZ2797" s="6">
        <v>28.3</v>
      </c>
      <c r="CA2797" s="6">
        <v>4</v>
      </c>
      <c r="CC2797" s="6">
        <v>6.77999999999999E-3</v>
      </c>
      <c r="CD2797" s="6">
        <v>1.95</v>
      </c>
      <c r="CE2797" s="6">
        <v>14.7</v>
      </c>
      <c r="CF2797" s="6">
        <v>0.75</v>
      </c>
      <c r="CG2797" s="6">
        <v>0.745</v>
      </c>
      <c r="CH2797" s="6">
        <v>11.9</v>
      </c>
      <c r="CI2797" s="6">
        <v>5.8599999999999902E-3</v>
      </c>
      <c r="CJ2797" s="6">
        <v>0.58199999999999896</v>
      </c>
      <c r="CK2797" s="6">
        <v>12.4</v>
      </c>
      <c r="CL2797" s="6">
        <v>0.307</v>
      </c>
      <c r="CM2797" s="6">
        <v>71.900000000000006</v>
      </c>
    </row>
    <row r="2798" spans="1:91" x14ac:dyDescent="0.3">
      <c r="A2798" s="6">
        <v>47796</v>
      </c>
      <c r="B2798" s="5" t="s">
        <v>234</v>
      </c>
      <c r="C2798" s="5" t="s">
        <v>231</v>
      </c>
      <c r="D2798" s="2">
        <f t="shared" si="154"/>
        <v>2015</v>
      </c>
      <c r="E2798" s="2">
        <f t="shared" si="155"/>
        <v>10</v>
      </c>
      <c r="F2798" s="3" t="s">
        <v>180</v>
      </c>
      <c r="G2798" s="7">
        <v>42291</v>
      </c>
      <c r="H2798" s="6">
        <v>6593820</v>
      </c>
      <c r="I2798" s="6">
        <v>1624215</v>
      </c>
      <c r="J2798" s="5" t="s">
        <v>189</v>
      </c>
      <c r="K2798" s="1"/>
      <c r="L2798" s="1" t="str">
        <f t="shared" si="156"/>
        <v xml:space="preserve">Rösjön </v>
      </c>
      <c r="M2798" s="5" t="s">
        <v>211</v>
      </c>
      <c r="N2798" s="6">
        <v>1</v>
      </c>
      <c r="O2798" s="6">
        <v>1</v>
      </c>
      <c r="Q2798" s="6">
        <v>10.5</v>
      </c>
      <c r="R2798" s="6">
        <v>9.1999999999999993</v>
      </c>
      <c r="S2798" s="6">
        <v>81</v>
      </c>
    </row>
    <row r="2799" spans="1:91" x14ac:dyDescent="0.3">
      <c r="A2799" s="6">
        <v>47797</v>
      </c>
      <c r="B2799" s="5" t="s">
        <v>234</v>
      </c>
      <c r="C2799" s="5" t="s">
        <v>231</v>
      </c>
      <c r="D2799" s="2">
        <f t="shared" si="154"/>
        <v>2015</v>
      </c>
      <c r="E2799" s="2">
        <f t="shared" si="155"/>
        <v>10</v>
      </c>
      <c r="F2799" s="3" t="s">
        <v>180</v>
      </c>
      <c r="G2799" s="7">
        <v>42291</v>
      </c>
      <c r="H2799" s="6">
        <v>6593820</v>
      </c>
      <c r="I2799" s="6">
        <v>1624215</v>
      </c>
      <c r="J2799" s="5" t="s">
        <v>189</v>
      </c>
      <c r="K2799" s="1"/>
      <c r="L2799" s="1" t="str">
        <f t="shared" si="156"/>
        <v xml:space="preserve">Rösjön </v>
      </c>
      <c r="M2799" s="5" t="s">
        <v>212</v>
      </c>
      <c r="N2799" s="6">
        <v>2</v>
      </c>
      <c r="O2799" s="6">
        <v>2</v>
      </c>
      <c r="Q2799" s="6">
        <v>10.5</v>
      </c>
      <c r="R2799" s="6">
        <v>9.1999999999999993</v>
      </c>
      <c r="S2799" s="6">
        <v>81</v>
      </c>
    </row>
    <row r="2800" spans="1:91" x14ac:dyDescent="0.3">
      <c r="A2800" s="6">
        <v>47798</v>
      </c>
      <c r="B2800" s="5" t="s">
        <v>234</v>
      </c>
      <c r="C2800" s="5" t="s">
        <v>231</v>
      </c>
      <c r="D2800" s="2">
        <f t="shared" si="154"/>
        <v>2015</v>
      </c>
      <c r="E2800" s="2">
        <f t="shared" si="155"/>
        <v>10</v>
      </c>
      <c r="F2800" s="3" t="s">
        <v>180</v>
      </c>
      <c r="G2800" s="7">
        <v>42291</v>
      </c>
      <c r="H2800" s="6">
        <v>6593820</v>
      </c>
      <c r="I2800" s="6">
        <v>1624215</v>
      </c>
      <c r="J2800" s="5" t="s">
        <v>189</v>
      </c>
      <c r="K2800" s="1"/>
      <c r="L2800" s="1" t="str">
        <f t="shared" si="156"/>
        <v xml:space="preserve">Rösjön </v>
      </c>
      <c r="M2800" s="5" t="s">
        <v>213</v>
      </c>
      <c r="N2800" s="6">
        <v>3</v>
      </c>
      <c r="O2800" s="6">
        <v>3</v>
      </c>
      <c r="Q2800" s="6">
        <v>10.5</v>
      </c>
      <c r="R2800" s="6">
        <v>9.1999999999999993</v>
      </c>
      <c r="S2800" s="6">
        <v>81</v>
      </c>
    </row>
    <row r="2801" spans="1:91" x14ac:dyDescent="0.3">
      <c r="A2801" s="6">
        <v>47799</v>
      </c>
      <c r="B2801" s="5" t="s">
        <v>234</v>
      </c>
      <c r="C2801" s="5" t="s">
        <v>231</v>
      </c>
      <c r="D2801" s="2">
        <f t="shared" si="154"/>
        <v>2015</v>
      </c>
      <c r="E2801" s="2">
        <f t="shared" si="155"/>
        <v>10</v>
      </c>
      <c r="F2801" s="3" t="s">
        <v>180</v>
      </c>
      <c r="G2801" s="7">
        <v>42291</v>
      </c>
      <c r="H2801" s="6">
        <v>6593820</v>
      </c>
      <c r="I2801" s="6">
        <v>1624215</v>
      </c>
      <c r="J2801" s="5" t="s">
        <v>189</v>
      </c>
      <c r="K2801" s="1"/>
      <c r="L2801" s="1" t="str">
        <f t="shared" si="156"/>
        <v xml:space="preserve">Rösjön </v>
      </c>
      <c r="M2801" s="5" t="s">
        <v>214</v>
      </c>
      <c r="N2801" s="6">
        <v>4</v>
      </c>
      <c r="O2801" s="6">
        <v>4</v>
      </c>
      <c r="Q2801" s="6">
        <v>10.5</v>
      </c>
      <c r="R2801" s="6">
        <v>9.1999999999999993</v>
      </c>
      <c r="S2801" s="6">
        <v>81</v>
      </c>
    </row>
    <row r="2802" spans="1:91" x14ac:dyDescent="0.3">
      <c r="A2802" s="6">
        <v>47800</v>
      </c>
      <c r="B2802" s="5" t="s">
        <v>234</v>
      </c>
      <c r="C2802" s="5" t="s">
        <v>231</v>
      </c>
      <c r="D2802" s="2">
        <f t="shared" si="154"/>
        <v>2015</v>
      </c>
      <c r="E2802" s="2">
        <f t="shared" si="155"/>
        <v>10</v>
      </c>
      <c r="F2802" s="3" t="s">
        <v>180</v>
      </c>
      <c r="G2802" s="7">
        <v>42291</v>
      </c>
      <c r="H2802" s="6">
        <v>6593820</v>
      </c>
      <c r="I2802" s="6">
        <v>1624215</v>
      </c>
      <c r="J2802" s="5" t="s">
        <v>189</v>
      </c>
      <c r="K2802" s="1"/>
      <c r="L2802" s="1" t="str">
        <f t="shared" si="156"/>
        <v xml:space="preserve">Rösjön </v>
      </c>
      <c r="M2802" s="5" t="s">
        <v>217</v>
      </c>
      <c r="N2802" s="6">
        <v>5</v>
      </c>
      <c r="O2802" s="6">
        <v>5</v>
      </c>
      <c r="Q2802" s="6">
        <v>10.5</v>
      </c>
      <c r="R2802" s="6">
        <v>9.1999999999999993</v>
      </c>
      <c r="S2802" s="6">
        <v>81</v>
      </c>
    </row>
    <row r="2803" spans="1:91" x14ac:dyDescent="0.3">
      <c r="A2803" s="6">
        <v>47801</v>
      </c>
      <c r="B2803" s="5" t="s">
        <v>234</v>
      </c>
      <c r="C2803" s="5" t="s">
        <v>231</v>
      </c>
      <c r="D2803" s="2">
        <f t="shared" si="154"/>
        <v>2015</v>
      </c>
      <c r="E2803" s="2">
        <f t="shared" si="155"/>
        <v>10</v>
      </c>
      <c r="F2803" s="3" t="s">
        <v>180</v>
      </c>
      <c r="G2803" s="7">
        <v>42291</v>
      </c>
      <c r="H2803" s="6">
        <v>6593820</v>
      </c>
      <c r="I2803" s="6">
        <v>1624215</v>
      </c>
      <c r="J2803" s="5" t="s">
        <v>189</v>
      </c>
      <c r="K2803" s="1"/>
      <c r="L2803" s="1" t="str">
        <f t="shared" si="156"/>
        <v xml:space="preserve">Rösjön </v>
      </c>
      <c r="M2803" s="5" t="s">
        <v>218</v>
      </c>
      <c r="N2803" s="6">
        <v>6</v>
      </c>
      <c r="O2803" s="6">
        <v>6</v>
      </c>
      <c r="Q2803" s="6">
        <v>10.5</v>
      </c>
      <c r="R2803" s="6">
        <v>9.1999999999999993</v>
      </c>
      <c r="S2803" s="6">
        <v>81</v>
      </c>
    </row>
    <row r="2804" spans="1:91" x14ac:dyDescent="0.3">
      <c r="A2804" s="6">
        <v>47802</v>
      </c>
      <c r="B2804" s="5" t="s">
        <v>234</v>
      </c>
      <c r="C2804" s="5" t="s">
        <v>231</v>
      </c>
      <c r="D2804" s="2">
        <f t="shared" si="154"/>
        <v>2015</v>
      </c>
      <c r="E2804" s="2">
        <f t="shared" si="155"/>
        <v>10</v>
      </c>
      <c r="F2804" s="3" t="s">
        <v>180</v>
      </c>
      <c r="G2804" s="7">
        <v>42291</v>
      </c>
      <c r="H2804" s="6">
        <v>6593820</v>
      </c>
      <c r="I2804" s="6">
        <v>1624215</v>
      </c>
      <c r="J2804" s="5" t="s">
        <v>189</v>
      </c>
      <c r="K2804" s="1"/>
      <c r="L2804" s="1" t="str">
        <f t="shared" si="156"/>
        <v xml:space="preserve">Rösjön </v>
      </c>
      <c r="M2804" s="1" t="s">
        <v>184</v>
      </c>
      <c r="N2804" s="6">
        <v>6.7</v>
      </c>
      <c r="O2804" s="6">
        <v>6.7</v>
      </c>
      <c r="Q2804" s="6">
        <v>10.5</v>
      </c>
      <c r="R2804" s="6">
        <v>9.1</v>
      </c>
      <c r="S2804" s="6">
        <v>80</v>
      </c>
    </row>
    <row r="2805" spans="1:91" x14ac:dyDescent="0.3">
      <c r="A2805" s="6">
        <v>47803</v>
      </c>
      <c r="B2805" s="5" t="s">
        <v>234</v>
      </c>
      <c r="C2805" s="5" t="s">
        <v>231</v>
      </c>
      <c r="D2805" s="2">
        <f t="shared" si="154"/>
        <v>2015</v>
      </c>
      <c r="E2805" s="2">
        <f t="shared" si="155"/>
        <v>10</v>
      </c>
      <c r="F2805" s="3" t="s">
        <v>180</v>
      </c>
      <c r="G2805" s="7">
        <v>42291</v>
      </c>
      <c r="H2805" s="6">
        <v>6594980</v>
      </c>
      <c r="I2805" s="6">
        <v>1622960</v>
      </c>
      <c r="J2805" s="5" t="s">
        <v>192</v>
      </c>
      <c r="K2805" s="1"/>
      <c r="L2805" s="1" t="str">
        <f t="shared" si="156"/>
        <v xml:space="preserve">Väsjön </v>
      </c>
      <c r="M2805" s="1" t="s">
        <v>177</v>
      </c>
      <c r="N2805" s="6">
        <v>0.5</v>
      </c>
      <c r="O2805" s="6">
        <v>0.5</v>
      </c>
      <c r="P2805" s="6">
        <v>2.6</v>
      </c>
      <c r="Q2805" s="6">
        <v>8.9</v>
      </c>
      <c r="R2805" s="6">
        <v>8.4</v>
      </c>
      <c r="S2805" s="6">
        <v>71</v>
      </c>
      <c r="V2805" s="6">
        <v>2.8583811024000001</v>
      </c>
      <c r="W2805" s="6">
        <v>2.395</v>
      </c>
      <c r="X2805" s="1">
        <f>W2805 * (1/((10^((0.0901821 + (2729.92 /(273.15 + Q2805)))-AE2805)+1)))</f>
        <v>2.6033084497272159E-2</v>
      </c>
      <c r="Y2805" s="6">
        <v>8.6999999999999994E-2</v>
      </c>
      <c r="Z2805" s="6">
        <v>0.37</v>
      </c>
      <c r="AA2805" s="6">
        <v>0.77</v>
      </c>
      <c r="AD2805" s="6">
        <v>0.08</v>
      </c>
      <c r="AE2805" s="6">
        <v>7.8100000000000005</v>
      </c>
      <c r="AK2805" s="6">
        <v>12.33</v>
      </c>
      <c r="AL2805" s="6">
        <v>630.38</v>
      </c>
      <c r="AM2805" s="6"/>
      <c r="AN2805" s="6"/>
      <c r="AO2805" s="6"/>
      <c r="AP2805" s="6"/>
      <c r="AQ2805" s="6"/>
      <c r="AR2805" s="6">
        <v>51</v>
      </c>
      <c r="AS2805" s="6">
        <v>1.29E-2</v>
      </c>
      <c r="AT2805" s="6">
        <v>2.86</v>
      </c>
      <c r="AU2805" s="6">
        <v>6.71</v>
      </c>
      <c r="AW2805" s="6">
        <v>33.299999999999898</v>
      </c>
      <c r="AY2805" s="6">
        <v>0.85</v>
      </c>
      <c r="AZ2805" s="6">
        <v>4.25</v>
      </c>
      <c r="BA2805" s="6">
        <v>0.41799999999999898</v>
      </c>
      <c r="BB2805" s="6">
        <v>21.8</v>
      </c>
      <c r="BC2805" s="6">
        <v>6.43E-3</v>
      </c>
      <c r="BD2805" s="6">
        <v>3.0800000000000001E-2</v>
      </c>
      <c r="BE2805" s="6">
        <v>0.113</v>
      </c>
      <c r="BF2805" s="6">
        <v>9.1999999999999904</v>
      </c>
      <c r="BG2805" s="6">
        <v>4.96E-3</v>
      </c>
      <c r="BH2805" s="6">
        <v>10.6</v>
      </c>
      <c r="BI2805" s="6">
        <v>0.63800000000000001</v>
      </c>
      <c r="BJ2805" s="6">
        <v>0.33100000000000002</v>
      </c>
      <c r="BK2805" s="6">
        <v>10.5</v>
      </c>
      <c r="BL2805" s="6">
        <v>4.9099999999999901E-2</v>
      </c>
      <c r="BM2805" s="6">
        <v>120</v>
      </c>
      <c r="BN2805" s="6">
        <v>0.23100000000000001</v>
      </c>
      <c r="BO2805" s="6">
        <v>7.06</v>
      </c>
      <c r="BQ2805" s="6">
        <v>1.28</v>
      </c>
      <c r="BR2805" s="6">
        <v>6.3E-3</v>
      </c>
      <c r="BS2805" s="6">
        <v>3.54999999999999E-2</v>
      </c>
      <c r="BT2805" s="6">
        <v>9.7799999999999901E-2</v>
      </c>
      <c r="BU2805" s="6">
        <v>7.96</v>
      </c>
      <c r="BV2805" s="6">
        <v>0.46700000000000003</v>
      </c>
      <c r="BW2805" s="6">
        <v>0.39</v>
      </c>
      <c r="BX2805" s="6">
        <v>5.0000000000000001E-3</v>
      </c>
      <c r="BY2805" s="6">
        <v>10.8</v>
      </c>
      <c r="BZ2805" s="6">
        <v>49.7</v>
      </c>
      <c r="CA2805" s="6">
        <v>6.66</v>
      </c>
      <c r="CC2805" s="6">
        <v>7.1599999999999902E-3</v>
      </c>
      <c r="CD2805" s="6">
        <v>2.84</v>
      </c>
      <c r="CE2805" s="6">
        <v>32.5</v>
      </c>
      <c r="CF2805" s="6">
        <v>0.77700000000000002</v>
      </c>
      <c r="CG2805" s="6">
        <v>0.53200000000000003</v>
      </c>
      <c r="CH2805" s="6">
        <v>25.7</v>
      </c>
      <c r="CI2805" s="6">
        <v>2.5799999999999899E-3</v>
      </c>
      <c r="CJ2805" s="6">
        <v>0.70099999999999896</v>
      </c>
      <c r="CK2805" s="6">
        <v>9.2200000000000006</v>
      </c>
      <c r="CL2805" s="6">
        <v>0.247</v>
      </c>
      <c r="CM2805" s="6">
        <v>118</v>
      </c>
    </row>
    <row r="2806" spans="1:91" x14ac:dyDescent="0.3">
      <c r="A2806" s="6">
        <v>47804</v>
      </c>
      <c r="B2806" s="5" t="s">
        <v>234</v>
      </c>
      <c r="C2806" s="5" t="s">
        <v>231</v>
      </c>
      <c r="D2806" s="2">
        <f t="shared" si="154"/>
        <v>2015</v>
      </c>
      <c r="E2806" s="2">
        <f t="shared" si="155"/>
        <v>10</v>
      </c>
      <c r="F2806" s="3" t="s">
        <v>180</v>
      </c>
      <c r="G2806" s="7">
        <v>42291</v>
      </c>
      <c r="H2806" s="6">
        <v>6594980</v>
      </c>
      <c r="I2806" s="6">
        <v>1622960</v>
      </c>
      <c r="J2806" s="5" t="s">
        <v>192</v>
      </c>
      <c r="K2806" s="1"/>
      <c r="L2806" s="1" t="str">
        <f t="shared" si="156"/>
        <v xml:space="preserve">Väsjön </v>
      </c>
      <c r="M2806" s="5" t="s">
        <v>211</v>
      </c>
      <c r="N2806" s="6">
        <v>1</v>
      </c>
      <c r="O2806" s="6">
        <v>1</v>
      </c>
      <c r="Q2806" s="6">
        <v>8.5</v>
      </c>
      <c r="R2806" s="6">
        <v>8.4</v>
      </c>
      <c r="S2806" s="6">
        <v>70</v>
      </c>
    </row>
    <row r="2807" spans="1:91" x14ac:dyDescent="0.3">
      <c r="A2807" s="6">
        <v>47805</v>
      </c>
      <c r="B2807" s="5" t="s">
        <v>234</v>
      </c>
      <c r="C2807" s="5" t="s">
        <v>231</v>
      </c>
      <c r="D2807" s="2">
        <f t="shared" si="154"/>
        <v>2015</v>
      </c>
      <c r="E2807" s="2">
        <f t="shared" si="155"/>
        <v>10</v>
      </c>
      <c r="F2807" s="3" t="s">
        <v>180</v>
      </c>
      <c r="G2807" s="7">
        <v>42291</v>
      </c>
      <c r="H2807" s="6">
        <v>6594980</v>
      </c>
      <c r="I2807" s="6">
        <v>1622960</v>
      </c>
      <c r="J2807" s="5" t="s">
        <v>192</v>
      </c>
      <c r="K2807" s="1"/>
      <c r="L2807" s="1" t="str">
        <f t="shared" si="156"/>
        <v xml:space="preserve">Väsjön </v>
      </c>
      <c r="M2807" s="5" t="s">
        <v>212</v>
      </c>
      <c r="N2807" s="6">
        <v>2</v>
      </c>
      <c r="O2807" s="6">
        <v>2</v>
      </c>
      <c r="Q2807" s="6">
        <v>8.5</v>
      </c>
      <c r="R2807" s="6">
        <v>8.3000000000000007</v>
      </c>
      <c r="S2807" s="6">
        <v>70</v>
      </c>
    </row>
    <row r="2808" spans="1:91" x14ac:dyDescent="0.3">
      <c r="A2808" s="6">
        <v>47806</v>
      </c>
      <c r="B2808" s="5" t="s">
        <v>234</v>
      </c>
      <c r="C2808" s="5" t="s">
        <v>231</v>
      </c>
      <c r="D2808" s="2">
        <f t="shared" si="154"/>
        <v>2015</v>
      </c>
      <c r="E2808" s="2">
        <f t="shared" si="155"/>
        <v>10</v>
      </c>
      <c r="F2808" s="3" t="s">
        <v>180</v>
      </c>
      <c r="G2808" s="7">
        <v>42291</v>
      </c>
      <c r="H2808" s="6">
        <v>6594980</v>
      </c>
      <c r="I2808" s="6">
        <v>1622960</v>
      </c>
      <c r="J2808" s="5" t="s">
        <v>192</v>
      </c>
      <c r="K2808" s="1"/>
      <c r="L2808" s="1" t="str">
        <f t="shared" si="156"/>
        <v xml:space="preserve">Väsjön </v>
      </c>
      <c r="M2808" s="1" t="s">
        <v>184</v>
      </c>
      <c r="N2808" s="6">
        <v>2.6</v>
      </c>
      <c r="O2808" s="6">
        <v>2.6</v>
      </c>
      <c r="Q2808" s="6">
        <v>8.4</v>
      </c>
      <c r="R2808" s="6">
        <v>8.3000000000000007</v>
      </c>
      <c r="S2808" s="6">
        <v>69</v>
      </c>
    </row>
    <row r="2809" spans="1:91" x14ac:dyDescent="0.3">
      <c r="A2809" s="6">
        <v>47807</v>
      </c>
      <c r="B2809" s="5" t="s">
        <v>234</v>
      </c>
      <c r="C2809" s="5" t="s">
        <v>231</v>
      </c>
      <c r="D2809" s="2">
        <f t="shared" si="154"/>
        <v>2015</v>
      </c>
      <c r="E2809" s="2">
        <f t="shared" si="155"/>
        <v>10</v>
      </c>
      <c r="F2809" s="3" t="s">
        <v>180</v>
      </c>
      <c r="G2809" s="7">
        <v>42291</v>
      </c>
      <c r="H2809" s="6">
        <v>6599695</v>
      </c>
      <c r="I2809" s="6">
        <v>1617290</v>
      </c>
      <c r="J2809" s="5" t="s">
        <v>182</v>
      </c>
      <c r="K2809" s="1"/>
      <c r="L2809" s="1" t="str">
        <f t="shared" si="156"/>
        <v xml:space="preserve">Edssjön </v>
      </c>
      <c r="M2809" s="1" t="s">
        <v>177</v>
      </c>
      <c r="N2809" s="6">
        <v>0.5</v>
      </c>
      <c r="O2809" s="6">
        <v>0.5</v>
      </c>
      <c r="P2809" s="6">
        <v>2.8</v>
      </c>
      <c r="Q2809" s="6">
        <v>9.5</v>
      </c>
      <c r="R2809" s="6">
        <v>8.1</v>
      </c>
      <c r="S2809" s="6">
        <v>70</v>
      </c>
      <c r="V2809" s="6">
        <v>2.6459338583000003</v>
      </c>
      <c r="W2809" s="6">
        <v>88.590100000000007</v>
      </c>
      <c r="X2809" s="1">
        <f>W2809 * (1/((10^((0.0901821 + (2729.92 /(273.15 + Q2809)))-AE2809)+1)))</f>
        <v>1.1306272032043392</v>
      </c>
      <c r="Y2809" s="6">
        <v>7.0000000000000007E-2</v>
      </c>
      <c r="Z2809" s="6">
        <v>61.28</v>
      </c>
      <c r="AA2809" s="6">
        <v>2.6</v>
      </c>
      <c r="AD2809" s="6">
        <v>105.89</v>
      </c>
      <c r="AE2809" s="6">
        <v>7.86</v>
      </c>
      <c r="AK2809" s="6">
        <v>88.94</v>
      </c>
      <c r="AL2809" s="6">
        <v>1000.43</v>
      </c>
      <c r="AM2809" s="6"/>
      <c r="AN2809" s="6"/>
      <c r="AO2809" s="6"/>
      <c r="AP2809" s="6"/>
      <c r="AQ2809" s="6"/>
    </row>
    <row r="2810" spans="1:91" x14ac:dyDescent="0.3">
      <c r="A2810" s="6">
        <v>47808</v>
      </c>
      <c r="B2810" s="5" t="s">
        <v>234</v>
      </c>
      <c r="C2810" s="5" t="s">
        <v>231</v>
      </c>
      <c r="D2810" s="2">
        <f t="shared" si="154"/>
        <v>2015</v>
      </c>
      <c r="E2810" s="2">
        <f t="shared" si="155"/>
        <v>10</v>
      </c>
      <c r="F2810" s="3" t="s">
        <v>180</v>
      </c>
      <c r="G2810" s="7">
        <v>42291</v>
      </c>
      <c r="H2810" s="6">
        <v>6599695</v>
      </c>
      <c r="I2810" s="6">
        <v>1617290</v>
      </c>
      <c r="J2810" s="5" t="s">
        <v>182</v>
      </c>
      <c r="K2810" s="1"/>
      <c r="L2810" s="1" t="str">
        <f t="shared" si="156"/>
        <v xml:space="preserve">Edssjön </v>
      </c>
      <c r="M2810" s="5" t="s">
        <v>211</v>
      </c>
      <c r="N2810" s="6">
        <v>1</v>
      </c>
      <c r="O2810" s="6">
        <v>1</v>
      </c>
      <c r="Q2810" s="6">
        <v>9.5</v>
      </c>
      <c r="R2810" s="6">
        <v>8.1</v>
      </c>
      <c r="S2810" s="6">
        <v>70</v>
      </c>
    </row>
    <row r="2811" spans="1:91" x14ac:dyDescent="0.3">
      <c r="A2811" s="6">
        <v>47809</v>
      </c>
      <c r="B2811" s="5" t="s">
        <v>234</v>
      </c>
      <c r="C2811" s="5" t="s">
        <v>231</v>
      </c>
      <c r="D2811" s="2">
        <f t="shared" si="154"/>
        <v>2015</v>
      </c>
      <c r="E2811" s="2">
        <f t="shared" si="155"/>
        <v>10</v>
      </c>
      <c r="F2811" s="3" t="s">
        <v>180</v>
      </c>
      <c r="G2811" s="7">
        <v>42291</v>
      </c>
      <c r="H2811" s="6">
        <v>6599695</v>
      </c>
      <c r="I2811" s="6">
        <v>1617290</v>
      </c>
      <c r="J2811" s="5" t="s">
        <v>182</v>
      </c>
      <c r="K2811" s="1"/>
      <c r="L2811" s="1" t="str">
        <f t="shared" si="156"/>
        <v xml:space="preserve">Edssjön </v>
      </c>
      <c r="M2811" s="5" t="s">
        <v>212</v>
      </c>
      <c r="N2811" s="6">
        <v>2</v>
      </c>
      <c r="O2811" s="6">
        <v>2</v>
      </c>
      <c r="Q2811" s="6">
        <v>9.5</v>
      </c>
      <c r="R2811" s="6">
        <v>8.1</v>
      </c>
      <c r="S2811" s="6">
        <v>70</v>
      </c>
    </row>
    <row r="2812" spans="1:91" x14ac:dyDescent="0.3">
      <c r="A2812" s="6">
        <v>47810</v>
      </c>
      <c r="B2812" s="5" t="s">
        <v>234</v>
      </c>
      <c r="C2812" s="5" t="s">
        <v>231</v>
      </c>
      <c r="D2812" s="2">
        <f t="shared" si="154"/>
        <v>2015</v>
      </c>
      <c r="E2812" s="2">
        <f t="shared" si="155"/>
        <v>10</v>
      </c>
      <c r="F2812" s="3" t="s">
        <v>180</v>
      </c>
      <c r="G2812" s="7">
        <v>42291</v>
      </c>
      <c r="H2812" s="6">
        <v>6599695</v>
      </c>
      <c r="I2812" s="6">
        <v>1617290</v>
      </c>
      <c r="J2812" s="5" t="s">
        <v>182</v>
      </c>
      <c r="K2812" s="1"/>
      <c r="L2812" s="1" t="str">
        <f t="shared" si="156"/>
        <v xml:space="preserve">Edssjön </v>
      </c>
      <c r="M2812" s="5" t="s">
        <v>213</v>
      </c>
      <c r="N2812" s="6">
        <v>3</v>
      </c>
      <c r="O2812" s="6">
        <v>3</v>
      </c>
      <c r="Q2812" s="6">
        <v>9.5</v>
      </c>
      <c r="R2812" s="6">
        <v>8.1</v>
      </c>
      <c r="S2812" s="6">
        <v>70</v>
      </c>
    </row>
    <row r="2813" spans="1:91" x14ac:dyDescent="0.3">
      <c r="A2813" s="6">
        <v>47811</v>
      </c>
      <c r="B2813" s="5" t="s">
        <v>234</v>
      </c>
      <c r="C2813" s="5" t="s">
        <v>231</v>
      </c>
      <c r="D2813" s="2">
        <f t="shared" si="154"/>
        <v>2015</v>
      </c>
      <c r="E2813" s="2">
        <f t="shared" si="155"/>
        <v>10</v>
      </c>
      <c r="F2813" s="3" t="s">
        <v>180</v>
      </c>
      <c r="G2813" s="7">
        <v>42291</v>
      </c>
      <c r="H2813" s="6">
        <v>6599695</v>
      </c>
      <c r="I2813" s="6">
        <v>1617290</v>
      </c>
      <c r="J2813" s="5" t="s">
        <v>182</v>
      </c>
      <c r="K2813" s="1"/>
      <c r="L2813" s="1" t="str">
        <f t="shared" si="156"/>
        <v xml:space="preserve">Edssjön </v>
      </c>
      <c r="M2813" s="5" t="s">
        <v>214</v>
      </c>
      <c r="N2813" s="6">
        <v>4</v>
      </c>
      <c r="O2813" s="6">
        <v>4</v>
      </c>
      <c r="Q2813" s="6">
        <v>9.5</v>
      </c>
      <c r="R2813" s="6">
        <v>7.6</v>
      </c>
      <c r="S2813" s="6">
        <v>65</v>
      </c>
    </row>
    <row r="2814" spans="1:91" x14ac:dyDescent="0.3">
      <c r="A2814" s="6">
        <v>47812</v>
      </c>
      <c r="B2814" s="5" t="s">
        <v>234</v>
      </c>
      <c r="C2814" s="5" t="s">
        <v>231</v>
      </c>
      <c r="D2814" s="2">
        <f t="shared" si="154"/>
        <v>2015</v>
      </c>
      <c r="E2814" s="2">
        <f t="shared" si="155"/>
        <v>10</v>
      </c>
      <c r="F2814" s="3" t="s">
        <v>180</v>
      </c>
      <c r="G2814" s="7">
        <v>42291</v>
      </c>
      <c r="H2814" s="6">
        <v>6599695</v>
      </c>
      <c r="I2814" s="6">
        <v>1617290</v>
      </c>
      <c r="J2814" s="5" t="s">
        <v>182</v>
      </c>
      <c r="K2814" s="1"/>
      <c r="L2814" s="1" t="str">
        <f t="shared" si="156"/>
        <v xml:space="preserve">Edssjön </v>
      </c>
      <c r="M2814" s="1" t="s">
        <v>184</v>
      </c>
      <c r="N2814" s="6">
        <v>5</v>
      </c>
      <c r="O2814" s="6">
        <v>5</v>
      </c>
      <c r="P2814" s="6"/>
      <c r="Q2814" s="6">
        <v>7.6</v>
      </c>
      <c r="R2814" s="6">
        <v>6.6</v>
      </c>
      <c r="S2814" s="6">
        <v>56</v>
      </c>
    </row>
    <row r="2815" spans="1:91" x14ac:dyDescent="0.3">
      <c r="A2815" s="6">
        <v>47813</v>
      </c>
      <c r="B2815" s="5" t="s">
        <v>234</v>
      </c>
      <c r="C2815" s="5" t="s">
        <v>231</v>
      </c>
      <c r="D2815" s="2">
        <f t="shared" si="154"/>
        <v>2015</v>
      </c>
      <c r="E2815" s="2">
        <f t="shared" si="155"/>
        <v>10</v>
      </c>
      <c r="F2815" s="3" t="s">
        <v>180</v>
      </c>
      <c r="G2815" s="7">
        <v>42291</v>
      </c>
      <c r="H2815" s="6">
        <v>6593820</v>
      </c>
      <c r="I2815" s="6">
        <v>1619360</v>
      </c>
      <c r="J2815" s="5" t="s">
        <v>188</v>
      </c>
      <c r="K2815" s="1"/>
      <c r="L2815" s="1" t="str">
        <f t="shared" si="156"/>
        <v xml:space="preserve">Ravalen </v>
      </c>
      <c r="M2815" s="1" t="s">
        <v>177</v>
      </c>
      <c r="N2815" s="6">
        <v>0.5</v>
      </c>
      <c r="O2815" s="6">
        <v>0.5</v>
      </c>
      <c r="P2815" s="6">
        <v>1.5</v>
      </c>
      <c r="Q2815" s="6">
        <v>7.6</v>
      </c>
      <c r="R2815" s="6">
        <v>11.9</v>
      </c>
      <c r="S2815" s="6">
        <v>97</v>
      </c>
      <c r="V2815" s="6">
        <v>2.7038740157999999</v>
      </c>
      <c r="W2815" s="6">
        <v>2.8573</v>
      </c>
      <c r="X2815" s="1">
        <f>W2815 * (1/((10^((0.0901821 + (2729.92 /(273.15 + Q2815)))-AE2815)+1)))</f>
        <v>6.202596726794269E-2</v>
      </c>
      <c r="Y2815" s="6">
        <v>0.09</v>
      </c>
      <c r="Z2815" s="6">
        <v>2.61</v>
      </c>
      <c r="AA2815" s="6">
        <v>1.34</v>
      </c>
      <c r="AD2815" s="6">
        <v>0</v>
      </c>
      <c r="AE2815" s="6">
        <v>8.16</v>
      </c>
      <c r="AK2815" s="6">
        <v>51.1</v>
      </c>
      <c r="AL2815" s="6">
        <v>1070.17</v>
      </c>
      <c r="AM2815" s="6"/>
      <c r="AN2815" s="6"/>
      <c r="AO2815" s="6"/>
      <c r="AP2815" s="6"/>
      <c r="AQ2815" s="6"/>
    </row>
    <row r="2816" spans="1:91" x14ac:dyDescent="0.3">
      <c r="A2816" s="6">
        <v>47814</v>
      </c>
      <c r="B2816" s="5" t="s">
        <v>234</v>
      </c>
      <c r="C2816" s="5" t="s">
        <v>231</v>
      </c>
      <c r="D2816" s="2">
        <f t="shared" si="154"/>
        <v>2015</v>
      </c>
      <c r="E2816" s="2">
        <f t="shared" si="155"/>
        <v>10</v>
      </c>
      <c r="F2816" s="3" t="s">
        <v>180</v>
      </c>
      <c r="G2816" s="7">
        <v>42291</v>
      </c>
      <c r="H2816" s="6">
        <v>6593820</v>
      </c>
      <c r="I2816" s="6">
        <v>1619360</v>
      </c>
      <c r="J2816" s="5" t="s">
        <v>188</v>
      </c>
      <c r="K2816" s="1"/>
      <c r="L2816" s="1" t="str">
        <f t="shared" si="156"/>
        <v xml:space="preserve">Ravalen </v>
      </c>
      <c r="M2816" s="5" t="s">
        <v>211</v>
      </c>
      <c r="N2816" s="6">
        <v>1</v>
      </c>
      <c r="O2816" s="6">
        <v>1</v>
      </c>
      <c r="Q2816" s="6">
        <v>7.6</v>
      </c>
      <c r="R2816" s="6">
        <v>11.8</v>
      </c>
      <c r="S2816" s="6">
        <v>97</v>
      </c>
    </row>
    <row r="2817" spans="1:43" x14ac:dyDescent="0.3">
      <c r="A2817" s="6">
        <v>47815</v>
      </c>
      <c r="B2817" s="5" t="s">
        <v>234</v>
      </c>
      <c r="C2817" s="5" t="s">
        <v>231</v>
      </c>
      <c r="D2817" s="2">
        <f t="shared" si="154"/>
        <v>2015</v>
      </c>
      <c r="E2817" s="2">
        <f t="shared" si="155"/>
        <v>10</v>
      </c>
      <c r="F2817" s="3" t="s">
        <v>180</v>
      </c>
      <c r="G2817" s="7">
        <v>42291</v>
      </c>
      <c r="H2817" s="6">
        <v>6593820</v>
      </c>
      <c r="I2817" s="6">
        <v>1619360</v>
      </c>
      <c r="J2817" s="5" t="s">
        <v>188</v>
      </c>
      <c r="K2817" s="1"/>
      <c r="L2817" s="1" t="str">
        <f t="shared" si="156"/>
        <v xml:space="preserve">Ravalen </v>
      </c>
      <c r="M2817" s="1" t="s">
        <v>184</v>
      </c>
      <c r="N2817" s="6">
        <v>1.5</v>
      </c>
      <c r="O2817" s="6">
        <v>1.5</v>
      </c>
      <c r="Q2817" s="6">
        <v>9.3000000000000007</v>
      </c>
      <c r="R2817" s="6">
        <v>11.7</v>
      </c>
      <c r="S2817" s="6">
        <v>96</v>
      </c>
    </row>
    <row r="2818" spans="1:43" x14ac:dyDescent="0.3">
      <c r="A2818" s="6">
        <v>47816</v>
      </c>
      <c r="B2818" s="5" t="s">
        <v>234</v>
      </c>
      <c r="C2818" s="5" t="s">
        <v>231</v>
      </c>
      <c r="D2818" s="2">
        <f t="shared" ref="D2818:D2881" si="157">YEAR(G2818)</f>
        <v>2015</v>
      </c>
      <c r="E2818" s="2">
        <f t="shared" ref="E2818:E2881" si="158">MONTH(G2818)</f>
        <v>10</v>
      </c>
      <c r="F2818" s="3" t="s">
        <v>180</v>
      </c>
      <c r="G2818" s="7">
        <v>42291</v>
      </c>
      <c r="H2818" s="6">
        <v>6594420</v>
      </c>
      <c r="I2818" s="6">
        <v>1615795</v>
      </c>
      <c r="J2818" s="5" t="s">
        <v>193</v>
      </c>
      <c r="K2818" s="1"/>
      <c r="L2818" s="1" t="str">
        <f t="shared" ref="L2818:L2881" si="159">CONCATENATE(J2818," ",K2818)</f>
        <v xml:space="preserve">Översjön </v>
      </c>
      <c r="M2818" s="1" t="s">
        <v>177</v>
      </c>
      <c r="N2818" s="6">
        <v>0.5</v>
      </c>
      <c r="O2818" s="6">
        <v>0.5</v>
      </c>
      <c r="P2818" s="6">
        <v>3.4</v>
      </c>
      <c r="Q2818" s="6">
        <v>9.3000000000000007</v>
      </c>
      <c r="R2818" s="6">
        <v>7.8</v>
      </c>
      <c r="S2818" s="6">
        <v>67</v>
      </c>
      <c r="V2818" s="6">
        <v>1.8154582677</v>
      </c>
      <c r="W2818" s="6">
        <v>28.425999999999998</v>
      </c>
      <c r="X2818" s="1">
        <f>W2818 * (1/((10^((0.0901821 + (2729.92 /(273.15 + Q2818)))-AE2818)+1)))</f>
        <v>0.237002678927308</v>
      </c>
      <c r="Y2818" s="6">
        <v>6.7000000000000004E-2</v>
      </c>
      <c r="Z2818" s="6">
        <v>0.48</v>
      </c>
      <c r="AA2818" s="6">
        <v>1.6</v>
      </c>
      <c r="AD2818" s="6">
        <v>1.34</v>
      </c>
      <c r="AE2818" s="6">
        <v>7.68</v>
      </c>
      <c r="AK2818" s="6">
        <v>24.92</v>
      </c>
      <c r="AL2818" s="6">
        <v>907.49</v>
      </c>
      <c r="AM2818" s="6"/>
      <c r="AN2818" s="6"/>
      <c r="AO2818" s="6"/>
      <c r="AP2818" s="6"/>
      <c r="AQ2818" s="6"/>
    </row>
    <row r="2819" spans="1:43" x14ac:dyDescent="0.3">
      <c r="A2819" s="6">
        <v>47817</v>
      </c>
      <c r="B2819" s="5" t="s">
        <v>234</v>
      </c>
      <c r="C2819" s="5" t="s">
        <v>231</v>
      </c>
      <c r="D2819" s="2">
        <f t="shared" si="157"/>
        <v>2015</v>
      </c>
      <c r="E2819" s="2">
        <f t="shared" si="158"/>
        <v>10</v>
      </c>
      <c r="F2819" s="3" t="s">
        <v>180</v>
      </c>
      <c r="G2819" s="7">
        <v>42291</v>
      </c>
      <c r="H2819" s="6">
        <v>6594420</v>
      </c>
      <c r="I2819" s="6">
        <v>1615795</v>
      </c>
      <c r="J2819" s="5" t="s">
        <v>193</v>
      </c>
      <c r="K2819" s="1"/>
      <c r="L2819" s="1" t="str">
        <f t="shared" si="159"/>
        <v xml:space="preserve">Översjön </v>
      </c>
      <c r="M2819" s="5" t="s">
        <v>211</v>
      </c>
      <c r="N2819" s="6">
        <v>1</v>
      </c>
      <c r="O2819" s="6">
        <v>1</v>
      </c>
      <c r="Q2819" s="6">
        <v>9.3000000000000007</v>
      </c>
      <c r="R2819" s="6">
        <v>7.8</v>
      </c>
      <c r="S2819" s="6">
        <v>67</v>
      </c>
    </row>
    <row r="2820" spans="1:43" x14ac:dyDescent="0.3">
      <c r="A2820" s="6">
        <v>47818</v>
      </c>
      <c r="B2820" s="5" t="s">
        <v>234</v>
      </c>
      <c r="C2820" s="5" t="s">
        <v>231</v>
      </c>
      <c r="D2820" s="2">
        <f t="shared" si="157"/>
        <v>2015</v>
      </c>
      <c r="E2820" s="2">
        <f t="shared" si="158"/>
        <v>10</v>
      </c>
      <c r="F2820" s="3" t="s">
        <v>180</v>
      </c>
      <c r="G2820" s="7">
        <v>42291</v>
      </c>
      <c r="H2820" s="6">
        <v>6594420</v>
      </c>
      <c r="I2820" s="6">
        <v>1615795</v>
      </c>
      <c r="J2820" s="5" t="s">
        <v>193</v>
      </c>
      <c r="K2820" s="1"/>
      <c r="L2820" s="1" t="str">
        <f t="shared" si="159"/>
        <v xml:space="preserve">Översjön </v>
      </c>
      <c r="M2820" s="5" t="s">
        <v>212</v>
      </c>
      <c r="N2820" s="6">
        <v>2</v>
      </c>
      <c r="O2820" s="6">
        <v>2</v>
      </c>
      <c r="Q2820" s="6">
        <v>9.3000000000000007</v>
      </c>
      <c r="R2820" s="6">
        <v>7.8</v>
      </c>
      <c r="S2820" s="6">
        <v>67</v>
      </c>
    </row>
    <row r="2821" spans="1:43" x14ac:dyDescent="0.3">
      <c r="A2821" s="6">
        <v>47819</v>
      </c>
      <c r="B2821" s="5" t="s">
        <v>234</v>
      </c>
      <c r="C2821" s="5" t="s">
        <v>231</v>
      </c>
      <c r="D2821" s="2">
        <f t="shared" si="157"/>
        <v>2015</v>
      </c>
      <c r="E2821" s="2">
        <f t="shared" si="158"/>
        <v>10</v>
      </c>
      <c r="F2821" s="3" t="s">
        <v>180</v>
      </c>
      <c r="G2821" s="7">
        <v>42291</v>
      </c>
      <c r="H2821" s="6">
        <v>6594420</v>
      </c>
      <c r="I2821" s="6">
        <v>1615795</v>
      </c>
      <c r="J2821" s="5" t="s">
        <v>193</v>
      </c>
      <c r="K2821" s="1"/>
      <c r="L2821" s="1" t="str">
        <f t="shared" si="159"/>
        <v xml:space="preserve">Översjön </v>
      </c>
      <c r="M2821" s="5" t="s">
        <v>213</v>
      </c>
      <c r="N2821" s="6">
        <v>3</v>
      </c>
      <c r="O2821" s="6">
        <v>3</v>
      </c>
      <c r="Q2821" s="6">
        <v>9.3000000000000007</v>
      </c>
      <c r="R2821" s="6">
        <v>7.8</v>
      </c>
      <c r="S2821" s="6">
        <v>67</v>
      </c>
    </row>
    <row r="2822" spans="1:43" x14ac:dyDescent="0.3">
      <c r="A2822" s="6">
        <v>47820</v>
      </c>
      <c r="B2822" s="5" t="s">
        <v>234</v>
      </c>
      <c r="C2822" s="5" t="s">
        <v>231</v>
      </c>
      <c r="D2822" s="2">
        <f t="shared" si="157"/>
        <v>2015</v>
      </c>
      <c r="E2822" s="2">
        <f t="shared" si="158"/>
        <v>10</v>
      </c>
      <c r="F2822" s="3" t="s">
        <v>180</v>
      </c>
      <c r="G2822" s="7">
        <v>42291</v>
      </c>
      <c r="H2822" s="6">
        <v>6594420</v>
      </c>
      <c r="I2822" s="6">
        <v>1615795</v>
      </c>
      <c r="J2822" s="5" t="s">
        <v>193</v>
      </c>
      <c r="K2822" s="1"/>
      <c r="L2822" s="1" t="str">
        <f t="shared" si="159"/>
        <v xml:space="preserve">Översjön </v>
      </c>
      <c r="M2822" s="1" t="s">
        <v>184</v>
      </c>
      <c r="N2822" s="6">
        <v>3.8</v>
      </c>
      <c r="O2822" s="6">
        <v>3.8</v>
      </c>
      <c r="Q2822" s="6">
        <v>9.3000000000000007</v>
      </c>
      <c r="R2822" s="6">
        <v>7.8</v>
      </c>
      <c r="S2822" s="6">
        <v>67</v>
      </c>
    </row>
    <row r="2823" spans="1:43" x14ac:dyDescent="0.3">
      <c r="A2823" s="6">
        <v>47821</v>
      </c>
      <c r="B2823" s="5" t="s">
        <v>234</v>
      </c>
      <c r="C2823" s="5" t="s">
        <v>231</v>
      </c>
      <c r="D2823" s="2">
        <f t="shared" si="157"/>
        <v>2015</v>
      </c>
      <c r="E2823" s="2">
        <f t="shared" si="158"/>
        <v>10</v>
      </c>
      <c r="F2823" s="3" t="s">
        <v>180</v>
      </c>
      <c r="G2823" s="7">
        <v>42291</v>
      </c>
      <c r="H2823" s="6">
        <v>6606035</v>
      </c>
      <c r="I2823" s="6">
        <v>1615620</v>
      </c>
      <c r="J2823" s="5" t="s">
        <v>187</v>
      </c>
      <c r="K2823" s="1"/>
      <c r="L2823" s="1" t="str">
        <f t="shared" si="159"/>
        <v xml:space="preserve">Oxundasjön </v>
      </c>
      <c r="M2823" s="1" t="s">
        <v>177</v>
      </c>
      <c r="N2823" s="6">
        <v>0.5</v>
      </c>
      <c r="O2823" s="6">
        <v>0.5</v>
      </c>
      <c r="P2823" s="6">
        <v>3.5</v>
      </c>
      <c r="Q2823" s="6">
        <v>9.9</v>
      </c>
      <c r="R2823" s="6">
        <v>8.6</v>
      </c>
      <c r="S2823" s="6">
        <v>75</v>
      </c>
      <c r="V2823" s="6">
        <v>2.4141732284000001</v>
      </c>
      <c r="W2823" s="6">
        <v>37.583599999999997</v>
      </c>
      <c r="X2823" s="1">
        <f>W2823 * (1/((10^((0.0901821 + (2729.92 /(273.15 + Q2823)))-AE2823)+1)))</f>
        <v>0.48365396972282454</v>
      </c>
      <c r="Y2823" s="6">
        <v>7.0999999999999994E-2</v>
      </c>
      <c r="Z2823" s="6">
        <v>22.07</v>
      </c>
      <c r="AA2823" s="6">
        <v>2</v>
      </c>
      <c r="AD2823" s="6">
        <v>37.200000000000003</v>
      </c>
      <c r="AE2823" s="6">
        <v>7.85</v>
      </c>
      <c r="AK2823" s="6">
        <v>49.45</v>
      </c>
      <c r="AL2823" s="6">
        <v>779.6</v>
      </c>
      <c r="AM2823" s="6"/>
      <c r="AN2823" s="6"/>
      <c r="AO2823" s="6"/>
      <c r="AP2823" s="6"/>
      <c r="AQ2823" s="6"/>
    </row>
    <row r="2824" spans="1:43" x14ac:dyDescent="0.3">
      <c r="A2824" s="6">
        <v>47822</v>
      </c>
      <c r="B2824" s="5" t="s">
        <v>234</v>
      </c>
      <c r="C2824" s="5" t="s">
        <v>231</v>
      </c>
      <c r="D2824" s="2">
        <f t="shared" si="157"/>
        <v>2015</v>
      </c>
      <c r="E2824" s="2">
        <f t="shared" si="158"/>
        <v>10</v>
      </c>
      <c r="F2824" s="3" t="s">
        <v>180</v>
      </c>
      <c r="G2824" s="7">
        <v>42291</v>
      </c>
      <c r="H2824" s="6">
        <v>6606035</v>
      </c>
      <c r="I2824" s="6">
        <v>1615620</v>
      </c>
      <c r="J2824" s="5" t="s">
        <v>187</v>
      </c>
      <c r="K2824" s="1"/>
      <c r="L2824" s="1" t="str">
        <f t="shared" si="159"/>
        <v xml:space="preserve">Oxundasjön </v>
      </c>
      <c r="M2824" s="5" t="s">
        <v>211</v>
      </c>
      <c r="N2824" s="6">
        <v>1</v>
      </c>
      <c r="O2824" s="6">
        <v>1</v>
      </c>
      <c r="Q2824" s="6">
        <v>9.9</v>
      </c>
      <c r="R2824" s="6">
        <v>8.6</v>
      </c>
      <c r="S2824" s="6">
        <v>75</v>
      </c>
    </row>
    <row r="2825" spans="1:43" x14ac:dyDescent="0.3">
      <c r="A2825" s="6">
        <v>47823</v>
      </c>
      <c r="B2825" s="5" t="s">
        <v>234</v>
      </c>
      <c r="C2825" s="5" t="s">
        <v>231</v>
      </c>
      <c r="D2825" s="2">
        <f t="shared" si="157"/>
        <v>2015</v>
      </c>
      <c r="E2825" s="2">
        <f t="shared" si="158"/>
        <v>10</v>
      </c>
      <c r="F2825" s="3" t="s">
        <v>180</v>
      </c>
      <c r="G2825" s="7">
        <v>42291</v>
      </c>
      <c r="H2825" s="6">
        <v>6606035</v>
      </c>
      <c r="I2825" s="6">
        <v>1615620</v>
      </c>
      <c r="J2825" s="5" t="s">
        <v>187</v>
      </c>
      <c r="K2825" s="1"/>
      <c r="L2825" s="1" t="str">
        <f t="shared" si="159"/>
        <v xml:space="preserve">Oxundasjön </v>
      </c>
      <c r="M2825" s="5" t="s">
        <v>212</v>
      </c>
      <c r="N2825" s="6">
        <v>2</v>
      </c>
      <c r="O2825" s="6">
        <v>2</v>
      </c>
      <c r="Q2825" s="6">
        <v>9.9</v>
      </c>
      <c r="R2825" s="6">
        <v>8.6</v>
      </c>
      <c r="S2825" s="6">
        <v>75</v>
      </c>
    </row>
    <row r="2826" spans="1:43" x14ac:dyDescent="0.3">
      <c r="A2826" s="6">
        <v>47824</v>
      </c>
      <c r="B2826" s="5" t="s">
        <v>234</v>
      </c>
      <c r="C2826" s="5" t="s">
        <v>231</v>
      </c>
      <c r="D2826" s="2">
        <f t="shared" si="157"/>
        <v>2015</v>
      </c>
      <c r="E2826" s="2">
        <f t="shared" si="158"/>
        <v>10</v>
      </c>
      <c r="F2826" s="3" t="s">
        <v>180</v>
      </c>
      <c r="G2826" s="7">
        <v>42291</v>
      </c>
      <c r="H2826" s="6">
        <v>6606035</v>
      </c>
      <c r="I2826" s="6">
        <v>1615620</v>
      </c>
      <c r="J2826" s="5" t="s">
        <v>187</v>
      </c>
      <c r="K2826" s="1"/>
      <c r="L2826" s="1" t="str">
        <f t="shared" si="159"/>
        <v xml:space="preserve">Oxundasjön </v>
      </c>
      <c r="M2826" s="5" t="s">
        <v>213</v>
      </c>
      <c r="N2826" s="6">
        <v>3</v>
      </c>
      <c r="O2826" s="6">
        <v>3</v>
      </c>
      <c r="Q2826" s="6">
        <v>9.9</v>
      </c>
      <c r="R2826" s="6">
        <v>8.6</v>
      </c>
      <c r="S2826" s="6">
        <v>75</v>
      </c>
    </row>
    <row r="2827" spans="1:43" x14ac:dyDescent="0.3">
      <c r="A2827" s="6">
        <v>47825</v>
      </c>
      <c r="B2827" s="5" t="s">
        <v>234</v>
      </c>
      <c r="C2827" s="5" t="s">
        <v>231</v>
      </c>
      <c r="D2827" s="2">
        <f t="shared" si="157"/>
        <v>2015</v>
      </c>
      <c r="E2827" s="2">
        <f t="shared" si="158"/>
        <v>10</v>
      </c>
      <c r="F2827" s="3" t="s">
        <v>180</v>
      </c>
      <c r="G2827" s="7">
        <v>42291</v>
      </c>
      <c r="H2827" s="6">
        <v>6606035</v>
      </c>
      <c r="I2827" s="6">
        <v>1615620</v>
      </c>
      <c r="J2827" s="5" t="s">
        <v>187</v>
      </c>
      <c r="K2827" s="1"/>
      <c r="L2827" s="1" t="str">
        <f t="shared" si="159"/>
        <v xml:space="preserve">Oxundasjön </v>
      </c>
      <c r="M2827" s="5" t="s">
        <v>214</v>
      </c>
      <c r="N2827" s="6">
        <v>4</v>
      </c>
      <c r="O2827" s="6">
        <v>4</v>
      </c>
      <c r="Q2827" s="6">
        <v>9.8000000000000007</v>
      </c>
      <c r="R2827" s="6">
        <v>8.6</v>
      </c>
      <c r="S2827" s="6">
        <v>75</v>
      </c>
    </row>
    <row r="2828" spans="1:43" x14ac:dyDescent="0.3">
      <c r="A2828" s="6">
        <v>47826</v>
      </c>
      <c r="B2828" s="5" t="s">
        <v>234</v>
      </c>
      <c r="C2828" s="5" t="s">
        <v>231</v>
      </c>
      <c r="D2828" s="2">
        <f t="shared" si="157"/>
        <v>2015</v>
      </c>
      <c r="E2828" s="2">
        <f t="shared" si="158"/>
        <v>10</v>
      </c>
      <c r="F2828" s="3" t="s">
        <v>180</v>
      </c>
      <c r="G2828" s="7">
        <v>42291</v>
      </c>
      <c r="H2828" s="6">
        <v>6606035</v>
      </c>
      <c r="I2828" s="6">
        <v>1615620</v>
      </c>
      <c r="J2828" s="5" t="s">
        <v>187</v>
      </c>
      <c r="K2828" s="1"/>
      <c r="L2828" s="1" t="str">
        <f t="shared" si="159"/>
        <v xml:space="preserve">Oxundasjön </v>
      </c>
      <c r="M2828" s="5" t="s">
        <v>217</v>
      </c>
      <c r="N2828" s="6">
        <v>5</v>
      </c>
      <c r="O2828" s="6">
        <v>5</v>
      </c>
      <c r="Q2828" s="6">
        <v>9.3000000000000007</v>
      </c>
      <c r="R2828" s="6">
        <v>6.2</v>
      </c>
      <c r="S2828" s="6">
        <v>53</v>
      </c>
    </row>
    <row r="2829" spans="1:43" x14ac:dyDescent="0.3">
      <c r="A2829" s="6">
        <v>47827</v>
      </c>
      <c r="B2829" s="5" t="s">
        <v>234</v>
      </c>
      <c r="C2829" s="5" t="s">
        <v>231</v>
      </c>
      <c r="D2829" s="2">
        <f t="shared" si="157"/>
        <v>2015</v>
      </c>
      <c r="E2829" s="2">
        <f t="shared" si="158"/>
        <v>10</v>
      </c>
      <c r="F2829" s="3" t="s">
        <v>180</v>
      </c>
      <c r="G2829" s="7">
        <v>42291</v>
      </c>
      <c r="H2829" s="6">
        <v>6606035</v>
      </c>
      <c r="I2829" s="6">
        <v>1615620</v>
      </c>
      <c r="J2829" s="5" t="s">
        <v>187</v>
      </c>
      <c r="K2829" s="1"/>
      <c r="L2829" s="1" t="str">
        <f t="shared" si="159"/>
        <v xml:space="preserve">Oxundasjön </v>
      </c>
      <c r="M2829" s="1" t="s">
        <v>184</v>
      </c>
      <c r="N2829" s="6">
        <v>5.8</v>
      </c>
      <c r="O2829" s="6">
        <v>5.8</v>
      </c>
      <c r="Q2829" s="6">
        <v>9</v>
      </c>
      <c r="R2829" s="6">
        <v>6.2</v>
      </c>
      <c r="S2829" s="6">
        <v>53</v>
      </c>
    </row>
    <row r="2830" spans="1:43" x14ac:dyDescent="0.3">
      <c r="A2830" s="6">
        <v>47828</v>
      </c>
      <c r="B2830" s="5" t="s">
        <v>234</v>
      </c>
      <c r="C2830" s="5" t="s">
        <v>231</v>
      </c>
      <c r="D2830" s="2">
        <f t="shared" si="157"/>
        <v>2015</v>
      </c>
      <c r="E2830" s="2">
        <f t="shared" si="158"/>
        <v>10</v>
      </c>
      <c r="F2830" s="3" t="s">
        <v>180</v>
      </c>
      <c r="G2830" s="7">
        <v>42291</v>
      </c>
      <c r="H2830" s="6">
        <v>6597555</v>
      </c>
      <c r="I2830" s="6">
        <v>1629125</v>
      </c>
      <c r="J2830" s="5" t="s">
        <v>185</v>
      </c>
      <c r="K2830" s="1"/>
      <c r="L2830" s="1" t="str">
        <f t="shared" si="159"/>
        <v xml:space="preserve">Gullsjön </v>
      </c>
      <c r="M2830" s="1" t="s">
        <v>177</v>
      </c>
      <c r="N2830" s="6">
        <v>0.5</v>
      </c>
      <c r="O2830" s="6">
        <v>0.5</v>
      </c>
      <c r="P2830" s="6">
        <v>2</v>
      </c>
      <c r="Q2830" s="6">
        <v>7.9</v>
      </c>
      <c r="R2830" s="6">
        <v>6.5</v>
      </c>
      <c r="S2830" s="6">
        <v>54</v>
      </c>
      <c r="V2830" s="6">
        <v>1.5257574803</v>
      </c>
      <c r="W2830" s="6">
        <v>6.7389999999999999</v>
      </c>
      <c r="X2830" s="1">
        <f>W2830 * (1/((10^((0.0901821 + (2729.92 /(273.15 + Q2830)))-AE2830)+1)))</f>
        <v>2.3101096785204351E-2</v>
      </c>
      <c r="Y2830" s="6">
        <v>0.13900000000000001</v>
      </c>
      <c r="Z2830" s="6">
        <v>0.15</v>
      </c>
      <c r="AA2830" s="6">
        <v>1.02</v>
      </c>
      <c r="AD2830" s="6">
        <v>0.69</v>
      </c>
      <c r="AE2830" s="6">
        <v>7.34</v>
      </c>
      <c r="AK2830" s="6">
        <v>25.92</v>
      </c>
      <c r="AL2830" s="6">
        <v>775.75</v>
      </c>
      <c r="AM2830" s="6"/>
      <c r="AN2830" s="6"/>
      <c r="AO2830" s="6"/>
      <c r="AP2830" s="6"/>
      <c r="AQ2830" s="6"/>
    </row>
    <row r="2831" spans="1:43" x14ac:dyDescent="0.3">
      <c r="A2831" s="6">
        <v>47829</v>
      </c>
      <c r="B2831" s="5" t="s">
        <v>234</v>
      </c>
      <c r="C2831" s="5" t="s">
        <v>231</v>
      </c>
      <c r="D2831" s="2">
        <f t="shared" si="157"/>
        <v>2015</v>
      </c>
      <c r="E2831" s="2">
        <f t="shared" si="158"/>
        <v>10</v>
      </c>
      <c r="F2831" s="3" t="s">
        <v>180</v>
      </c>
      <c r="G2831" s="7">
        <v>42291</v>
      </c>
      <c r="H2831" s="6">
        <v>6597555</v>
      </c>
      <c r="I2831" s="6">
        <v>1629125</v>
      </c>
      <c r="J2831" s="5" t="s">
        <v>185</v>
      </c>
      <c r="K2831" s="1"/>
      <c r="L2831" s="1" t="str">
        <f t="shared" si="159"/>
        <v xml:space="preserve">Gullsjön </v>
      </c>
      <c r="M2831" s="5" t="s">
        <v>211</v>
      </c>
      <c r="N2831" s="6">
        <v>1</v>
      </c>
      <c r="O2831" s="6">
        <v>1</v>
      </c>
      <c r="Q2831" s="6">
        <v>7.6</v>
      </c>
      <c r="R2831" s="6">
        <v>6.6</v>
      </c>
      <c r="S2831" s="6">
        <v>53</v>
      </c>
    </row>
    <row r="2832" spans="1:43" x14ac:dyDescent="0.3">
      <c r="A2832" s="6">
        <v>47830</v>
      </c>
      <c r="B2832" s="5" t="s">
        <v>234</v>
      </c>
      <c r="C2832" s="5" t="s">
        <v>231</v>
      </c>
      <c r="D2832" s="2">
        <f t="shared" si="157"/>
        <v>2015</v>
      </c>
      <c r="E2832" s="2">
        <f t="shared" si="158"/>
        <v>10</v>
      </c>
      <c r="F2832" s="3" t="s">
        <v>180</v>
      </c>
      <c r="G2832" s="7">
        <v>42291</v>
      </c>
      <c r="H2832" s="6">
        <v>6597555</v>
      </c>
      <c r="I2832" s="6">
        <v>1629125</v>
      </c>
      <c r="J2832" s="5" t="s">
        <v>185</v>
      </c>
      <c r="K2832" s="1"/>
      <c r="L2832" s="1" t="str">
        <f t="shared" si="159"/>
        <v xml:space="preserve">Gullsjön </v>
      </c>
      <c r="M2832" s="1" t="s">
        <v>184</v>
      </c>
      <c r="N2832" s="6">
        <v>2</v>
      </c>
      <c r="O2832" s="6">
        <v>2</v>
      </c>
      <c r="Q2832" s="6">
        <v>7.4</v>
      </c>
      <c r="R2832" s="6">
        <v>6.5</v>
      </c>
      <c r="S2832" s="6">
        <v>53</v>
      </c>
    </row>
    <row r="2833" spans="1:68" x14ac:dyDescent="0.3">
      <c r="A2833" s="6">
        <v>47921</v>
      </c>
      <c r="B2833" s="5" t="s">
        <v>235</v>
      </c>
      <c r="C2833" s="5" t="s">
        <v>236</v>
      </c>
      <c r="D2833" s="2">
        <f t="shared" si="157"/>
        <v>2015</v>
      </c>
      <c r="E2833" s="2">
        <f t="shared" si="158"/>
        <v>10</v>
      </c>
      <c r="F2833" s="3" t="s">
        <v>180</v>
      </c>
      <c r="G2833" s="7">
        <v>42291</v>
      </c>
      <c r="H2833" s="6">
        <v>6594899</v>
      </c>
      <c r="I2833" s="6">
        <v>1622837</v>
      </c>
      <c r="J2833" s="5" t="s">
        <v>192</v>
      </c>
      <c r="K2833" s="5" t="s">
        <v>211</v>
      </c>
      <c r="L2833" s="1" t="str">
        <f t="shared" si="159"/>
        <v>Väsjön 1</v>
      </c>
      <c r="M2833" s="1" t="s">
        <v>177</v>
      </c>
      <c r="AA2833" s="6">
        <v>0.59</v>
      </c>
    </row>
    <row r="2834" spans="1:68" x14ac:dyDescent="0.3">
      <c r="A2834" s="6">
        <v>47922</v>
      </c>
      <c r="B2834" s="5" t="s">
        <v>235</v>
      </c>
      <c r="C2834" s="5" t="s">
        <v>236</v>
      </c>
      <c r="D2834" s="2">
        <f t="shared" si="157"/>
        <v>2015</v>
      </c>
      <c r="E2834" s="2">
        <f t="shared" si="158"/>
        <v>10</v>
      </c>
      <c r="F2834" s="3" t="s">
        <v>180</v>
      </c>
      <c r="G2834" s="7">
        <v>42291</v>
      </c>
      <c r="H2834" s="6">
        <v>6594981</v>
      </c>
      <c r="I2834" s="6">
        <v>1622940</v>
      </c>
      <c r="J2834" s="5" t="s">
        <v>192</v>
      </c>
      <c r="K2834" s="5" t="s">
        <v>212</v>
      </c>
      <c r="L2834" s="1" t="str">
        <f t="shared" si="159"/>
        <v>Väsjön 2</v>
      </c>
      <c r="M2834" s="1" t="s">
        <v>177</v>
      </c>
      <c r="AA2834" s="6">
        <v>0.77</v>
      </c>
    </row>
    <row r="2835" spans="1:68" x14ac:dyDescent="0.3">
      <c r="A2835" s="6">
        <v>47923</v>
      </c>
      <c r="B2835" s="5" t="s">
        <v>235</v>
      </c>
      <c r="C2835" s="5" t="s">
        <v>236</v>
      </c>
      <c r="D2835" s="2">
        <f t="shared" si="157"/>
        <v>2015</v>
      </c>
      <c r="E2835" s="2">
        <f t="shared" si="158"/>
        <v>10</v>
      </c>
      <c r="F2835" s="3" t="s">
        <v>180</v>
      </c>
      <c r="G2835" s="7">
        <v>42291</v>
      </c>
      <c r="H2835" s="6">
        <v>6594875</v>
      </c>
      <c r="I2835" s="6">
        <v>1623052</v>
      </c>
      <c r="J2835" s="5" t="s">
        <v>192</v>
      </c>
      <c r="K2835" s="5" t="s">
        <v>213</v>
      </c>
      <c r="L2835" s="1" t="str">
        <f t="shared" si="159"/>
        <v>Väsjön 3</v>
      </c>
      <c r="M2835" s="1" t="s">
        <v>177</v>
      </c>
      <c r="AA2835" s="6">
        <v>0.57999999999999996</v>
      </c>
    </row>
    <row r="2836" spans="1:68" x14ac:dyDescent="0.3">
      <c r="D2836" s="2">
        <f t="shared" si="157"/>
        <v>2015</v>
      </c>
      <c r="E2836" s="2">
        <f t="shared" si="158"/>
        <v>10</v>
      </c>
      <c r="F2836" s="3" t="s">
        <v>180</v>
      </c>
      <c r="G2836" s="4">
        <v>42291</v>
      </c>
      <c r="J2836" s="1" t="s">
        <v>181</v>
      </c>
      <c r="K2836" s="1"/>
      <c r="L2836" s="1" t="str">
        <f t="shared" si="159"/>
        <v xml:space="preserve">Fysingen </v>
      </c>
      <c r="M2836" s="1" t="s">
        <v>177</v>
      </c>
      <c r="N2836" s="1">
        <v>0.5</v>
      </c>
      <c r="O2836" s="1">
        <v>0.5</v>
      </c>
      <c r="P2836" s="1">
        <v>3.1</v>
      </c>
      <c r="Q2836" s="1">
        <v>9.3000000000000007</v>
      </c>
      <c r="V2836" s="1">
        <v>2.1040000000000001</v>
      </c>
      <c r="W2836" s="1">
        <v>28</v>
      </c>
      <c r="X2836" s="1">
        <f>W2836 * (1/((10^((0.0901821 + (2729.92 /(273.15 + Q2836)))-AE2836)+1)))</f>
        <v>0.24435707525059994</v>
      </c>
      <c r="Y2836" s="1">
        <v>6.0999999999999999E-2</v>
      </c>
      <c r="Z2836" s="1">
        <v>2</v>
      </c>
      <c r="AA2836" s="1">
        <v>1.4</v>
      </c>
      <c r="AB2836" s="1">
        <v>4.3</v>
      </c>
      <c r="AC2836" s="1">
        <v>46.2</v>
      </c>
      <c r="AD2836" s="1">
        <v>233</v>
      </c>
      <c r="AE2836" s="1">
        <v>7.7</v>
      </c>
      <c r="AI2836" s="1">
        <v>12.8</v>
      </c>
      <c r="AK2836" s="1">
        <v>15.3</v>
      </c>
      <c r="AL2836" s="1">
        <v>946</v>
      </c>
      <c r="AR2836" s="1">
        <v>51.2</v>
      </c>
      <c r="AS2836" s="1">
        <v>0.08</v>
      </c>
      <c r="AT2836" s="1">
        <v>6.0213999999999999</v>
      </c>
      <c r="AU2836" s="1">
        <v>10.526999999999999</v>
      </c>
      <c r="AV2836" s="1">
        <v>31.656850000000002</v>
      </c>
      <c r="AW2836" s="1">
        <v>23.857600000000001</v>
      </c>
      <c r="AX2836" s="1">
        <v>73.27624999999999</v>
      </c>
      <c r="AY2836" s="1">
        <v>3</v>
      </c>
      <c r="AZ2836" s="1">
        <v>71</v>
      </c>
      <c r="BA2836" s="1">
        <v>0.6</v>
      </c>
      <c r="BC2836" s="1">
        <v>8.9999999999999993E-3</v>
      </c>
      <c r="BD2836" s="1">
        <v>0.31</v>
      </c>
      <c r="BE2836" s="1">
        <v>0.17</v>
      </c>
      <c r="BF2836" s="1">
        <v>2</v>
      </c>
      <c r="BJ2836" s="1">
        <v>7.1</v>
      </c>
      <c r="BL2836" s="1">
        <v>0.06</v>
      </c>
      <c r="BN2836" s="1">
        <v>0.36</v>
      </c>
      <c r="BO2836" s="1">
        <v>1.7</v>
      </c>
      <c r="BP2836" s="1">
        <v>10</v>
      </c>
    </row>
    <row r="2837" spans="1:68" x14ac:dyDescent="0.3">
      <c r="D2837" s="2">
        <f t="shared" si="157"/>
        <v>2015</v>
      </c>
      <c r="E2837" s="2">
        <f t="shared" si="158"/>
        <v>10</v>
      </c>
      <c r="F2837" s="3" t="s">
        <v>180</v>
      </c>
      <c r="G2837" s="4">
        <v>42296</v>
      </c>
      <c r="H2837" s="1">
        <v>6606238</v>
      </c>
      <c r="I2837" s="1">
        <v>661152</v>
      </c>
      <c r="J2837" s="5" t="s">
        <v>176</v>
      </c>
      <c r="K2837" s="1"/>
      <c r="L2837" s="1" t="str">
        <f t="shared" si="159"/>
        <v xml:space="preserve">Oxundaån </v>
      </c>
      <c r="M2837" s="1" t="s">
        <v>177</v>
      </c>
      <c r="N2837" s="1">
        <v>0.2</v>
      </c>
      <c r="O2837" s="1">
        <v>0.2</v>
      </c>
      <c r="Q2837" s="1">
        <v>8.5</v>
      </c>
      <c r="T2837" s="1">
        <v>44.3</v>
      </c>
      <c r="V2837" s="1">
        <v>2.407</v>
      </c>
      <c r="W2837" s="1">
        <v>46</v>
      </c>
      <c r="X2837" s="1">
        <f>W2837 * (1/((10^((0.0901821 + (2729.92 /(273.15 + Q2837)))-AE2837)+1)))</f>
        <v>0.38576348369251284</v>
      </c>
      <c r="Y2837" s="1">
        <v>5.1999999999999998E-2</v>
      </c>
      <c r="Z2837" s="1">
        <v>20</v>
      </c>
      <c r="AA2837" s="1">
        <v>1.5</v>
      </c>
      <c r="AD2837" s="1">
        <v>30</v>
      </c>
      <c r="AE2837" s="1">
        <v>7.71</v>
      </c>
      <c r="AI2837" s="1">
        <v>10.4</v>
      </c>
      <c r="AK2837" s="1">
        <v>43.2</v>
      </c>
      <c r="AL2837" s="1">
        <v>681</v>
      </c>
      <c r="AR2837" s="1">
        <v>49.400000000000006</v>
      </c>
      <c r="AT2837" s="1">
        <v>5.5522</v>
      </c>
      <c r="AU2837" s="1">
        <v>8.6151999999999997</v>
      </c>
      <c r="AV2837" s="1">
        <v>34.032000000000004</v>
      </c>
      <c r="AW2837" s="1">
        <v>24.545800000000003</v>
      </c>
      <c r="AX2837" s="1">
        <v>47.905849999999994</v>
      </c>
      <c r="AY2837" s="1">
        <v>2.2000000000000002</v>
      </c>
    </row>
    <row r="2838" spans="1:68" x14ac:dyDescent="0.3">
      <c r="A2838" s="6">
        <v>47961</v>
      </c>
      <c r="B2838" s="5" t="s">
        <v>234</v>
      </c>
      <c r="C2838" s="5" t="s">
        <v>231</v>
      </c>
      <c r="D2838" s="2">
        <f t="shared" si="157"/>
        <v>2015</v>
      </c>
      <c r="E2838" s="2">
        <f t="shared" si="158"/>
        <v>10</v>
      </c>
      <c r="F2838" s="3" t="s">
        <v>180</v>
      </c>
      <c r="G2838" s="7">
        <v>42298</v>
      </c>
      <c r="H2838" s="6">
        <v>6595515</v>
      </c>
      <c r="I2838" s="6">
        <v>1624630</v>
      </c>
      <c r="J2838" s="5" t="s">
        <v>207</v>
      </c>
      <c r="K2838" s="1"/>
      <c r="L2838" s="1" t="str">
        <f t="shared" si="159"/>
        <v xml:space="preserve">Käringsjön </v>
      </c>
      <c r="M2838" s="1" t="s">
        <v>177</v>
      </c>
      <c r="N2838" s="6">
        <v>0.5</v>
      </c>
      <c r="O2838" s="6">
        <v>1</v>
      </c>
      <c r="P2838" s="6">
        <v>0.9</v>
      </c>
      <c r="Q2838" s="6">
        <v>8.1</v>
      </c>
      <c r="R2838" s="6">
        <v>6.2</v>
      </c>
      <c r="S2838" s="6">
        <v>53</v>
      </c>
      <c r="V2838" s="6">
        <v>0.59172607003</v>
      </c>
      <c r="W2838" s="6">
        <v>97.693100000000001</v>
      </c>
      <c r="X2838" s="1">
        <f>W2838 * (1/((10^((0.0901821 + (2729.92 /(273.15 + Q2838)))-AE2838)+1)))</f>
        <v>0.11035923709191199</v>
      </c>
      <c r="Y2838" s="6">
        <v>0.53</v>
      </c>
      <c r="Z2838" s="6">
        <v>18.18</v>
      </c>
      <c r="AA2838" s="6">
        <v>4.2</v>
      </c>
      <c r="AD2838" s="6">
        <v>31.61</v>
      </c>
      <c r="AE2838" s="6">
        <v>6.85</v>
      </c>
      <c r="AK2838" s="6">
        <v>37.15</v>
      </c>
      <c r="AL2838" s="6">
        <v>1116.46</v>
      </c>
      <c r="AM2838" s="6"/>
      <c r="AN2838" s="6"/>
      <c r="AO2838" s="6"/>
      <c r="AP2838" s="6"/>
      <c r="AQ2838" s="6"/>
    </row>
    <row r="2839" spans="1:68" x14ac:dyDescent="0.3">
      <c r="A2839" s="6">
        <v>47962</v>
      </c>
      <c r="B2839" s="5" t="s">
        <v>234</v>
      </c>
      <c r="C2839" s="5" t="s">
        <v>231</v>
      </c>
      <c r="D2839" s="2">
        <f t="shared" si="157"/>
        <v>2015</v>
      </c>
      <c r="E2839" s="2">
        <f t="shared" si="158"/>
        <v>10</v>
      </c>
      <c r="F2839" s="3" t="s">
        <v>180</v>
      </c>
      <c r="G2839" s="7">
        <v>42298</v>
      </c>
      <c r="H2839" s="6">
        <v>6595515</v>
      </c>
      <c r="I2839" s="6">
        <v>1624630</v>
      </c>
      <c r="J2839" s="5" t="s">
        <v>207</v>
      </c>
      <c r="K2839" s="1"/>
      <c r="L2839" s="1" t="str">
        <f t="shared" si="159"/>
        <v xml:space="preserve">Käringsjön </v>
      </c>
      <c r="M2839" s="5" t="s">
        <v>211</v>
      </c>
      <c r="N2839" s="6">
        <v>1</v>
      </c>
      <c r="O2839" s="6">
        <v>1</v>
      </c>
      <c r="Q2839" s="6">
        <v>7.9</v>
      </c>
      <c r="R2839" s="6">
        <v>5.9</v>
      </c>
      <c r="S2839" s="6">
        <v>50</v>
      </c>
    </row>
    <row r="2840" spans="1:68" x14ac:dyDescent="0.3">
      <c r="A2840" s="6">
        <v>47963</v>
      </c>
      <c r="B2840" s="5" t="s">
        <v>234</v>
      </c>
      <c r="C2840" s="5" t="s">
        <v>231</v>
      </c>
      <c r="D2840" s="2">
        <f t="shared" si="157"/>
        <v>2015</v>
      </c>
      <c r="E2840" s="2">
        <f t="shared" si="158"/>
        <v>10</v>
      </c>
      <c r="F2840" s="3" t="s">
        <v>180</v>
      </c>
      <c r="G2840" s="7">
        <v>42298</v>
      </c>
      <c r="H2840" s="6">
        <v>6595515</v>
      </c>
      <c r="I2840" s="6">
        <v>1624630</v>
      </c>
      <c r="J2840" s="5" t="s">
        <v>207</v>
      </c>
      <c r="K2840" s="1"/>
      <c r="L2840" s="1" t="str">
        <f t="shared" si="159"/>
        <v xml:space="preserve">Käringsjön </v>
      </c>
      <c r="M2840" s="5" t="s">
        <v>212</v>
      </c>
      <c r="N2840" s="6">
        <v>2</v>
      </c>
      <c r="O2840" s="6">
        <v>2</v>
      </c>
      <c r="Q2840" s="6">
        <v>7.4</v>
      </c>
      <c r="R2840" s="6">
        <v>4.5</v>
      </c>
      <c r="S2840" s="6">
        <v>37</v>
      </c>
    </row>
    <row r="2841" spans="1:68" x14ac:dyDescent="0.3">
      <c r="A2841" s="6">
        <v>47964</v>
      </c>
      <c r="B2841" s="5" t="s">
        <v>234</v>
      </c>
      <c r="C2841" s="5" t="s">
        <v>231</v>
      </c>
      <c r="D2841" s="2">
        <f t="shared" si="157"/>
        <v>2015</v>
      </c>
      <c r="E2841" s="2">
        <f t="shared" si="158"/>
        <v>10</v>
      </c>
      <c r="F2841" s="3" t="s">
        <v>180</v>
      </c>
      <c r="G2841" s="7">
        <v>42298</v>
      </c>
      <c r="H2841" s="6">
        <v>6595515</v>
      </c>
      <c r="I2841" s="6">
        <v>1624630</v>
      </c>
      <c r="J2841" s="5" t="s">
        <v>207</v>
      </c>
      <c r="K2841" s="1"/>
      <c r="L2841" s="1" t="str">
        <f t="shared" si="159"/>
        <v xml:space="preserve">Käringsjön </v>
      </c>
      <c r="M2841" s="5" t="s">
        <v>213</v>
      </c>
      <c r="N2841" s="6">
        <v>3</v>
      </c>
      <c r="O2841" s="6">
        <v>3</v>
      </c>
      <c r="Q2841" s="6">
        <v>7.3</v>
      </c>
      <c r="R2841" s="6">
        <v>4.5999999999999996</v>
      </c>
      <c r="S2841" s="6">
        <v>38</v>
      </c>
    </row>
    <row r="2842" spans="1:68" x14ac:dyDescent="0.3">
      <c r="A2842" s="6">
        <v>47965</v>
      </c>
      <c r="B2842" s="5" t="s">
        <v>234</v>
      </c>
      <c r="C2842" s="5" t="s">
        <v>231</v>
      </c>
      <c r="D2842" s="2">
        <f t="shared" si="157"/>
        <v>2015</v>
      </c>
      <c r="E2842" s="2">
        <f t="shared" si="158"/>
        <v>10</v>
      </c>
      <c r="F2842" s="3" t="s">
        <v>180</v>
      </c>
      <c r="G2842" s="7">
        <v>42298</v>
      </c>
      <c r="H2842" s="6">
        <v>6595515</v>
      </c>
      <c r="I2842" s="6">
        <v>1624630</v>
      </c>
      <c r="J2842" s="5" t="s">
        <v>207</v>
      </c>
      <c r="K2842" s="1"/>
      <c r="L2842" s="1" t="str">
        <f t="shared" si="159"/>
        <v xml:space="preserve">Käringsjön </v>
      </c>
      <c r="M2842" s="1" t="s">
        <v>184</v>
      </c>
      <c r="N2842" s="6">
        <v>3.8</v>
      </c>
      <c r="O2842" s="6">
        <v>3.8</v>
      </c>
      <c r="Q2842" s="6">
        <v>7.3</v>
      </c>
      <c r="R2842" s="6">
        <v>4.5</v>
      </c>
      <c r="S2842" s="6">
        <v>37</v>
      </c>
    </row>
    <row r="2843" spans="1:68" x14ac:dyDescent="0.3">
      <c r="A2843" s="6">
        <v>47966</v>
      </c>
      <c r="B2843" s="5" t="s">
        <v>234</v>
      </c>
      <c r="C2843" s="5" t="s">
        <v>231</v>
      </c>
      <c r="D2843" s="2">
        <f t="shared" si="157"/>
        <v>2015</v>
      </c>
      <c r="E2843" s="2">
        <f t="shared" si="158"/>
        <v>10</v>
      </c>
      <c r="F2843" s="3" t="s">
        <v>180</v>
      </c>
      <c r="G2843" s="7">
        <v>42298</v>
      </c>
      <c r="H2843" s="6">
        <v>6595470</v>
      </c>
      <c r="I2843" s="6">
        <v>1622370</v>
      </c>
      <c r="J2843" s="5" t="s">
        <v>190</v>
      </c>
      <c r="K2843" s="1"/>
      <c r="L2843" s="1" t="str">
        <f t="shared" si="159"/>
        <v xml:space="preserve">Snuggan </v>
      </c>
      <c r="M2843" s="1" t="s">
        <v>177</v>
      </c>
      <c r="N2843" s="6">
        <v>0.5</v>
      </c>
      <c r="O2843" s="6">
        <v>0.5</v>
      </c>
      <c r="P2843" s="6">
        <v>0.7</v>
      </c>
      <c r="Q2843" s="6">
        <v>8.1</v>
      </c>
      <c r="R2843" s="6">
        <v>6.2</v>
      </c>
      <c r="S2843" s="6">
        <v>53</v>
      </c>
      <c r="V2843" s="6">
        <v>5.3446225680000001E-2</v>
      </c>
      <c r="W2843" s="6">
        <v>95.482900000000001</v>
      </c>
      <c r="X2843" s="1">
        <f>W2843 * (1/((10^((0.0901821 + (2729.92 /(273.15 + Q2843)))-AE2843)+1)))</f>
        <v>1.239666570679597E-2</v>
      </c>
      <c r="Y2843" s="6">
        <v>0.65800000000000003</v>
      </c>
      <c r="Z2843" s="6">
        <v>2.57</v>
      </c>
      <c r="AA2843" s="6">
        <v>2.2000000000000002</v>
      </c>
      <c r="AD2843" s="6">
        <v>4.0199999999999996</v>
      </c>
      <c r="AE2843" s="6">
        <v>5.91</v>
      </c>
      <c r="AI2843" s="6">
        <v>28.58</v>
      </c>
      <c r="AK2843" s="6">
        <v>26</v>
      </c>
      <c r="AL2843" s="6">
        <v>1040.97</v>
      </c>
      <c r="AM2843" s="6"/>
      <c r="AN2843" s="6"/>
      <c r="AO2843" s="6"/>
      <c r="AP2843" s="6"/>
      <c r="AQ2843" s="6"/>
    </row>
    <row r="2844" spans="1:68" x14ac:dyDescent="0.3">
      <c r="A2844" s="6">
        <v>47967</v>
      </c>
      <c r="B2844" s="5" t="s">
        <v>234</v>
      </c>
      <c r="C2844" s="5" t="s">
        <v>231</v>
      </c>
      <c r="D2844" s="2">
        <f t="shared" si="157"/>
        <v>2015</v>
      </c>
      <c r="E2844" s="2">
        <f t="shared" si="158"/>
        <v>10</v>
      </c>
      <c r="F2844" s="3" t="s">
        <v>180</v>
      </c>
      <c r="G2844" s="7">
        <v>42298</v>
      </c>
      <c r="H2844" s="6">
        <v>6595470</v>
      </c>
      <c r="I2844" s="6">
        <v>1622370</v>
      </c>
      <c r="J2844" s="5" t="s">
        <v>190</v>
      </c>
      <c r="K2844" s="1"/>
      <c r="L2844" s="1" t="str">
        <f t="shared" si="159"/>
        <v xml:space="preserve">Snuggan </v>
      </c>
      <c r="M2844" s="5" t="s">
        <v>211</v>
      </c>
      <c r="N2844" s="6">
        <v>1</v>
      </c>
      <c r="O2844" s="6">
        <v>1</v>
      </c>
      <c r="Q2844" s="6">
        <v>7.7</v>
      </c>
      <c r="R2844" s="6">
        <v>5.7</v>
      </c>
      <c r="S2844" s="6">
        <v>48</v>
      </c>
    </row>
    <row r="2845" spans="1:68" x14ac:dyDescent="0.3">
      <c r="A2845" s="6">
        <v>47968</v>
      </c>
      <c r="B2845" s="5" t="s">
        <v>234</v>
      </c>
      <c r="C2845" s="5" t="s">
        <v>231</v>
      </c>
      <c r="D2845" s="2">
        <f t="shared" si="157"/>
        <v>2015</v>
      </c>
      <c r="E2845" s="2">
        <f t="shared" si="158"/>
        <v>10</v>
      </c>
      <c r="F2845" s="3" t="s">
        <v>180</v>
      </c>
      <c r="G2845" s="7">
        <v>42298</v>
      </c>
      <c r="H2845" s="6">
        <v>6595470</v>
      </c>
      <c r="I2845" s="6">
        <v>1622370</v>
      </c>
      <c r="J2845" s="5" t="s">
        <v>190</v>
      </c>
      <c r="K2845" s="1"/>
      <c r="L2845" s="1" t="str">
        <f t="shared" si="159"/>
        <v xml:space="preserve">Snuggan </v>
      </c>
      <c r="M2845" s="5" t="s">
        <v>212</v>
      </c>
      <c r="N2845" s="6">
        <v>2</v>
      </c>
      <c r="O2845" s="6">
        <v>2</v>
      </c>
      <c r="Q2845" s="6">
        <v>7.4</v>
      </c>
      <c r="R2845" s="6">
        <v>4.9000000000000004</v>
      </c>
      <c r="S2845" s="6">
        <v>41</v>
      </c>
    </row>
    <row r="2846" spans="1:68" x14ac:dyDescent="0.3">
      <c r="A2846" s="6">
        <v>47969</v>
      </c>
      <c r="B2846" s="5" t="s">
        <v>234</v>
      </c>
      <c r="C2846" s="5" t="s">
        <v>231</v>
      </c>
      <c r="D2846" s="2">
        <f t="shared" si="157"/>
        <v>2015</v>
      </c>
      <c r="E2846" s="2">
        <f t="shared" si="158"/>
        <v>10</v>
      </c>
      <c r="F2846" s="3" t="s">
        <v>180</v>
      </c>
      <c r="G2846" s="7">
        <v>42298</v>
      </c>
      <c r="H2846" s="6">
        <v>6595470</v>
      </c>
      <c r="I2846" s="6">
        <v>1622370</v>
      </c>
      <c r="J2846" s="5" t="s">
        <v>190</v>
      </c>
      <c r="K2846" s="1"/>
      <c r="L2846" s="1" t="str">
        <f t="shared" si="159"/>
        <v xml:space="preserve">Snuggan </v>
      </c>
      <c r="M2846" s="1" t="s">
        <v>184</v>
      </c>
      <c r="N2846" s="6">
        <v>2.7</v>
      </c>
      <c r="O2846" s="6">
        <v>2.7</v>
      </c>
      <c r="Q2846" s="6">
        <v>7.3</v>
      </c>
      <c r="R2846" s="6">
        <v>4.5</v>
      </c>
      <c r="S2846" s="6">
        <v>38</v>
      </c>
    </row>
    <row r="2847" spans="1:68" x14ac:dyDescent="0.3">
      <c r="A2847" s="6">
        <v>47970</v>
      </c>
      <c r="B2847" s="5" t="s">
        <v>234</v>
      </c>
      <c r="C2847" s="5" t="s">
        <v>231</v>
      </c>
      <c r="D2847" s="2">
        <f t="shared" si="157"/>
        <v>2015</v>
      </c>
      <c r="E2847" s="2">
        <f t="shared" si="158"/>
        <v>10</v>
      </c>
      <c r="F2847" s="3" t="s">
        <v>180</v>
      </c>
      <c r="G2847" s="7">
        <v>42298</v>
      </c>
      <c r="H2847" s="6">
        <v>6594430</v>
      </c>
      <c r="I2847" s="6">
        <v>1625370</v>
      </c>
      <c r="J2847" s="5" t="s">
        <v>201</v>
      </c>
      <c r="K2847" s="1"/>
      <c r="L2847" s="1" t="str">
        <f t="shared" si="159"/>
        <v xml:space="preserve">Mörtsjön </v>
      </c>
      <c r="M2847" s="1" t="s">
        <v>177</v>
      </c>
      <c r="N2847" s="6">
        <v>0.5</v>
      </c>
      <c r="O2847" s="6">
        <v>0.5</v>
      </c>
      <c r="P2847" s="6">
        <v>2.5</v>
      </c>
      <c r="Q2847" s="6">
        <v>8.4</v>
      </c>
      <c r="R2847" s="6">
        <v>8.5</v>
      </c>
      <c r="S2847" s="6">
        <v>72</v>
      </c>
      <c r="V2847" s="6">
        <v>1.927881712</v>
      </c>
      <c r="W2847" s="6">
        <v>54.448799999999999</v>
      </c>
      <c r="X2847" s="1">
        <f>W2847 * (1/((10^((0.0901821 + (2729.92 /(273.15 + Q2847)))-AE2847)+1)))</f>
        <v>0.31423371644360992</v>
      </c>
      <c r="Y2847" s="6">
        <v>0.13800000000000001</v>
      </c>
      <c r="Z2847" s="6">
        <v>2.02</v>
      </c>
      <c r="AA2847" s="6">
        <v>2.2000000000000002</v>
      </c>
      <c r="AD2847" s="6">
        <v>27.81</v>
      </c>
      <c r="AE2847" s="6">
        <v>7.55</v>
      </c>
      <c r="AK2847" s="6">
        <v>23.46</v>
      </c>
      <c r="AL2847" s="6">
        <v>764.56</v>
      </c>
      <c r="AM2847" s="6"/>
      <c r="AN2847" s="6"/>
      <c r="AO2847" s="6"/>
      <c r="AP2847" s="6"/>
      <c r="AQ2847" s="6"/>
    </row>
    <row r="2848" spans="1:68" x14ac:dyDescent="0.3">
      <c r="A2848" s="6">
        <v>47971</v>
      </c>
      <c r="B2848" s="5" t="s">
        <v>234</v>
      </c>
      <c r="C2848" s="5" t="s">
        <v>231</v>
      </c>
      <c r="D2848" s="2">
        <f t="shared" si="157"/>
        <v>2015</v>
      </c>
      <c r="E2848" s="2">
        <f t="shared" si="158"/>
        <v>10</v>
      </c>
      <c r="F2848" s="3" t="s">
        <v>180</v>
      </c>
      <c r="G2848" s="7">
        <v>42298</v>
      </c>
      <c r="H2848" s="6">
        <v>6594430</v>
      </c>
      <c r="I2848" s="6">
        <v>1625370</v>
      </c>
      <c r="J2848" s="5" t="s">
        <v>201</v>
      </c>
      <c r="K2848" s="1"/>
      <c r="L2848" s="1" t="str">
        <f t="shared" si="159"/>
        <v xml:space="preserve">Mörtsjön </v>
      </c>
      <c r="M2848" s="5" t="s">
        <v>211</v>
      </c>
      <c r="N2848" s="6">
        <v>1</v>
      </c>
      <c r="O2848" s="6">
        <v>1</v>
      </c>
      <c r="Q2848" s="6">
        <v>8.3000000000000007</v>
      </c>
      <c r="R2848" s="6">
        <v>8.1999999999999993</v>
      </c>
      <c r="S2848" s="6">
        <v>70</v>
      </c>
    </row>
    <row r="2849" spans="1:38" x14ac:dyDescent="0.3">
      <c r="A2849" s="6">
        <v>47972</v>
      </c>
      <c r="B2849" s="5" t="s">
        <v>234</v>
      </c>
      <c r="C2849" s="5" t="s">
        <v>231</v>
      </c>
      <c r="D2849" s="2">
        <f t="shared" si="157"/>
        <v>2015</v>
      </c>
      <c r="E2849" s="2">
        <f t="shared" si="158"/>
        <v>10</v>
      </c>
      <c r="F2849" s="3" t="s">
        <v>180</v>
      </c>
      <c r="G2849" s="7">
        <v>42298</v>
      </c>
      <c r="H2849" s="6">
        <v>6594430</v>
      </c>
      <c r="I2849" s="6">
        <v>1625370</v>
      </c>
      <c r="J2849" s="5" t="s">
        <v>201</v>
      </c>
      <c r="K2849" s="1"/>
      <c r="L2849" s="1" t="str">
        <f t="shared" si="159"/>
        <v xml:space="preserve">Mörtsjön </v>
      </c>
      <c r="M2849" s="5" t="s">
        <v>212</v>
      </c>
      <c r="N2849" s="6">
        <v>2</v>
      </c>
      <c r="O2849" s="6">
        <v>2</v>
      </c>
      <c r="Q2849" s="6">
        <v>8.1999999999999993</v>
      </c>
      <c r="R2849" s="6">
        <v>8.1</v>
      </c>
      <c r="S2849" s="6">
        <v>69</v>
      </c>
    </row>
    <row r="2850" spans="1:38" x14ac:dyDescent="0.3">
      <c r="A2850" s="6">
        <v>47973</v>
      </c>
      <c r="B2850" s="5" t="s">
        <v>234</v>
      </c>
      <c r="C2850" s="5" t="s">
        <v>231</v>
      </c>
      <c r="D2850" s="2">
        <f t="shared" si="157"/>
        <v>2015</v>
      </c>
      <c r="E2850" s="2">
        <f t="shared" si="158"/>
        <v>10</v>
      </c>
      <c r="F2850" s="3" t="s">
        <v>180</v>
      </c>
      <c r="G2850" s="7">
        <v>42298</v>
      </c>
      <c r="H2850" s="6">
        <v>6594430</v>
      </c>
      <c r="I2850" s="6">
        <v>1625370</v>
      </c>
      <c r="J2850" s="5" t="s">
        <v>201</v>
      </c>
      <c r="K2850" s="1"/>
      <c r="L2850" s="1" t="str">
        <f t="shared" si="159"/>
        <v xml:space="preserve">Mörtsjön </v>
      </c>
      <c r="M2850" s="5" t="s">
        <v>213</v>
      </c>
      <c r="N2850" s="6">
        <v>3</v>
      </c>
      <c r="O2850" s="6">
        <v>3</v>
      </c>
      <c r="Q2850" s="6">
        <v>7.9</v>
      </c>
      <c r="R2850" s="6">
        <v>7.1</v>
      </c>
      <c r="S2850" s="6">
        <v>60</v>
      </c>
    </row>
    <row r="2851" spans="1:38" x14ac:dyDescent="0.3">
      <c r="A2851" s="6">
        <v>47974</v>
      </c>
      <c r="B2851" s="5" t="s">
        <v>234</v>
      </c>
      <c r="C2851" s="5" t="s">
        <v>231</v>
      </c>
      <c r="D2851" s="2">
        <f t="shared" si="157"/>
        <v>2015</v>
      </c>
      <c r="E2851" s="2">
        <f t="shared" si="158"/>
        <v>10</v>
      </c>
      <c r="F2851" s="3" t="s">
        <v>180</v>
      </c>
      <c r="G2851" s="7">
        <v>42298</v>
      </c>
      <c r="H2851" s="6">
        <v>6594430</v>
      </c>
      <c r="I2851" s="6">
        <v>1625370</v>
      </c>
      <c r="J2851" s="5" t="s">
        <v>201</v>
      </c>
      <c r="K2851" s="1"/>
      <c r="L2851" s="1" t="str">
        <f t="shared" si="159"/>
        <v xml:space="preserve">Mörtsjön </v>
      </c>
      <c r="M2851" s="5" t="s">
        <v>214</v>
      </c>
      <c r="N2851" s="6">
        <v>4</v>
      </c>
      <c r="O2851" s="6">
        <v>4</v>
      </c>
      <c r="Q2851" s="6">
        <v>7.8</v>
      </c>
      <c r="R2851" s="6">
        <v>6.4</v>
      </c>
      <c r="S2851" s="6">
        <v>54</v>
      </c>
    </row>
    <row r="2852" spans="1:38" x14ac:dyDescent="0.3">
      <c r="A2852" s="6">
        <v>47975</v>
      </c>
      <c r="B2852" s="5" t="s">
        <v>234</v>
      </c>
      <c r="C2852" s="5" t="s">
        <v>231</v>
      </c>
      <c r="D2852" s="2">
        <f t="shared" si="157"/>
        <v>2015</v>
      </c>
      <c r="E2852" s="2">
        <f t="shared" si="158"/>
        <v>10</v>
      </c>
      <c r="F2852" s="3" t="s">
        <v>180</v>
      </c>
      <c r="G2852" s="7">
        <v>42298</v>
      </c>
      <c r="H2852" s="6">
        <v>6594430</v>
      </c>
      <c r="I2852" s="6">
        <v>1625370</v>
      </c>
      <c r="J2852" s="5" t="s">
        <v>201</v>
      </c>
      <c r="K2852" s="1"/>
      <c r="L2852" s="1" t="str">
        <f t="shared" si="159"/>
        <v xml:space="preserve">Mörtsjön </v>
      </c>
      <c r="M2852" s="1" t="s">
        <v>184</v>
      </c>
      <c r="N2852" s="6">
        <v>4.4000000000000004</v>
      </c>
      <c r="O2852" s="6">
        <v>4.4000000000000004</v>
      </c>
      <c r="Q2852" s="6">
        <v>7.8</v>
      </c>
      <c r="R2852" s="6">
        <v>6.2</v>
      </c>
      <c r="S2852" s="6">
        <v>53</v>
      </c>
    </row>
    <row r="2853" spans="1:38" x14ac:dyDescent="0.3">
      <c r="A2853" s="1">
        <v>48302</v>
      </c>
      <c r="B2853" s="1" t="s">
        <v>233</v>
      </c>
      <c r="C2853" s="1" t="s">
        <v>209</v>
      </c>
      <c r="D2853" s="2">
        <f t="shared" si="157"/>
        <v>2015</v>
      </c>
      <c r="E2853" s="2">
        <f t="shared" si="158"/>
        <v>10</v>
      </c>
      <c r="F2853" s="3" t="s">
        <v>180</v>
      </c>
      <c r="G2853" s="4">
        <v>42304</v>
      </c>
      <c r="H2853" s="1">
        <v>6600935</v>
      </c>
      <c r="I2853" s="1">
        <v>1626764</v>
      </c>
      <c r="J2853" s="1" t="s">
        <v>191</v>
      </c>
      <c r="K2853" s="1" t="s">
        <v>210</v>
      </c>
      <c r="L2853" s="1" t="str">
        <f t="shared" si="159"/>
        <v>Vallentunasjön Va2</v>
      </c>
      <c r="M2853" s="1" t="s">
        <v>177</v>
      </c>
      <c r="N2853" s="1">
        <v>0.5</v>
      </c>
      <c r="O2853" s="1">
        <v>0.5</v>
      </c>
      <c r="P2853" s="1">
        <v>1</v>
      </c>
      <c r="Q2853" s="1">
        <v>7.7</v>
      </c>
      <c r="R2853" s="1">
        <v>10.199999999999999</v>
      </c>
      <c r="S2853" s="1">
        <v>86</v>
      </c>
    </row>
    <row r="2854" spans="1:38" x14ac:dyDescent="0.3">
      <c r="A2854" s="1">
        <v>48303</v>
      </c>
      <c r="B2854" s="1" t="s">
        <v>233</v>
      </c>
      <c r="C2854" s="1" t="s">
        <v>209</v>
      </c>
      <c r="D2854" s="2">
        <f t="shared" si="157"/>
        <v>2015</v>
      </c>
      <c r="E2854" s="2">
        <f t="shared" si="158"/>
        <v>10</v>
      </c>
      <c r="F2854" s="3" t="s">
        <v>180</v>
      </c>
      <c r="G2854" s="4">
        <v>42304</v>
      </c>
      <c r="H2854" s="1">
        <v>6600935</v>
      </c>
      <c r="I2854" s="1">
        <v>1626764</v>
      </c>
      <c r="J2854" s="1" t="s">
        <v>191</v>
      </c>
      <c r="K2854" s="1" t="s">
        <v>210</v>
      </c>
      <c r="L2854" s="1" t="str">
        <f t="shared" si="159"/>
        <v>Vallentunasjön Va2</v>
      </c>
      <c r="M2854" s="1" t="s">
        <v>211</v>
      </c>
      <c r="N2854" s="1">
        <v>1</v>
      </c>
      <c r="O2854" s="1">
        <v>1</v>
      </c>
      <c r="Q2854" s="1">
        <v>7.7</v>
      </c>
      <c r="R2854" s="1">
        <v>10.1</v>
      </c>
      <c r="S2854" s="1">
        <v>85</v>
      </c>
    </row>
    <row r="2855" spans="1:38" x14ac:dyDescent="0.3">
      <c r="A2855" s="1">
        <v>48304</v>
      </c>
      <c r="B2855" s="1" t="s">
        <v>233</v>
      </c>
      <c r="C2855" s="1" t="s">
        <v>209</v>
      </c>
      <c r="D2855" s="2">
        <f t="shared" si="157"/>
        <v>2015</v>
      </c>
      <c r="E2855" s="2">
        <f t="shared" si="158"/>
        <v>10</v>
      </c>
      <c r="F2855" s="3" t="s">
        <v>180</v>
      </c>
      <c r="G2855" s="4">
        <v>42304</v>
      </c>
      <c r="H2855" s="1">
        <v>6600935</v>
      </c>
      <c r="I2855" s="1">
        <v>1626764</v>
      </c>
      <c r="J2855" s="1" t="s">
        <v>191</v>
      </c>
      <c r="K2855" s="1" t="s">
        <v>210</v>
      </c>
      <c r="L2855" s="1" t="str">
        <f t="shared" si="159"/>
        <v>Vallentunasjön Va2</v>
      </c>
      <c r="M2855" s="1" t="s">
        <v>212</v>
      </c>
      <c r="N2855" s="1">
        <v>2</v>
      </c>
      <c r="O2855" s="1">
        <v>2</v>
      </c>
      <c r="Q2855" s="1">
        <v>7.7</v>
      </c>
      <c r="R2855" s="1">
        <v>10.1</v>
      </c>
      <c r="S2855" s="1">
        <v>85</v>
      </c>
    </row>
    <row r="2856" spans="1:38" x14ac:dyDescent="0.3">
      <c r="A2856" s="1">
        <v>48305</v>
      </c>
      <c r="B2856" s="1" t="s">
        <v>233</v>
      </c>
      <c r="C2856" s="1" t="s">
        <v>209</v>
      </c>
      <c r="D2856" s="2">
        <f t="shared" si="157"/>
        <v>2015</v>
      </c>
      <c r="E2856" s="2">
        <f t="shared" si="158"/>
        <v>10</v>
      </c>
      <c r="F2856" s="3" t="s">
        <v>180</v>
      </c>
      <c r="G2856" s="4">
        <v>42304</v>
      </c>
      <c r="H2856" s="1">
        <v>6600935</v>
      </c>
      <c r="I2856" s="1">
        <v>1626764</v>
      </c>
      <c r="J2856" s="1" t="s">
        <v>191</v>
      </c>
      <c r="K2856" s="1" t="s">
        <v>210</v>
      </c>
      <c r="L2856" s="1" t="str">
        <f t="shared" si="159"/>
        <v>Vallentunasjön Va2</v>
      </c>
      <c r="M2856" s="1" t="s">
        <v>213</v>
      </c>
      <c r="N2856" s="1">
        <v>3</v>
      </c>
      <c r="O2856" s="1">
        <v>3</v>
      </c>
      <c r="Q2856" s="1">
        <v>7.7</v>
      </c>
      <c r="R2856" s="1">
        <v>10.1</v>
      </c>
      <c r="S2856" s="1">
        <v>85</v>
      </c>
    </row>
    <row r="2857" spans="1:38" x14ac:dyDescent="0.3">
      <c r="A2857" s="1">
        <v>48306</v>
      </c>
      <c r="B2857" s="1" t="s">
        <v>233</v>
      </c>
      <c r="C2857" s="1" t="s">
        <v>209</v>
      </c>
      <c r="D2857" s="2">
        <f t="shared" si="157"/>
        <v>2015</v>
      </c>
      <c r="E2857" s="2">
        <f t="shared" si="158"/>
        <v>10</v>
      </c>
      <c r="F2857" s="3" t="s">
        <v>180</v>
      </c>
      <c r="G2857" s="4">
        <v>42304</v>
      </c>
      <c r="H2857" s="1">
        <v>6600935</v>
      </c>
      <c r="I2857" s="1">
        <v>1626764</v>
      </c>
      <c r="J2857" s="1" t="s">
        <v>191</v>
      </c>
      <c r="K2857" s="1" t="s">
        <v>210</v>
      </c>
      <c r="L2857" s="1" t="str">
        <f t="shared" si="159"/>
        <v>Vallentunasjön Va2</v>
      </c>
      <c r="M2857" s="1" t="s">
        <v>214</v>
      </c>
      <c r="N2857" s="1">
        <v>4</v>
      </c>
      <c r="O2857" s="1">
        <v>4</v>
      </c>
      <c r="Q2857" s="1">
        <v>7.7</v>
      </c>
      <c r="R2857" s="1">
        <v>10.1</v>
      </c>
      <c r="S2857" s="1">
        <v>84</v>
      </c>
    </row>
    <row r="2858" spans="1:38" x14ac:dyDescent="0.3">
      <c r="A2858" s="1">
        <v>48307</v>
      </c>
      <c r="B2858" s="1" t="s">
        <v>233</v>
      </c>
      <c r="C2858" s="1" t="s">
        <v>209</v>
      </c>
      <c r="D2858" s="2">
        <f t="shared" si="157"/>
        <v>2015</v>
      </c>
      <c r="E2858" s="2">
        <f t="shared" si="158"/>
        <v>10</v>
      </c>
      <c r="F2858" s="3" t="s">
        <v>180</v>
      </c>
      <c r="G2858" s="4">
        <v>42304</v>
      </c>
      <c r="H2858" s="1">
        <v>6600935</v>
      </c>
      <c r="I2858" s="1">
        <v>1626764</v>
      </c>
      <c r="J2858" s="1" t="s">
        <v>191</v>
      </c>
      <c r="K2858" s="1" t="s">
        <v>210</v>
      </c>
      <c r="L2858" s="1" t="str">
        <f t="shared" si="159"/>
        <v>Vallentunasjön Va2</v>
      </c>
      <c r="M2858" s="1" t="s">
        <v>184</v>
      </c>
      <c r="Q2858" s="1">
        <v>7.7</v>
      </c>
      <c r="R2858" s="1">
        <v>10.1</v>
      </c>
      <c r="S2858" s="1">
        <v>84</v>
      </c>
    </row>
    <row r="2859" spans="1:38" x14ac:dyDescent="0.3">
      <c r="A2859" s="1">
        <v>48308</v>
      </c>
      <c r="B2859" s="1" t="s">
        <v>233</v>
      </c>
      <c r="C2859" s="1" t="s">
        <v>209</v>
      </c>
      <c r="D2859" s="2">
        <f t="shared" si="157"/>
        <v>2015</v>
      </c>
      <c r="E2859" s="2">
        <f t="shared" si="158"/>
        <v>10</v>
      </c>
      <c r="F2859" s="3" t="s">
        <v>180</v>
      </c>
      <c r="G2859" s="4">
        <v>42304</v>
      </c>
      <c r="J2859" s="1" t="s">
        <v>191</v>
      </c>
      <c r="K2859" s="1" t="s">
        <v>206</v>
      </c>
      <c r="L2859" s="1" t="str">
        <f t="shared" si="159"/>
        <v>Vallentunasjön Blandprov</v>
      </c>
      <c r="M2859" s="1" t="s">
        <v>177</v>
      </c>
      <c r="N2859" s="1">
        <v>4</v>
      </c>
      <c r="O2859" s="1">
        <v>0</v>
      </c>
      <c r="W2859" s="1">
        <v>56.939399999999999</v>
      </c>
      <c r="Z2859" s="1">
        <v>3.54</v>
      </c>
      <c r="AB2859" s="1">
        <v>25.5276</v>
      </c>
      <c r="AD2859" s="1">
        <v>2.83</v>
      </c>
      <c r="AG2859" s="1">
        <v>8.75</v>
      </c>
      <c r="AK2859" s="1">
        <v>35.33</v>
      </c>
      <c r="AL2859" s="1">
        <v>1042.02</v>
      </c>
    </row>
    <row r="2860" spans="1:38" x14ac:dyDescent="0.3">
      <c r="A2860" s="6">
        <v>48447</v>
      </c>
      <c r="B2860" s="5" t="s">
        <v>235</v>
      </c>
      <c r="C2860" s="5" t="s">
        <v>236</v>
      </c>
      <c r="D2860" s="2">
        <f t="shared" si="157"/>
        <v>2015</v>
      </c>
      <c r="E2860" s="2">
        <f t="shared" si="158"/>
        <v>11</v>
      </c>
      <c r="F2860" s="3" t="s">
        <v>180</v>
      </c>
      <c r="G2860" s="7">
        <v>42319</v>
      </c>
      <c r="H2860" s="6">
        <v>6594899</v>
      </c>
      <c r="I2860" s="6">
        <v>1622837</v>
      </c>
      <c r="J2860" s="5" t="s">
        <v>192</v>
      </c>
      <c r="K2860" s="5" t="s">
        <v>211</v>
      </c>
      <c r="L2860" s="1" t="str">
        <f t="shared" si="159"/>
        <v>Väsjön 1</v>
      </c>
      <c r="M2860" s="1" t="s">
        <v>177</v>
      </c>
      <c r="AA2860" s="6">
        <v>0.52</v>
      </c>
    </row>
    <row r="2861" spans="1:38" x14ac:dyDescent="0.3">
      <c r="A2861" s="6">
        <v>48448</v>
      </c>
      <c r="B2861" s="5" t="s">
        <v>235</v>
      </c>
      <c r="C2861" s="5" t="s">
        <v>236</v>
      </c>
      <c r="D2861" s="2">
        <f t="shared" si="157"/>
        <v>2015</v>
      </c>
      <c r="E2861" s="2">
        <f t="shared" si="158"/>
        <v>11</v>
      </c>
      <c r="F2861" s="3" t="s">
        <v>180</v>
      </c>
      <c r="G2861" s="7">
        <v>42319</v>
      </c>
      <c r="H2861" s="6">
        <v>6594981</v>
      </c>
      <c r="I2861" s="6">
        <v>1622940</v>
      </c>
      <c r="J2861" s="5" t="s">
        <v>192</v>
      </c>
      <c r="K2861" s="5" t="s">
        <v>212</v>
      </c>
      <c r="L2861" s="1" t="str">
        <f t="shared" si="159"/>
        <v>Väsjön 2</v>
      </c>
      <c r="M2861" s="1" t="s">
        <v>177</v>
      </c>
      <c r="AA2861" s="6">
        <v>0.95</v>
      </c>
    </row>
    <row r="2862" spans="1:38" x14ac:dyDescent="0.3">
      <c r="A2862" s="6">
        <v>48449</v>
      </c>
      <c r="B2862" s="5" t="s">
        <v>235</v>
      </c>
      <c r="C2862" s="5" t="s">
        <v>236</v>
      </c>
      <c r="D2862" s="2">
        <f t="shared" si="157"/>
        <v>2015</v>
      </c>
      <c r="E2862" s="2">
        <f t="shared" si="158"/>
        <v>11</v>
      </c>
      <c r="F2862" s="3" t="s">
        <v>180</v>
      </c>
      <c r="G2862" s="7">
        <v>42319</v>
      </c>
      <c r="H2862" s="6">
        <v>6594875</v>
      </c>
      <c r="I2862" s="6">
        <v>1623052</v>
      </c>
      <c r="J2862" s="5" t="s">
        <v>192</v>
      </c>
      <c r="K2862" s="5" t="s">
        <v>213</v>
      </c>
      <c r="L2862" s="1" t="str">
        <f t="shared" si="159"/>
        <v>Väsjön 3</v>
      </c>
      <c r="M2862" s="1" t="s">
        <v>177</v>
      </c>
      <c r="AA2862" s="6">
        <v>0.55000000000000004</v>
      </c>
    </row>
    <row r="2863" spans="1:38" x14ac:dyDescent="0.3">
      <c r="A2863" s="1">
        <v>48440</v>
      </c>
      <c r="B2863" s="1" t="s">
        <v>233</v>
      </c>
      <c r="C2863" s="1" t="s">
        <v>209</v>
      </c>
      <c r="D2863" s="2">
        <f t="shared" si="157"/>
        <v>2015</v>
      </c>
      <c r="E2863" s="2">
        <f t="shared" si="158"/>
        <v>11</v>
      </c>
      <c r="F2863" s="3" t="s">
        <v>180</v>
      </c>
      <c r="G2863" s="4">
        <v>42319</v>
      </c>
      <c r="H2863" s="1">
        <v>6600935</v>
      </c>
      <c r="I2863" s="1">
        <v>1626764</v>
      </c>
      <c r="J2863" s="1" t="s">
        <v>191</v>
      </c>
      <c r="K2863" s="1" t="s">
        <v>210</v>
      </c>
      <c r="L2863" s="1" t="str">
        <f t="shared" si="159"/>
        <v>Vallentunasjön Va2</v>
      </c>
      <c r="M2863" s="1" t="s">
        <v>177</v>
      </c>
      <c r="N2863" s="1">
        <v>0.5</v>
      </c>
      <c r="O2863" s="1">
        <v>0.5</v>
      </c>
      <c r="P2863" s="1">
        <v>1.2</v>
      </c>
      <c r="Q2863" s="1">
        <v>6.6</v>
      </c>
      <c r="R2863" s="1">
        <v>11.2</v>
      </c>
      <c r="S2863" s="1">
        <v>92</v>
      </c>
    </row>
    <row r="2864" spans="1:38" x14ac:dyDescent="0.3">
      <c r="A2864" s="1">
        <v>48441</v>
      </c>
      <c r="B2864" s="1" t="s">
        <v>233</v>
      </c>
      <c r="C2864" s="1" t="s">
        <v>209</v>
      </c>
      <c r="D2864" s="2">
        <f t="shared" si="157"/>
        <v>2015</v>
      </c>
      <c r="E2864" s="2">
        <f t="shared" si="158"/>
        <v>11</v>
      </c>
      <c r="F2864" s="3" t="s">
        <v>180</v>
      </c>
      <c r="G2864" s="4">
        <v>42319</v>
      </c>
      <c r="H2864" s="1">
        <v>6600935</v>
      </c>
      <c r="I2864" s="1">
        <v>1626764</v>
      </c>
      <c r="J2864" s="1" t="s">
        <v>191</v>
      </c>
      <c r="K2864" s="1" t="s">
        <v>210</v>
      </c>
      <c r="L2864" s="1" t="str">
        <f t="shared" si="159"/>
        <v>Vallentunasjön Va2</v>
      </c>
      <c r="M2864" s="1" t="s">
        <v>211</v>
      </c>
      <c r="N2864" s="1">
        <v>1</v>
      </c>
      <c r="O2864" s="1">
        <v>1</v>
      </c>
      <c r="Q2864" s="1">
        <v>6.6</v>
      </c>
      <c r="R2864" s="1">
        <v>11.2</v>
      </c>
      <c r="S2864" s="1">
        <v>93</v>
      </c>
    </row>
    <row r="2865" spans="1:51" x14ac:dyDescent="0.3">
      <c r="A2865" s="1">
        <v>48442</v>
      </c>
      <c r="B2865" s="1" t="s">
        <v>233</v>
      </c>
      <c r="C2865" s="1" t="s">
        <v>209</v>
      </c>
      <c r="D2865" s="2">
        <f t="shared" si="157"/>
        <v>2015</v>
      </c>
      <c r="E2865" s="2">
        <f t="shared" si="158"/>
        <v>11</v>
      </c>
      <c r="F2865" s="3" t="s">
        <v>180</v>
      </c>
      <c r="G2865" s="4">
        <v>42319</v>
      </c>
      <c r="H2865" s="1">
        <v>6600935</v>
      </c>
      <c r="I2865" s="1">
        <v>1626764</v>
      </c>
      <c r="J2865" s="1" t="s">
        <v>191</v>
      </c>
      <c r="K2865" s="1" t="s">
        <v>210</v>
      </c>
      <c r="L2865" s="1" t="str">
        <f t="shared" si="159"/>
        <v>Vallentunasjön Va2</v>
      </c>
      <c r="M2865" s="1" t="s">
        <v>212</v>
      </c>
      <c r="N2865" s="1">
        <v>2</v>
      </c>
      <c r="O2865" s="1">
        <v>2</v>
      </c>
      <c r="Q2865" s="1">
        <v>6.6</v>
      </c>
      <c r="R2865" s="1">
        <v>11.3</v>
      </c>
      <c r="S2865" s="1">
        <v>93</v>
      </c>
    </row>
    <row r="2866" spans="1:51" x14ac:dyDescent="0.3">
      <c r="A2866" s="1">
        <v>48443</v>
      </c>
      <c r="B2866" s="1" t="s">
        <v>233</v>
      </c>
      <c r="C2866" s="1" t="s">
        <v>209</v>
      </c>
      <c r="D2866" s="2">
        <f t="shared" si="157"/>
        <v>2015</v>
      </c>
      <c r="E2866" s="2">
        <f t="shared" si="158"/>
        <v>11</v>
      </c>
      <c r="F2866" s="3" t="s">
        <v>180</v>
      </c>
      <c r="G2866" s="4">
        <v>42319</v>
      </c>
      <c r="H2866" s="1">
        <v>6600935</v>
      </c>
      <c r="I2866" s="1">
        <v>1626764</v>
      </c>
      <c r="J2866" s="1" t="s">
        <v>191</v>
      </c>
      <c r="K2866" s="1" t="s">
        <v>210</v>
      </c>
      <c r="L2866" s="1" t="str">
        <f t="shared" si="159"/>
        <v>Vallentunasjön Va2</v>
      </c>
      <c r="M2866" s="1" t="s">
        <v>213</v>
      </c>
      <c r="N2866" s="1">
        <v>3</v>
      </c>
      <c r="O2866" s="1">
        <v>3</v>
      </c>
      <c r="Q2866" s="1">
        <v>6.6</v>
      </c>
      <c r="R2866" s="1">
        <v>11.3</v>
      </c>
      <c r="S2866" s="1">
        <v>93</v>
      </c>
    </row>
    <row r="2867" spans="1:51" x14ac:dyDescent="0.3">
      <c r="A2867" s="1">
        <v>48444</v>
      </c>
      <c r="B2867" s="1" t="s">
        <v>233</v>
      </c>
      <c r="C2867" s="1" t="s">
        <v>209</v>
      </c>
      <c r="D2867" s="2">
        <f t="shared" si="157"/>
        <v>2015</v>
      </c>
      <c r="E2867" s="2">
        <f t="shared" si="158"/>
        <v>11</v>
      </c>
      <c r="F2867" s="3" t="s">
        <v>180</v>
      </c>
      <c r="G2867" s="4">
        <v>42319</v>
      </c>
      <c r="H2867" s="1">
        <v>6600935</v>
      </c>
      <c r="I2867" s="1">
        <v>1626764</v>
      </c>
      <c r="J2867" s="1" t="s">
        <v>191</v>
      </c>
      <c r="K2867" s="1" t="s">
        <v>210</v>
      </c>
      <c r="L2867" s="1" t="str">
        <f t="shared" si="159"/>
        <v>Vallentunasjön Va2</v>
      </c>
      <c r="M2867" s="1" t="s">
        <v>214</v>
      </c>
      <c r="N2867" s="1">
        <v>4</v>
      </c>
      <c r="O2867" s="1">
        <v>4</v>
      </c>
      <c r="Q2867" s="1">
        <v>6.6</v>
      </c>
      <c r="R2867" s="1">
        <v>11.3</v>
      </c>
      <c r="S2867" s="1">
        <v>93</v>
      </c>
    </row>
    <row r="2868" spans="1:51" x14ac:dyDescent="0.3">
      <c r="A2868" s="1">
        <v>48445</v>
      </c>
      <c r="B2868" s="1" t="s">
        <v>233</v>
      </c>
      <c r="C2868" s="1" t="s">
        <v>209</v>
      </c>
      <c r="D2868" s="2">
        <f t="shared" si="157"/>
        <v>2015</v>
      </c>
      <c r="E2868" s="2">
        <f t="shared" si="158"/>
        <v>11</v>
      </c>
      <c r="F2868" s="3" t="s">
        <v>180</v>
      </c>
      <c r="G2868" s="4">
        <v>42319</v>
      </c>
      <c r="H2868" s="1">
        <v>6600935</v>
      </c>
      <c r="I2868" s="1">
        <v>1626764</v>
      </c>
      <c r="J2868" s="1" t="s">
        <v>191</v>
      </c>
      <c r="K2868" s="1" t="s">
        <v>210</v>
      </c>
      <c r="L2868" s="1" t="str">
        <f t="shared" si="159"/>
        <v>Vallentunasjön Va2</v>
      </c>
      <c r="M2868" s="1" t="s">
        <v>184</v>
      </c>
      <c r="Q2868" s="1">
        <v>6.6</v>
      </c>
      <c r="R2868" s="1">
        <v>11.2</v>
      </c>
      <c r="S2868" s="1">
        <v>92</v>
      </c>
    </row>
    <row r="2869" spans="1:51" x14ac:dyDescent="0.3">
      <c r="A2869" s="1">
        <v>48446</v>
      </c>
      <c r="B2869" s="1" t="s">
        <v>233</v>
      </c>
      <c r="C2869" s="1" t="s">
        <v>209</v>
      </c>
      <c r="D2869" s="2">
        <f t="shared" si="157"/>
        <v>2015</v>
      </c>
      <c r="E2869" s="2">
        <f t="shared" si="158"/>
        <v>11</v>
      </c>
      <c r="F2869" s="3" t="s">
        <v>180</v>
      </c>
      <c r="G2869" s="4">
        <v>42319</v>
      </c>
      <c r="J2869" s="1" t="s">
        <v>191</v>
      </c>
      <c r="K2869" s="1" t="s">
        <v>206</v>
      </c>
      <c r="L2869" s="1" t="str">
        <f t="shared" si="159"/>
        <v>Vallentunasjön Blandprov</v>
      </c>
      <c r="M2869" s="1" t="s">
        <v>177</v>
      </c>
      <c r="N2869" s="1">
        <v>4</v>
      </c>
      <c r="O2869" s="1">
        <v>0</v>
      </c>
      <c r="W2869" s="1">
        <v>102.59050000000001</v>
      </c>
      <c r="Z2869" s="1">
        <v>0.8</v>
      </c>
      <c r="AB2869" s="1">
        <v>32.569499999999998</v>
      </c>
      <c r="AD2869" s="1">
        <v>6.02</v>
      </c>
      <c r="AG2869" s="1">
        <v>9.1999999999999993</v>
      </c>
      <c r="AK2869" s="1">
        <v>35.93</v>
      </c>
      <c r="AL2869" s="1">
        <v>1047</v>
      </c>
    </row>
    <row r="2870" spans="1:51" x14ac:dyDescent="0.3">
      <c r="D2870" s="2">
        <f t="shared" si="157"/>
        <v>2015</v>
      </c>
      <c r="E2870" s="2">
        <f t="shared" si="158"/>
        <v>11</v>
      </c>
      <c r="F2870" s="3" t="s">
        <v>180</v>
      </c>
      <c r="G2870" s="4">
        <v>42324</v>
      </c>
      <c r="H2870" s="1">
        <v>6606238</v>
      </c>
      <c r="I2870" s="1">
        <v>661152</v>
      </c>
      <c r="J2870" s="5" t="s">
        <v>176</v>
      </c>
      <c r="K2870" s="1"/>
      <c r="L2870" s="1" t="str">
        <f t="shared" si="159"/>
        <v xml:space="preserve">Oxundaån </v>
      </c>
      <c r="M2870" s="1" t="s">
        <v>177</v>
      </c>
      <c r="N2870" s="1">
        <v>0.1</v>
      </c>
      <c r="O2870" s="1">
        <v>0.1</v>
      </c>
      <c r="Q2870" s="1">
        <v>5.5</v>
      </c>
      <c r="T2870" s="1">
        <v>44.8</v>
      </c>
      <c r="V2870" s="1">
        <v>2.3919999999999999</v>
      </c>
      <c r="W2870" s="1">
        <v>69</v>
      </c>
      <c r="X2870" s="1">
        <f>W2870 * (1/((10^((0.0901821 + (2729.92 /(273.15 + Q2870)))-AE2870)+1)))</f>
        <v>0.42562797114552114</v>
      </c>
      <c r="Y2870" s="1">
        <v>5.7000000000000002E-2</v>
      </c>
      <c r="Z2870" s="1">
        <v>26</v>
      </c>
      <c r="AA2870" s="1">
        <v>2</v>
      </c>
      <c r="AD2870" s="1">
        <v>127</v>
      </c>
      <c r="AE2870" s="1">
        <v>7.68</v>
      </c>
      <c r="AI2870" s="1">
        <v>10.3</v>
      </c>
      <c r="AK2870" s="1">
        <v>42.4</v>
      </c>
      <c r="AL2870" s="1">
        <v>820</v>
      </c>
      <c r="AR2870" s="1">
        <v>50.8</v>
      </c>
      <c r="AT2870" s="1">
        <v>5.5522</v>
      </c>
      <c r="AU2870" s="1">
        <v>8.9660999999999991</v>
      </c>
      <c r="AV2870" s="1">
        <v>33.677500000000002</v>
      </c>
      <c r="AW2870" s="1">
        <v>24.087000000000003</v>
      </c>
      <c r="AX2870" s="1">
        <v>52.086199999999998</v>
      </c>
      <c r="AY2870" s="1">
        <v>2.5</v>
      </c>
    </row>
    <row r="2871" spans="1:51" x14ac:dyDescent="0.3">
      <c r="D2871" s="2">
        <f t="shared" si="157"/>
        <v>2015</v>
      </c>
      <c r="E2871" s="2">
        <f t="shared" si="158"/>
        <v>12</v>
      </c>
      <c r="F2871" s="3" t="s">
        <v>175</v>
      </c>
      <c r="G2871" s="4">
        <v>42348</v>
      </c>
      <c r="H2871" s="1">
        <v>6606238</v>
      </c>
      <c r="I2871" s="1">
        <v>661152</v>
      </c>
      <c r="J2871" s="5" t="s">
        <v>176</v>
      </c>
      <c r="K2871" s="1"/>
      <c r="L2871" s="1" t="str">
        <f t="shared" si="159"/>
        <v xml:space="preserve">Oxundaån </v>
      </c>
      <c r="M2871" s="1" t="s">
        <v>177</v>
      </c>
      <c r="N2871" s="1">
        <v>0.2</v>
      </c>
      <c r="O2871" s="1">
        <v>0.2</v>
      </c>
      <c r="Q2871" s="1">
        <v>4.2</v>
      </c>
      <c r="T2871" s="1">
        <v>44.4</v>
      </c>
      <c r="V2871" s="1">
        <v>2.4039999999999999</v>
      </c>
      <c r="W2871" s="1">
        <v>89</v>
      </c>
      <c r="X2871" s="1">
        <f>W2871 * (1/((10^((0.0901821 + (2729.92 /(273.15 + Q2871)))-AE2871)+1)))</f>
        <v>0.76312903748262995</v>
      </c>
      <c r="Y2871" s="1">
        <v>6.8000000000000005E-2</v>
      </c>
      <c r="Z2871" s="1">
        <v>36</v>
      </c>
      <c r="AA2871" s="1">
        <v>9</v>
      </c>
      <c r="AD2871" s="1">
        <v>317</v>
      </c>
      <c r="AE2871" s="1">
        <v>7.87</v>
      </c>
      <c r="AI2871" s="1">
        <v>10.7</v>
      </c>
      <c r="AK2871" s="1">
        <v>56.2</v>
      </c>
      <c r="AL2871" s="1">
        <v>1010</v>
      </c>
      <c r="AR2871" s="1">
        <v>51.6</v>
      </c>
      <c r="AT2871" s="1">
        <v>5.7085999999999997</v>
      </c>
      <c r="AU2871" s="1">
        <v>9.1113</v>
      </c>
      <c r="AV2871" s="1">
        <v>32.684900000000006</v>
      </c>
      <c r="AW2871" s="1">
        <v>24.545800000000003</v>
      </c>
      <c r="AX2871" s="1">
        <v>49.299299999999995</v>
      </c>
      <c r="AY2871" s="1">
        <v>3.8</v>
      </c>
    </row>
    <row r="2872" spans="1:51" x14ac:dyDescent="0.3">
      <c r="A2872" s="6">
        <v>49136</v>
      </c>
      <c r="B2872" s="5" t="s">
        <v>235</v>
      </c>
      <c r="C2872" s="5" t="s">
        <v>236</v>
      </c>
      <c r="D2872" s="2">
        <f t="shared" si="157"/>
        <v>2015</v>
      </c>
      <c r="E2872" s="2">
        <f t="shared" si="158"/>
        <v>12</v>
      </c>
      <c r="F2872" s="3" t="s">
        <v>175</v>
      </c>
      <c r="G2872" s="7">
        <v>42353</v>
      </c>
      <c r="H2872" s="6">
        <v>6594899</v>
      </c>
      <c r="I2872" s="6">
        <v>1622837</v>
      </c>
      <c r="J2872" s="5" t="s">
        <v>192</v>
      </c>
      <c r="K2872" s="5" t="s">
        <v>211</v>
      </c>
      <c r="L2872" s="1" t="str">
        <f t="shared" si="159"/>
        <v>Väsjön 1</v>
      </c>
      <c r="M2872" s="1" t="s">
        <v>177</v>
      </c>
      <c r="AA2872" s="6">
        <v>3</v>
      </c>
    </row>
    <row r="2873" spans="1:51" x14ac:dyDescent="0.3">
      <c r="A2873" s="6">
        <v>49137</v>
      </c>
      <c r="B2873" s="5" t="s">
        <v>235</v>
      </c>
      <c r="C2873" s="5" t="s">
        <v>236</v>
      </c>
      <c r="D2873" s="2">
        <f t="shared" si="157"/>
        <v>2015</v>
      </c>
      <c r="E2873" s="2">
        <f t="shared" si="158"/>
        <v>12</v>
      </c>
      <c r="F2873" s="3" t="s">
        <v>175</v>
      </c>
      <c r="G2873" s="7">
        <v>42353</v>
      </c>
      <c r="H2873" s="6">
        <v>6594981</v>
      </c>
      <c r="I2873" s="6">
        <v>1622940</v>
      </c>
      <c r="J2873" s="5" t="s">
        <v>192</v>
      </c>
      <c r="K2873" s="5" t="s">
        <v>212</v>
      </c>
      <c r="L2873" s="1" t="str">
        <f t="shared" si="159"/>
        <v>Väsjön 2</v>
      </c>
      <c r="M2873" s="1" t="s">
        <v>177</v>
      </c>
      <c r="AA2873" s="6">
        <v>2.2000000000000002</v>
      </c>
    </row>
    <row r="2874" spans="1:51" x14ac:dyDescent="0.3">
      <c r="A2874" s="6">
        <v>49138</v>
      </c>
      <c r="B2874" s="5" t="s">
        <v>235</v>
      </c>
      <c r="C2874" s="5" t="s">
        <v>236</v>
      </c>
      <c r="D2874" s="2">
        <f t="shared" si="157"/>
        <v>2015</v>
      </c>
      <c r="E2874" s="2">
        <f t="shared" si="158"/>
        <v>12</v>
      </c>
      <c r="F2874" s="3" t="s">
        <v>175</v>
      </c>
      <c r="G2874" s="7">
        <v>42353</v>
      </c>
      <c r="H2874" s="6">
        <v>6594875</v>
      </c>
      <c r="I2874" s="6">
        <v>1623052</v>
      </c>
      <c r="J2874" s="5" t="s">
        <v>192</v>
      </c>
      <c r="K2874" s="5" t="s">
        <v>213</v>
      </c>
      <c r="L2874" s="1" t="str">
        <f t="shared" si="159"/>
        <v>Väsjön 3</v>
      </c>
      <c r="M2874" s="1" t="s">
        <v>177</v>
      </c>
      <c r="AA2874" s="6">
        <v>2</v>
      </c>
    </row>
    <row r="2875" spans="1:51" x14ac:dyDescent="0.3">
      <c r="A2875" s="1">
        <v>49571</v>
      </c>
      <c r="B2875" s="1" t="s">
        <v>237</v>
      </c>
      <c r="C2875" s="1" t="s">
        <v>209</v>
      </c>
      <c r="D2875" s="2">
        <f t="shared" si="157"/>
        <v>2016</v>
      </c>
      <c r="E2875" s="2">
        <f t="shared" si="158"/>
        <v>1</v>
      </c>
      <c r="F2875" s="3" t="s">
        <v>175</v>
      </c>
      <c r="G2875" s="4">
        <v>42388</v>
      </c>
      <c r="H2875" s="1">
        <v>6600935</v>
      </c>
      <c r="I2875" s="1">
        <v>1626764</v>
      </c>
      <c r="J2875" s="1" t="s">
        <v>191</v>
      </c>
      <c r="K2875" s="1" t="s">
        <v>210</v>
      </c>
      <c r="L2875" s="1" t="str">
        <f t="shared" si="159"/>
        <v>Vallentunasjön Va2</v>
      </c>
      <c r="M2875" s="1" t="s">
        <v>177</v>
      </c>
      <c r="N2875" s="1">
        <v>0.5</v>
      </c>
      <c r="O2875" s="1">
        <v>0.5</v>
      </c>
      <c r="P2875" s="1">
        <v>2</v>
      </c>
      <c r="Q2875" s="1">
        <v>1.1000000000000001</v>
      </c>
      <c r="R2875" s="1">
        <v>13.1</v>
      </c>
      <c r="S2875" s="1">
        <v>93</v>
      </c>
    </row>
    <row r="2876" spans="1:51" x14ac:dyDescent="0.3">
      <c r="A2876" s="1">
        <v>49572</v>
      </c>
      <c r="B2876" s="1" t="s">
        <v>237</v>
      </c>
      <c r="C2876" s="1" t="s">
        <v>209</v>
      </c>
      <c r="D2876" s="2">
        <f t="shared" si="157"/>
        <v>2016</v>
      </c>
      <c r="E2876" s="2">
        <f t="shared" si="158"/>
        <v>1</v>
      </c>
      <c r="F2876" s="3" t="s">
        <v>175</v>
      </c>
      <c r="G2876" s="4">
        <v>42388</v>
      </c>
      <c r="H2876" s="1">
        <v>6600935</v>
      </c>
      <c r="I2876" s="1">
        <v>1626764</v>
      </c>
      <c r="J2876" s="1" t="s">
        <v>191</v>
      </c>
      <c r="K2876" s="1" t="s">
        <v>210</v>
      </c>
      <c r="L2876" s="1" t="str">
        <f t="shared" si="159"/>
        <v>Vallentunasjön Va2</v>
      </c>
      <c r="M2876" s="1" t="s">
        <v>211</v>
      </c>
      <c r="N2876" s="1">
        <v>1</v>
      </c>
      <c r="O2876" s="1">
        <v>1</v>
      </c>
      <c r="Q2876" s="1">
        <v>1.4</v>
      </c>
      <c r="R2876" s="1">
        <v>12.9</v>
      </c>
      <c r="S2876" s="1">
        <v>92</v>
      </c>
    </row>
    <row r="2877" spans="1:51" x14ac:dyDescent="0.3">
      <c r="A2877" s="1">
        <v>49573</v>
      </c>
      <c r="B2877" s="1" t="s">
        <v>237</v>
      </c>
      <c r="C2877" s="1" t="s">
        <v>209</v>
      </c>
      <c r="D2877" s="2">
        <f t="shared" si="157"/>
        <v>2016</v>
      </c>
      <c r="E2877" s="2">
        <f t="shared" si="158"/>
        <v>1</v>
      </c>
      <c r="F2877" s="3" t="s">
        <v>175</v>
      </c>
      <c r="G2877" s="4">
        <v>42388</v>
      </c>
      <c r="H2877" s="1">
        <v>6600935</v>
      </c>
      <c r="I2877" s="1">
        <v>1626764</v>
      </c>
      <c r="J2877" s="1" t="s">
        <v>191</v>
      </c>
      <c r="K2877" s="1" t="s">
        <v>210</v>
      </c>
      <c r="L2877" s="1" t="str">
        <f t="shared" si="159"/>
        <v>Vallentunasjön Va2</v>
      </c>
      <c r="M2877" s="1" t="s">
        <v>212</v>
      </c>
      <c r="N2877" s="1">
        <v>2</v>
      </c>
      <c r="O2877" s="1">
        <v>2</v>
      </c>
      <c r="Q2877" s="1">
        <v>2.1</v>
      </c>
      <c r="R2877" s="1">
        <v>12.2</v>
      </c>
      <c r="S2877" s="1">
        <v>89</v>
      </c>
    </row>
    <row r="2878" spans="1:51" x14ac:dyDescent="0.3">
      <c r="A2878" s="1">
        <v>49574</v>
      </c>
      <c r="B2878" s="1" t="s">
        <v>237</v>
      </c>
      <c r="C2878" s="1" t="s">
        <v>209</v>
      </c>
      <c r="D2878" s="2">
        <f t="shared" si="157"/>
        <v>2016</v>
      </c>
      <c r="E2878" s="2">
        <f t="shared" si="158"/>
        <v>1</v>
      </c>
      <c r="F2878" s="3" t="s">
        <v>175</v>
      </c>
      <c r="G2878" s="4">
        <v>42388</v>
      </c>
      <c r="H2878" s="1">
        <v>6600935</v>
      </c>
      <c r="I2878" s="1">
        <v>1626764</v>
      </c>
      <c r="J2878" s="1" t="s">
        <v>191</v>
      </c>
      <c r="K2878" s="1" t="s">
        <v>210</v>
      </c>
      <c r="L2878" s="1" t="str">
        <f t="shared" si="159"/>
        <v>Vallentunasjön Va2</v>
      </c>
      <c r="M2878" s="1" t="s">
        <v>213</v>
      </c>
      <c r="N2878" s="1">
        <v>3</v>
      </c>
      <c r="O2878" s="1">
        <v>3</v>
      </c>
      <c r="Q2878" s="1">
        <v>2.6</v>
      </c>
      <c r="R2878" s="1">
        <v>11.4</v>
      </c>
      <c r="S2878" s="1">
        <v>84</v>
      </c>
    </row>
    <row r="2879" spans="1:51" x14ac:dyDescent="0.3">
      <c r="A2879" s="1">
        <v>49575</v>
      </c>
      <c r="B2879" s="1" t="s">
        <v>237</v>
      </c>
      <c r="C2879" s="1" t="s">
        <v>209</v>
      </c>
      <c r="D2879" s="2">
        <f t="shared" si="157"/>
        <v>2016</v>
      </c>
      <c r="E2879" s="2">
        <f t="shared" si="158"/>
        <v>1</v>
      </c>
      <c r="F2879" s="3" t="s">
        <v>175</v>
      </c>
      <c r="G2879" s="4">
        <v>42388</v>
      </c>
      <c r="H2879" s="1">
        <v>6600935</v>
      </c>
      <c r="I2879" s="1">
        <v>1626764</v>
      </c>
      <c r="J2879" s="1" t="s">
        <v>191</v>
      </c>
      <c r="K2879" s="1" t="s">
        <v>210</v>
      </c>
      <c r="L2879" s="1" t="str">
        <f t="shared" si="159"/>
        <v>Vallentunasjön Va2</v>
      </c>
      <c r="M2879" s="1" t="s">
        <v>214</v>
      </c>
      <c r="N2879" s="1">
        <v>4</v>
      </c>
      <c r="O2879" s="1">
        <v>4</v>
      </c>
      <c r="Q2879" s="1">
        <v>3.6</v>
      </c>
      <c r="R2879" s="1">
        <v>4.7</v>
      </c>
      <c r="S2879" s="1">
        <v>35</v>
      </c>
    </row>
    <row r="2880" spans="1:51" x14ac:dyDescent="0.3">
      <c r="A2880" s="1">
        <v>49576</v>
      </c>
      <c r="B2880" s="1" t="s">
        <v>237</v>
      </c>
      <c r="C2880" s="1" t="s">
        <v>209</v>
      </c>
      <c r="D2880" s="2">
        <f t="shared" si="157"/>
        <v>2016</v>
      </c>
      <c r="E2880" s="2">
        <f t="shared" si="158"/>
        <v>1</v>
      </c>
      <c r="F2880" s="3" t="s">
        <v>175</v>
      </c>
      <c r="G2880" s="4">
        <v>42388</v>
      </c>
      <c r="H2880" s="1">
        <v>6600935</v>
      </c>
      <c r="I2880" s="1">
        <v>1626764</v>
      </c>
      <c r="J2880" s="1" t="s">
        <v>191</v>
      </c>
      <c r="K2880" s="1" t="s">
        <v>210</v>
      </c>
      <c r="L2880" s="1" t="str">
        <f t="shared" si="159"/>
        <v>Vallentunasjön Va2</v>
      </c>
      <c r="M2880" s="1" t="s">
        <v>184</v>
      </c>
      <c r="Q2880" s="1">
        <v>3.9</v>
      </c>
      <c r="R2880" s="1">
        <v>2.6</v>
      </c>
      <c r="S2880" s="1">
        <v>20</v>
      </c>
    </row>
    <row r="2881" spans="1:51" x14ac:dyDescent="0.3">
      <c r="A2881" s="1">
        <v>49577</v>
      </c>
      <c r="B2881" s="1" t="s">
        <v>237</v>
      </c>
      <c r="C2881" s="1" t="s">
        <v>209</v>
      </c>
      <c r="D2881" s="2">
        <f t="shared" si="157"/>
        <v>2016</v>
      </c>
      <c r="E2881" s="2">
        <f t="shared" si="158"/>
        <v>1</v>
      </c>
      <c r="F2881" s="3" t="s">
        <v>175</v>
      </c>
      <c r="G2881" s="4">
        <v>42388</v>
      </c>
      <c r="J2881" s="1" t="s">
        <v>191</v>
      </c>
      <c r="K2881" s="1" t="s">
        <v>206</v>
      </c>
      <c r="L2881" s="1" t="str">
        <f t="shared" si="159"/>
        <v>Vallentunasjön Blandprov</v>
      </c>
      <c r="M2881" s="1" t="s">
        <v>177</v>
      </c>
      <c r="N2881" s="1">
        <v>4</v>
      </c>
      <c r="O2881" s="1">
        <v>0</v>
      </c>
      <c r="W2881" s="1">
        <v>357.94369999999998</v>
      </c>
      <c r="Z2881" s="1">
        <v>12.21</v>
      </c>
      <c r="AB2881" s="1">
        <v>13.985279999999999</v>
      </c>
      <c r="AD2881" s="1">
        <v>115.91</v>
      </c>
      <c r="AG2881" s="1">
        <v>3.6</v>
      </c>
      <c r="AK2881" s="1">
        <v>30.77</v>
      </c>
      <c r="AL2881" s="1">
        <v>1268.79</v>
      </c>
    </row>
    <row r="2882" spans="1:51" x14ac:dyDescent="0.3">
      <c r="D2882" s="2">
        <f t="shared" ref="D2882:D2945" si="160">YEAR(G2882)</f>
        <v>2016</v>
      </c>
      <c r="E2882" s="2">
        <f t="shared" ref="E2882:E2945" si="161">MONTH(G2882)</f>
        <v>1</v>
      </c>
      <c r="F2882" s="3" t="s">
        <v>175</v>
      </c>
      <c r="G2882" s="4">
        <v>42388</v>
      </c>
      <c r="H2882" s="1">
        <v>6606238</v>
      </c>
      <c r="I2882" s="1">
        <v>661152</v>
      </c>
      <c r="J2882" s="5" t="s">
        <v>176</v>
      </c>
      <c r="K2882" s="1"/>
      <c r="L2882" s="1" t="str">
        <f t="shared" ref="L2882:L2945" si="162">CONCATENATE(J2882," ",K2882)</f>
        <v xml:space="preserve">Oxundaån </v>
      </c>
      <c r="M2882" s="1" t="s">
        <v>177</v>
      </c>
      <c r="N2882" s="1">
        <v>0.2</v>
      </c>
      <c r="O2882" s="1">
        <v>0.2</v>
      </c>
      <c r="Q2882" s="1">
        <v>1</v>
      </c>
      <c r="T2882" s="1">
        <v>48.7</v>
      </c>
      <c r="V2882" s="1">
        <v>2.5750000000000002</v>
      </c>
      <c r="W2882" s="1">
        <v>68</v>
      </c>
      <c r="X2882" s="1">
        <f>W2882 * (1/((10^((0.0901821 + (2729.92 /(273.15 + Q2882)))-AE2882)+1)))</f>
        <v>0.27091481770563897</v>
      </c>
      <c r="Y2882" s="1">
        <v>7.3999999999999996E-2</v>
      </c>
      <c r="Z2882" s="1">
        <v>33</v>
      </c>
      <c r="AA2882" s="1">
        <v>6.2</v>
      </c>
      <c r="AD2882" s="1">
        <v>722</v>
      </c>
      <c r="AE2882" s="1">
        <v>7.65</v>
      </c>
      <c r="AI2882" s="1">
        <v>11.8</v>
      </c>
      <c r="AK2882" s="1">
        <v>50.3</v>
      </c>
      <c r="AL2882" s="1">
        <v>1340</v>
      </c>
      <c r="AR2882" s="1">
        <v>54</v>
      </c>
      <c r="AT2882" s="1">
        <v>5.8650000000000002</v>
      </c>
      <c r="AU2882" s="1">
        <v>9.5589999999999993</v>
      </c>
      <c r="AV2882" s="1">
        <v>34.953700000000005</v>
      </c>
      <c r="AW2882" s="1">
        <v>22.94</v>
      </c>
      <c r="AX2882" s="1">
        <v>61.023499999999999</v>
      </c>
      <c r="AY2882" s="1">
        <v>5.0999999999999996</v>
      </c>
    </row>
    <row r="2883" spans="1:51" x14ac:dyDescent="0.3">
      <c r="A2883" s="6">
        <v>49991</v>
      </c>
      <c r="B2883" s="5" t="s">
        <v>238</v>
      </c>
      <c r="C2883" s="5" t="s">
        <v>231</v>
      </c>
      <c r="D2883" s="2">
        <f t="shared" si="160"/>
        <v>2016</v>
      </c>
      <c r="E2883" s="2">
        <f t="shared" si="161"/>
        <v>2</v>
      </c>
      <c r="F2883" s="3" t="s">
        <v>175</v>
      </c>
      <c r="G2883" s="7">
        <v>42410</v>
      </c>
      <c r="H2883" s="6">
        <v>6606035</v>
      </c>
      <c r="I2883" s="6">
        <v>1615620</v>
      </c>
      <c r="J2883" s="5" t="s">
        <v>187</v>
      </c>
      <c r="K2883" s="1"/>
      <c r="L2883" s="1" t="str">
        <f t="shared" si="162"/>
        <v xml:space="preserve">Oxundasjön </v>
      </c>
      <c r="M2883" s="1" t="s">
        <v>177</v>
      </c>
      <c r="N2883" s="6">
        <v>0.5</v>
      </c>
      <c r="O2883" s="6">
        <v>0.5</v>
      </c>
      <c r="P2883" s="6">
        <v>1</v>
      </c>
      <c r="Q2883" s="6">
        <v>2.6</v>
      </c>
      <c r="R2883" s="6">
        <v>10.7</v>
      </c>
      <c r="S2883" s="6">
        <v>80</v>
      </c>
      <c r="W2883" s="6">
        <v>56.3172</v>
      </c>
      <c r="Y2883" s="6">
        <v>0.13300000000000001</v>
      </c>
      <c r="Z2883" s="6">
        <v>27.52</v>
      </c>
      <c r="AA2883" s="6">
        <v>18.3</v>
      </c>
      <c r="AD2883" s="6">
        <v>984.68</v>
      </c>
      <c r="AK2883" s="6">
        <v>65.790000000000006</v>
      </c>
      <c r="AL2883" s="6">
        <v>1699.44</v>
      </c>
      <c r="AM2883" s="6"/>
      <c r="AN2883" s="6"/>
      <c r="AO2883" s="6"/>
      <c r="AP2883" s="6"/>
      <c r="AQ2883" s="6"/>
    </row>
    <row r="2884" spans="1:51" x14ac:dyDescent="0.3">
      <c r="A2884" s="6">
        <v>49992</v>
      </c>
      <c r="B2884" s="5" t="s">
        <v>238</v>
      </c>
      <c r="C2884" s="5" t="s">
        <v>231</v>
      </c>
      <c r="D2884" s="2">
        <f t="shared" si="160"/>
        <v>2016</v>
      </c>
      <c r="E2884" s="2">
        <f t="shared" si="161"/>
        <v>2</v>
      </c>
      <c r="F2884" s="3" t="s">
        <v>175</v>
      </c>
      <c r="G2884" s="7">
        <v>42410</v>
      </c>
      <c r="H2884" s="6">
        <v>6606035</v>
      </c>
      <c r="I2884" s="6">
        <v>1615620</v>
      </c>
      <c r="J2884" s="5" t="s">
        <v>187</v>
      </c>
      <c r="K2884" s="1"/>
      <c r="L2884" s="1" t="str">
        <f t="shared" si="162"/>
        <v xml:space="preserve">Oxundasjön </v>
      </c>
      <c r="M2884" s="5" t="s">
        <v>211</v>
      </c>
      <c r="N2884" s="6">
        <v>1</v>
      </c>
      <c r="O2884" s="6">
        <v>1</v>
      </c>
      <c r="Q2884" s="6">
        <v>3</v>
      </c>
      <c r="R2884" s="6">
        <v>9.9</v>
      </c>
      <c r="S2884" s="6">
        <v>75</v>
      </c>
    </row>
    <row r="2885" spans="1:51" x14ac:dyDescent="0.3">
      <c r="A2885" s="6">
        <v>49993</v>
      </c>
      <c r="B2885" s="5" t="s">
        <v>238</v>
      </c>
      <c r="C2885" s="5" t="s">
        <v>231</v>
      </c>
      <c r="D2885" s="2">
        <f t="shared" si="160"/>
        <v>2016</v>
      </c>
      <c r="E2885" s="2">
        <f t="shared" si="161"/>
        <v>2</v>
      </c>
      <c r="F2885" s="3" t="s">
        <v>175</v>
      </c>
      <c r="G2885" s="7">
        <v>42410</v>
      </c>
      <c r="H2885" s="6">
        <v>6606035</v>
      </c>
      <c r="I2885" s="6">
        <v>1615620</v>
      </c>
      <c r="J2885" s="5" t="s">
        <v>187</v>
      </c>
      <c r="K2885" s="1"/>
      <c r="L2885" s="1" t="str">
        <f t="shared" si="162"/>
        <v xml:space="preserve">Oxundasjön </v>
      </c>
      <c r="M2885" s="5" t="s">
        <v>212</v>
      </c>
      <c r="N2885" s="6">
        <v>2</v>
      </c>
      <c r="O2885" s="6">
        <v>2</v>
      </c>
      <c r="Q2885" s="6">
        <v>2.8</v>
      </c>
      <c r="R2885" s="6">
        <v>9.8000000000000007</v>
      </c>
      <c r="S2885" s="6">
        <v>74</v>
      </c>
    </row>
    <row r="2886" spans="1:51" x14ac:dyDescent="0.3">
      <c r="A2886" s="6">
        <v>49994</v>
      </c>
      <c r="B2886" s="5" t="s">
        <v>238</v>
      </c>
      <c r="C2886" s="5" t="s">
        <v>231</v>
      </c>
      <c r="D2886" s="2">
        <f t="shared" si="160"/>
        <v>2016</v>
      </c>
      <c r="E2886" s="2">
        <f t="shared" si="161"/>
        <v>2</v>
      </c>
      <c r="F2886" s="3" t="s">
        <v>175</v>
      </c>
      <c r="G2886" s="7">
        <v>42410</v>
      </c>
      <c r="H2886" s="6">
        <v>6606035</v>
      </c>
      <c r="I2886" s="6">
        <v>1615620</v>
      </c>
      <c r="J2886" s="5" t="s">
        <v>187</v>
      </c>
      <c r="K2886" s="1"/>
      <c r="L2886" s="1" t="str">
        <f t="shared" si="162"/>
        <v xml:space="preserve">Oxundasjön </v>
      </c>
      <c r="M2886" s="5" t="s">
        <v>213</v>
      </c>
      <c r="N2886" s="6">
        <v>3</v>
      </c>
      <c r="O2886" s="6">
        <v>3</v>
      </c>
      <c r="Q2886" s="6">
        <v>2.9</v>
      </c>
      <c r="R2886" s="6">
        <v>8.8000000000000007</v>
      </c>
      <c r="S2886" s="6">
        <v>67</v>
      </c>
    </row>
    <row r="2887" spans="1:51" x14ac:dyDescent="0.3">
      <c r="A2887" s="6">
        <v>49995</v>
      </c>
      <c r="B2887" s="5" t="s">
        <v>238</v>
      </c>
      <c r="C2887" s="5" t="s">
        <v>231</v>
      </c>
      <c r="D2887" s="2">
        <f t="shared" si="160"/>
        <v>2016</v>
      </c>
      <c r="E2887" s="2">
        <f t="shared" si="161"/>
        <v>2</v>
      </c>
      <c r="F2887" s="3" t="s">
        <v>175</v>
      </c>
      <c r="G2887" s="7">
        <v>42410</v>
      </c>
      <c r="H2887" s="6">
        <v>6606035</v>
      </c>
      <c r="I2887" s="6">
        <v>1615620</v>
      </c>
      <c r="J2887" s="5" t="s">
        <v>187</v>
      </c>
      <c r="K2887" s="1"/>
      <c r="L2887" s="1" t="str">
        <f t="shared" si="162"/>
        <v xml:space="preserve">Oxundasjön </v>
      </c>
      <c r="M2887" s="5" t="s">
        <v>214</v>
      </c>
      <c r="N2887" s="6">
        <v>4</v>
      </c>
      <c r="O2887" s="6">
        <v>4</v>
      </c>
      <c r="Q2887" s="6">
        <v>3.1</v>
      </c>
      <c r="R2887" s="6">
        <v>9</v>
      </c>
      <c r="S2887" s="6">
        <v>69</v>
      </c>
    </row>
    <row r="2888" spans="1:51" x14ac:dyDescent="0.3">
      <c r="A2888" s="6">
        <v>49996</v>
      </c>
      <c r="B2888" s="5" t="s">
        <v>238</v>
      </c>
      <c r="C2888" s="5" t="s">
        <v>231</v>
      </c>
      <c r="D2888" s="2">
        <f t="shared" si="160"/>
        <v>2016</v>
      </c>
      <c r="E2888" s="2">
        <f t="shared" si="161"/>
        <v>2</v>
      </c>
      <c r="F2888" s="3" t="s">
        <v>175</v>
      </c>
      <c r="G2888" s="7">
        <v>42410</v>
      </c>
      <c r="H2888" s="6">
        <v>6606035</v>
      </c>
      <c r="I2888" s="6">
        <v>1615620</v>
      </c>
      <c r="J2888" s="5" t="s">
        <v>187</v>
      </c>
      <c r="K2888" s="1"/>
      <c r="L2888" s="1" t="str">
        <f t="shared" si="162"/>
        <v xml:space="preserve">Oxundasjön </v>
      </c>
      <c r="M2888" s="5" t="s">
        <v>217</v>
      </c>
      <c r="N2888" s="6">
        <v>5</v>
      </c>
      <c r="O2888" s="6">
        <v>5</v>
      </c>
      <c r="Q2888" s="6">
        <v>3.7</v>
      </c>
      <c r="R2888" s="6">
        <v>8.1999999999999993</v>
      </c>
      <c r="S2888" s="6">
        <v>64</v>
      </c>
    </row>
    <row r="2889" spans="1:51" x14ac:dyDescent="0.3">
      <c r="A2889" s="6">
        <v>49997</v>
      </c>
      <c r="B2889" s="5" t="s">
        <v>238</v>
      </c>
      <c r="C2889" s="5" t="s">
        <v>231</v>
      </c>
      <c r="D2889" s="2">
        <f t="shared" si="160"/>
        <v>2016</v>
      </c>
      <c r="E2889" s="2">
        <f t="shared" si="161"/>
        <v>2</v>
      </c>
      <c r="F2889" s="3" t="s">
        <v>175</v>
      </c>
      <c r="G2889" s="7">
        <v>42410</v>
      </c>
      <c r="H2889" s="6">
        <v>6606035</v>
      </c>
      <c r="I2889" s="6">
        <v>1615620</v>
      </c>
      <c r="J2889" s="5" t="s">
        <v>187</v>
      </c>
      <c r="K2889" s="1"/>
      <c r="L2889" s="1" t="str">
        <f t="shared" si="162"/>
        <v xml:space="preserve">Oxundasjön </v>
      </c>
      <c r="M2889" s="1" t="s">
        <v>184</v>
      </c>
      <c r="Q2889" s="6">
        <v>3.8</v>
      </c>
      <c r="R2889" s="6">
        <v>8</v>
      </c>
      <c r="S2889" s="6">
        <v>62</v>
      </c>
      <c r="W2889" s="6">
        <v>35.146999999999998</v>
      </c>
      <c r="Y2889" s="6">
        <v>0.115</v>
      </c>
      <c r="Z2889" s="6">
        <v>26.8</v>
      </c>
      <c r="AA2889" s="6">
        <v>11.8</v>
      </c>
      <c r="AD2889" s="6">
        <v>842.31</v>
      </c>
      <c r="AK2889" s="6">
        <v>56.89</v>
      </c>
      <c r="AL2889" s="6">
        <v>1517</v>
      </c>
      <c r="AM2889" s="6"/>
      <c r="AN2889" s="6"/>
      <c r="AO2889" s="6"/>
      <c r="AP2889" s="6"/>
      <c r="AQ2889" s="6"/>
    </row>
    <row r="2890" spans="1:51" x14ac:dyDescent="0.3">
      <c r="A2890" s="6">
        <v>49998</v>
      </c>
      <c r="B2890" s="5" t="s">
        <v>238</v>
      </c>
      <c r="C2890" s="5" t="s">
        <v>231</v>
      </c>
      <c r="D2890" s="2">
        <f t="shared" si="160"/>
        <v>2016</v>
      </c>
      <c r="E2890" s="2">
        <f t="shared" si="161"/>
        <v>2</v>
      </c>
      <c r="F2890" s="3" t="s">
        <v>175</v>
      </c>
      <c r="G2890" s="7">
        <v>42410</v>
      </c>
      <c r="H2890" s="6">
        <v>6599695</v>
      </c>
      <c r="I2890" s="6">
        <v>1617290</v>
      </c>
      <c r="J2890" s="5" t="s">
        <v>182</v>
      </c>
      <c r="K2890" s="1"/>
      <c r="L2890" s="1" t="str">
        <f t="shared" si="162"/>
        <v xml:space="preserve">Edssjön </v>
      </c>
      <c r="M2890" s="1" t="s">
        <v>177</v>
      </c>
      <c r="N2890" s="6">
        <v>0.5</v>
      </c>
      <c r="O2890" s="6">
        <v>0.5</v>
      </c>
      <c r="P2890" s="6">
        <v>2.2000000000000002</v>
      </c>
      <c r="Q2890" s="6">
        <v>1.5</v>
      </c>
      <c r="R2890" s="6">
        <v>11.1</v>
      </c>
      <c r="S2890" s="6">
        <v>81</v>
      </c>
      <c r="W2890" s="6">
        <v>35.679000000000002</v>
      </c>
      <c r="Y2890" s="6">
        <v>6.2E-2</v>
      </c>
      <c r="Z2890" s="6">
        <v>37.729999999999997</v>
      </c>
      <c r="AA2890" s="6">
        <v>4.8</v>
      </c>
      <c r="AD2890" s="6">
        <v>487.31</v>
      </c>
      <c r="AK2890" s="6">
        <v>63.5</v>
      </c>
      <c r="AL2890" s="6">
        <v>1081.72</v>
      </c>
      <c r="AM2890" s="6"/>
      <c r="AN2890" s="6"/>
      <c r="AO2890" s="6"/>
      <c r="AP2890" s="6"/>
      <c r="AQ2890" s="6"/>
    </row>
    <row r="2891" spans="1:51" x14ac:dyDescent="0.3">
      <c r="A2891" s="6">
        <v>49999</v>
      </c>
      <c r="B2891" s="5" t="s">
        <v>238</v>
      </c>
      <c r="C2891" s="5" t="s">
        <v>231</v>
      </c>
      <c r="D2891" s="2">
        <f t="shared" si="160"/>
        <v>2016</v>
      </c>
      <c r="E2891" s="2">
        <f t="shared" si="161"/>
        <v>2</v>
      </c>
      <c r="F2891" s="3" t="s">
        <v>175</v>
      </c>
      <c r="G2891" s="7">
        <v>42410</v>
      </c>
      <c r="H2891" s="6">
        <v>6599695</v>
      </c>
      <c r="I2891" s="6">
        <v>1617290</v>
      </c>
      <c r="J2891" s="5" t="s">
        <v>182</v>
      </c>
      <c r="K2891" s="1"/>
      <c r="L2891" s="1" t="str">
        <f t="shared" si="162"/>
        <v xml:space="preserve">Edssjön </v>
      </c>
      <c r="M2891" s="5" t="s">
        <v>211</v>
      </c>
      <c r="N2891" s="6">
        <v>1</v>
      </c>
      <c r="O2891" s="6">
        <v>1</v>
      </c>
      <c r="Q2891" s="6">
        <v>2.1</v>
      </c>
      <c r="R2891" s="6">
        <v>10.8</v>
      </c>
      <c r="S2891" s="6">
        <v>80</v>
      </c>
    </row>
    <row r="2892" spans="1:51" x14ac:dyDescent="0.3">
      <c r="A2892" s="6">
        <v>50000</v>
      </c>
      <c r="B2892" s="5" t="s">
        <v>238</v>
      </c>
      <c r="C2892" s="5" t="s">
        <v>231</v>
      </c>
      <c r="D2892" s="2">
        <f t="shared" si="160"/>
        <v>2016</v>
      </c>
      <c r="E2892" s="2">
        <f t="shared" si="161"/>
        <v>2</v>
      </c>
      <c r="F2892" s="3" t="s">
        <v>175</v>
      </c>
      <c r="G2892" s="7">
        <v>42410</v>
      </c>
      <c r="H2892" s="6">
        <v>6599695</v>
      </c>
      <c r="I2892" s="6">
        <v>1617290</v>
      </c>
      <c r="J2892" s="5" t="s">
        <v>182</v>
      </c>
      <c r="K2892" s="1"/>
      <c r="L2892" s="1" t="str">
        <f t="shared" si="162"/>
        <v xml:space="preserve">Edssjön </v>
      </c>
      <c r="M2892" s="5" t="s">
        <v>212</v>
      </c>
      <c r="N2892" s="6">
        <v>2</v>
      </c>
      <c r="O2892" s="6">
        <v>2</v>
      </c>
      <c r="Q2892" s="6">
        <v>2.6</v>
      </c>
      <c r="R2892" s="6">
        <v>9.1999999999999993</v>
      </c>
      <c r="S2892" s="6">
        <v>69</v>
      </c>
    </row>
    <row r="2893" spans="1:51" x14ac:dyDescent="0.3">
      <c r="A2893" s="6">
        <v>50001</v>
      </c>
      <c r="B2893" s="5" t="s">
        <v>238</v>
      </c>
      <c r="C2893" s="5" t="s">
        <v>231</v>
      </c>
      <c r="D2893" s="2">
        <f t="shared" si="160"/>
        <v>2016</v>
      </c>
      <c r="E2893" s="2">
        <f t="shared" si="161"/>
        <v>2</v>
      </c>
      <c r="F2893" s="3" t="s">
        <v>175</v>
      </c>
      <c r="G2893" s="7">
        <v>42410</v>
      </c>
      <c r="H2893" s="6">
        <v>6599695</v>
      </c>
      <c r="I2893" s="6">
        <v>1617290</v>
      </c>
      <c r="J2893" s="5" t="s">
        <v>182</v>
      </c>
      <c r="K2893" s="1"/>
      <c r="L2893" s="1" t="str">
        <f t="shared" si="162"/>
        <v xml:space="preserve">Edssjön </v>
      </c>
      <c r="M2893" s="5" t="s">
        <v>213</v>
      </c>
      <c r="N2893" s="6">
        <v>3</v>
      </c>
      <c r="O2893" s="6">
        <v>3</v>
      </c>
      <c r="Q2893" s="6">
        <v>3.1</v>
      </c>
      <c r="R2893" s="6">
        <v>7.8</v>
      </c>
      <c r="S2893" s="6">
        <v>60</v>
      </c>
    </row>
    <row r="2894" spans="1:51" x14ac:dyDescent="0.3">
      <c r="A2894" s="6">
        <v>50002</v>
      </c>
      <c r="B2894" s="5" t="s">
        <v>238</v>
      </c>
      <c r="C2894" s="5" t="s">
        <v>231</v>
      </c>
      <c r="D2894" s="2">
        <f t="shared" si="160"/>
        <v>2016</v>
      </c>
      <c r="E2894" s="2">
        <f t="shared" si="161"/>
        <v>2</v>
      </c>
      <c r="F2894" s="3" t="s">
        <v>175</v>
      </c>
      <c r="G2894" s="7">
        <v>42410</v>
      </c>
      <c r="H2894" s="6">
        <v>6599695</v>
      </c>
      <c r="I2894" s="6">
        <v>1617290</v>
      </c>
      <c r="J2894" s="5" t="s">
        <v>182</v>
      </c>
      <c r="K2894" s="1"/>
      <c r="L2894" s="1" t="str">
        <f t="shared" si="162"/>
        <v xml:space="preserve">Edssjön </v>
      </c>
      <c r="M2894" s="5" t="s">
        <v>214</v>
      </c>
      <c r="N2894" s="6">
        <v>4</v>
      </c>
      <c r="O2894" s="6">
        <v>4</v>
      </c>
      <c r="Q2894" s="6">
        <v>3.6</v>
      </c>
      <c r="R2894" s="6">
        <v>6.1</v>
      </c>
      <c r="S2894" s="6">
        <v>47</v>
      </c>
    </row>
    <row r="2895" spans="1:51" x14ac:dyDescent="0.3">
      <c r="A2895" s="6">
        <v>50003</v>
      </c>
      <c r="B2895" s="5" t="s">
        <v>238</v>
      </c>
      <c r="C2895" s="5" t="s">
        <v>231</v>
      </c>
      <c r="D2895" s="2">
        <f t="shared" si="160"/>
        <v>2016</v>
      </c>
      <c r="E2895" s="2">
        <f t="shared" si="161"/>
        <v>2</v>
      </c>
      <c r="F2895" s="3" t="s">
        <v>175</v>
      </c>
      <c r="G2895" s="7">
        <v>42410</v>
      </c>
      <c r="H2895" s="6">
        <v>6599695</v>
      </c>
      <c r="I2895" s="6">
        <v>1617290</v>
      </c>
      <c r="J2895" s="5" t="s">
        <v>182</v>
      </c>
      <c r="K2895" s="1"/>
      <c r="L2895" s="1" t="str">
        <f t="shared" si="162"/>
        <v xml:space="preserve">Edssjön </v>
      </c>
      <c r="M2895" s="1" t="s">
        <v>184</v>
      </c>
      <c r="Q2895" s="6">
        <v>3.7</v>
      </c>
      <c r="R2895" s="6">
        <v>4.0999999999999996</v>
      </c>
      <c r="S2895" s="6">
        <v>32</v>
      </c>
      <c r="W2895" s="6">
        <v>25.317299999999999</v>
      </c>
      <c r="Y2895" s="6">
        <v>7.1999999999999995E-2</v>
      </c>
      <c r="Z2895" s="6">
        <v>56.95</v>
      </c>
      <c r="AA2895" s="6">
        <v>4.4000000000000004</v>
      </c>
      <c r="AD2895" s="6">
        <v>592.34</v>
      </c>
      <c r="AK2895" s="6">
        <v>74.72</v>
      </c>
      <c r="AL2895" s="6">
        <v>1281.0999999999999</v>
      </c>
      <c r="AM2895" s="6"/>
      <c r="AN2895" s="6"/>
      <c r="AO2895" s="6"/>
      <c r="AP2895" s="6"/>
      <c r="AQ2895" s="6"/>
    </row>
    <row r="2896" spans="1:51" x14ac:dyDescent="0.3">
      <c r="A2896" s="6">
        <v>50004</v>
      </c>
      <c r="B2896" s="5" t="s">
        <v>238</v>
      </c>
      <c r="C2896" s="5" t="s">
        <v>231</v>
      </c>
      <c r="D2896" s="2">
        <f t="shared" si="160"/>
        <v>2016</v>
      </c>
      <c r="E2896" s="2">
        <f t="shared" si="161"/>
        <v>2</v>
      </c>
      <c r="F2896" s="3" t="s">
        <v>175</v>
      </c>
      <c r="G2896" s="7">
        <v>42410</v>
      </c>
      <c r="H2896" s="6">
        <v>6595400</v>
      </c>
      <c r="I2896" s="6">
        <v>1624045</v>
      </c>
      <c r="J2896" s="5" t="s">
        <v>183</v>
      </c>
      <c r="K2896" s="1"/>
      <c r="L2896" s="1" t="str">
        <f t="shared" si="162"/>
        <v xml:space="preserve">Fjäturen </v>
      </c>
      <c r="M2896" s="1" t="s">
        <v>177</v>
      </c>
      <c r="N2896" s="6">
        <v>0.5</v>
      </c>
      <c r="O2896" s="6">
        <v>0.5</v>
      </c>
      <c r="P2896" s="6">
        <v>2</v>
      </c>
      <c r="Q2896" s="6">
        <v>1.4</v>
      </c>
      <c r="R2896" s="6">
        <v>11.8</v>
      </c>
      <c r="S2896" s="6">
        <v>87</v>
      </c>
      <c r="W2896" s="6">
        <v>31.911899999999999</v>
      </c>
      <c r="Y2896" s="6">
        <v>9.5000000000000001E-2</v>
      </c>
      <c r="Z2896" s="6">
        <v>14.52</v>
      </c>
      <c r="AA2896" s="6">
        <v>11.4</v>
      </c>
      <c r="AD2896" s="6">
        <v>166.1</v>
      </c>
      <c r="AK2896" s="6">
        <v>43.8</v>
      </c>
      <c r="AL2896" s="6">
        <v>851.36</v>
      </c>
      <c r="AM2896" s="6"/>
      <c r="AN2896" s="6"/>
      <c r="AO2896" s="6"/>
      <c r="AP2896" s="6"/>
      <c r="AQ2896" s="6"/>
    </row>
    <row r="2897" spans="1:43" x14ac:dyDescent="0.3">
      <c r="A2897" s="6">
        <v>50005</v>
      </c>
      <c r="B2897" s="5" t="s">
        <v>238</v>
      </c>
      <c r="C2897" s="5" t="s">
        <v>231</v>
      </c>
      <c r="D2897" s="2">
        <f t="shared" si="160"/>
        <v>2016</v>
      </c>
      <c r="E2897" s="2">
        <f t="shared" si="161"/>
        <v>2</v>
      </c>
      <c r="F2897" s="3" t="s">
        <v>175</v>
      </c>
      <c r="G2897" s="7">
        <v>42410</v>
      </c>
      <c r="H2897" s="6">
        <v>6595400</v>
      </c>
      <c r="I2897" s="6">
        <v>1624045</v>
      </c>
      <c r="J2897" s="5" t="s">
        <v>183</v>
      </c>
      <c r="K2897" s="1"/>
      <c r="L2897" s="1" t="str">
        <f t="shared" si="162"/>
        <v xml:space="preserve">Fjäturen </v>
      </c>
      <c r="M2897" s="5" t="s">
        <v>211</v>
      </c>
      <c r="N2897" s="6">
        <v>1</v>
      </c>
      <c r="O2897" s="6">
        <v>1</v>
      </c>
      <c r="Q2897" s="6">
        <v>2.2000000000000002</v>
      </c>
      <c r="R2897" s="6">
        <v>11.5</v>
      </c>
      <c r="S2897" s="6">
        <v>86</v>
      </c>
    </row>
    <row r="2898" spans="1:43" x14ac:dyDescent="0.3">
      <c r="A2898" s="6">
        <v>50006</v>
      </c>
      <c r="B2898" s="5" t="s">
        <v>238</v>
      </c>
      <c r="C2898" s="5" t="s">
        <v>231</v>
      </c>
      <c r="D2898" s="2">
        <f t="shared" si="160"/>
        <v>2016</v>
      </c>
      <c r="E2898" s="2">
        <f t="shared" si="161"/>
        <v>2</v>
      </c>
      <c r="F2898" s="3" t="s">
        <v>175</v>
      </c>
      <c r="G2898" s="7">
        <v>42410</v>
      </c>
      <c r="H2898" s="6">
        <v>6595400</v>
      </c>
      <c r="I2898" s="6">
        <v>1624045</v>
      </c>
      <c r="J2898" s="5" t="s">
        <v>183</v>
      </c>
      <c r="K2898" s="1"/>
      <c r="L2898" s="1" t="str">
        <f t="shared" si="162"/>
        <v xml:space="preserve">Fjäturen </v>
      </c>
      <c r="M2898" s="5" t="s">
        <v>212</v>
      </c>
      <c r="N2898" s="6">
        <v>2</v>
      </c>
      <c r="O2898" s="6">
        <v>2</v>
      </c>
      <c r="Q2898" s="6">
        <v>3</v>
      </c>
      <c r="R2898" s="6">
        <v>10.8</v>
      </c>
      <c r="S2898" s="6">
        <v>83</v>
      </c>
    </row>
    <row r="2899" spans="1:43" x14ac:dyDescent="0.3">
      <c r="A2899" s="6">
        <v>50007</v>
      </c>
      <c r="B2899" s="5" t="s">
        <v>238</v>
      </c>
      <c r="C2899" s="5" t="s">
        <v>231</v>
      </c>
      <c r="D2899" s="2">
        <f t="shared" si="160"/>
        <v>2016</v>
      </c>
      <c r="E2899" s="2">
        <f t="shared" si="161"/>
        <v>2</v>
      </c>
      <c r="F2899" s="3" t="s">
        <v>175</v>
      </c>
      <c r="G2899" s="7">
        <v>42410</v>
      </c>
      <c r="H2899" s="6">
        <v>6595400</v>
      </c>
      <c r="I2899" s="6">
        <v>1624045</v>
      </c>
      <c r="J2899" s="5" t="s">
        <v>183</v>
      </c>
      <c r="K2899" s="1"/>
      <c r="L2899" s="1" t="str">
        <f t="shared" si="162"/>
        <v xml:space="preserve">Fjäturen </v>
      </c>
      <c r="M2899" s="5" t="s">
        <v>213</v>
      </c>
      <c r="N2899" s="6">
        <v>3</v>
      </c>
      <c r="O2899" s="6">
        <v>3</v>
      </c>
      <c r="Q2899" s="6">
        <v>3.3</v>
      </c>
      <c r="R2899" s="6">
        <v>10</v>
      </c>
      <c r="S2899" s="6">
        <v>77</v>
      </c>
    </row>
    <row r="2900" spans="1:43" x14ac:dyDescent="0.3">
      <c r="A2900" s="6">
        <v>50008</v>
      </c>
      <c r="B2900" s="5" t="s">
        <v>238</v>
      </c>
      <c r="C2900" s="5" t="s">
        <v>231</v>
      </c>
      <c r="D2900" s="2">
        <f t="shared" si="160"/>
        <v>2016</v>
      </c>
      <c r="E2900" s="2">
        <f t="shared" si="161"/>
        <v>2</v>
      </c>
      <c r="F2900" s="3" t="s">
        <v>175</v>
      </c>
      <c r="G2900" s="7">
        <v>42410</v>
      </c>
      <c r="H2900" s="6">
        <v>6595400</v>
      </c>
      <c r="I2900" s="6">
        <v>1624045</v>
      </c>
      <c r="J2900" s="5" t="s">
        <v>183</v>
      </c>
      <c r="K2900" s="1"/>
      <c r="L2900" s="1" t="str">
        <f t="shared" si="162"/>
        <v xml:space="preserve">Fjäturen </v>
      </c>
      <c r="M2900" s="5" t="s">
        <v>214</v>
      </c>
      <c r="N2900" s="6">
        <v>4</v>
      </c>
      <c r="O2900" s="6">
        <v>4</v>
      </c>
      <c r="Q2900" s="6">
        <v>3.4</v>
      </c>
      <c r="R2900" s="6">
        <v>9</v>
      </c>
      <c r="S2900" s="6">
        <v>70</v>
      </c>
    </row>
    <row r="2901" spans="1:43" x14ac:dyDescent="0.3">
      <c r="A2901" s="6">
        <v>50009</v>
      </c>
      <c r="B2901" s="5" t="s">
        <v>238</v>
      </c>
      <c r="C2901" s="5" t="s">
        <v>231</v>
      </c>
      <c r="D2901" s="2">
        <f t="shared" si="160"/>
        <v>2016</v>
      </c>
      <c r="E2901" s="2">
        <f t="shared" si="161"/>
        <v>2</v>
      </c>
      <c r="F2901" s="3" t="s">
        <v>175</v>
      </c>
      <c r="G2901" s="7">
        <v>42410</v>
      </c>
      <c r="H2901" s="6">
        <v>6595400</v>
      </c>
      <c r="I2901" s="6">
        <v>1624045</v>
      </c>
      <c r="J2901" s="5" t="s">
        <v>183</v>
      </c>
      <c r="K2901" s="1"/>
      <c r="L2901" s="1" t="str">
        <f t="shared" si="162"/>
        <v xml:space="preserve">Fjäturen </v>
      </c>
      <c r="M2901" s="5" t="s">
        <v>217</v>
      </c>
      <c r="N2901" s="6">
        <v>5</v>
      </c>
      <c r="O2901" s="6">
        <v>5</v>
      </c>
      <c r="Q2901" s="6">
        <v>3.5</v>
      </c>
      <c r="R2901" s="6">
        <v>8.6</v>
      </c>
      <c r="S2901" s="6">
        <v>67</v>
      </c>
    </row>
    <row r="2902" spans="1:43" x14ac:dyDescent="0.3">
      <c r="A2902" s="6">
        <v>50010</v>
      </c>
      <c r="B2902" s="5" t="s">
        <v>238</v>
      </c>
      <c r="C2902" s="5" t="s">
        <v>231</v>
      </c>
      <c r="D2902" s="2">
        <f t="shared" si="160"/>
        <v>2016</v>
      </c>
      <c r="E2902" s="2">
        <f t="shared" si="161"/>
        <v>2</v>
      </c>
      <c r="F2902" s="3" t="s">
        <v>175</v>
      </c>
      <c r="G2902" s="7">
        <v>42410</v>
      </c>
      <c r="H2902" s="6">
        <v>6595400</v>
      </c>
      <c r="I2902" s="6">
        <v>1624045</v>
      </c>
      <c r="J2902" s="5" t="s">
        <v>183</v>
      </c>
      <c r="K2902" s="1"/>
      <c r="L2902" s="1" t="str">
        <f t="shared" si="162"/>
        <v xml:space="preserve">Fjäturen </v>
      </c>
      <c r="M2902" s="5" t="s">
        <v>218</v>
      </c>
      <c r="N2902" s="6">
        <v>6</v>
      </c>
      <c r="O2902" s="6">
        <v>6</v>
      </c>
      <c r="Q2902" s="6">
        <v>3.6</v>
      </c>
      <c r="R2902" s="6">
        <v>8</v>
      </c>
      <c r="S2902" s="6">
        <v>62</v>
      </c>
    </row>
    <row r="2903" spans="1:43" x14ac:dyDescent="0.3">
      <c r="A2903" s="6">
        <v>50011</v>
      </c>
      <c r="B2903" s="5" t="s">
        <v>238</v>
      </c>
      <c r="C2903" s="5" t="s">
        <v>231</v>
      </c>
      <c r="D2903" s="2">
        <f t="shared" si="160"/>
        <v>2016</v>
      </c>
      <c r="E2903" s="2">
        <f t="shared" si="161"/>
        <v>2</v>
      </c>
      <c r="F2903" s="3" t="s">
        <v>175</v>
      </c>
      <c r="G2903" s="7">
        <v>42410</v>
      </c>
      <c r="H2903" s="6">
        <v>6595400</v>
      </c>
      <c r="I2903" s="6">
        <v>1624045</v>
      </c>
      <c r="J2903" s="5" t="s">
        <v>183</v>
      </c>
      <c r="K2903" s="1"/>
      <c r="L2903" s="1" t="str">
        <f t="shared" si="162"/>
        <v xml:space="preserve">Fjäturen </v>
      </c>
      <c r="M2903" s="5" t="s">
        <v>219</v>
      </c>
      <c r="N2903" s="6">
        <v>7</v>
      </c>
      <c r="O2903" s="6">
        <v>7</v>
      </c>
      <c r="Q2903" s="6">
        <v>3.7</v>
      </c>
      <c r="R2903" s="6">
        <v>7.2</v>
      </c>
      <c r="S2903" s="6">
        <v>56</v>
      </c>
    </row>
    <row r="2904" spans="1:43" x14ac:dyDescent="0.3">
      <c r="A2904" s="6">
        <v>50012</v>
      </c>
      <c r="B2904" s="5" t="s">
        <v>238</v>
      </c>
      <c r="C2904" s="5" t="s">
        <v>231</v>
      </c>
      <c r="D2904" s="2">
        <f t="shared" si="160"/>
        <v>2016</v>
      </c>
      <c r="E2904" s="2">
        <f t="shared" si="161"/>
        <v>2</v>
      </c>
      <c r="F2904" s="3" t="s">
        <v>175</v>
      </c>
      <c r="G2904" s="7">
        <v>42410</v>
      </c>
      <c r="H2904" s="6">
        <v>6595400</v>
      </c>
      <c r="I2904" s="6">
        <v>1624045</v>
      </c>
      <c r="J2904" s="5" t="s">
        <v>183</v>
      </c>
      <c r="K2904" s="1"/>
      <c r="L2904" s="1" t="str">
        <f t="shared" si="162"/>
        <v xml:space="preserve">Fjäturen </v>
      </c>
      <c r="M2904" s="5" t="s">
        <v>220</v>
      </c>
      <c r="N2904" s="6">
        <v>8</v>
      </c>
      <c r="O2904" s="6">
        <v>8</v>
      </c>
      <c r="Q2904" s="6">
        <v>3.9</v>
      </c>
      <c r="R2904" s="6">
        <v>4.5999999999999996</v>
      </c>
      <c r="S2904" s="6">
        <v>36</v>
      </c>
    </row>
    <row r="2905" spans="1:43" x14ac:dyDescent="0.3">
      <c r="A2905" s="6">
        <v>50013</v>
      </c>
      <c r="B2905" s="5" t="s">
        <v>238</v>
      </c>
      <c r="C2905" s="5" t="s">
        <v>231</v>
      </c>
      <c r="D2905" s="2">
        <f t="shared" si="160"/>
        <v>2016</v>
      </c>
      <c r="E2905" s="2">
        <f t="shared" si="161"/>
        <v>2</v>
      </c>
      <c r="F2905" s="3" t="s">
        <v>175</v>
      </c>
      <c r="G2905" s="7">
        <v>42410</v>
      </c>
      <c r="H2905" s="6">
        <v>6595400</v>
      </c>
      <c r="I2905" s="6">
        <v>1624045</v>
      </c>
      <c r="J2905" s="5" t="s">
        <v>183</v>
      </c>
      <c r="K2905" s="1"/>
      <c r="L2905" s="1" t="str">
        <f t="shared" si="162"/>
        <v xml:space="preserve">Fjäturen </v>
      </c>
      <c r="M2905" s="1" t="s">
        <v>184</v>
      </c>
      <c r="Q2905" s="6">
        <v>4.2</v>
      </c>
      <c r="R2905" s="6">
        <v>2.2000000000000002</v>
      </c>
      <c r="S2905" s="6">
        <v>17</v>
      </c>
      <c r="W2905" s="6">
        <v>141.25360000000001</v>
      </c>
      <c r="Y2905" s="6">
        <v>0.08</v>
      </c>
      <c r="Z2905" s="6">
        <v>25.94</v>
      </c>
      <c r="AA2905" s="6">
        <v>3.9</v>
      </c>
      <c r="AD2905" s="6">
        <v>225.74</v>
      </c>
      <c r="AK2905" s="6">
        <v>39.92</v>
      </c>
      <c r="AL2905" s="6">
        <v>970.85</v>
      </c>
      <c r="AM2905" s="6"/>
      <c r="AN2905" s="6"/>
      <c r="AO2905" s="6"/>
      <c r="AP2905" s="6"/>
      <c r="AQ2905" s="6"/>
    </row>
    <row r="2906" spans="1:43" x14ac:dyDescent="0.3">
      <c r="A2906" s="6">
        <v>50014</v>
      </c>
      <c r="B2906" s="5" t="s">
        <v>238</v>
      </c>
      <c r="C2906" s="5" t="s">
        <v>231</v>
      </c>
      <c r="D2906" s="2">
        <f t="shared" si="160"/>
        <v>2016</v>
      </c>
      <c r="E2906" s="2">
        <f t="shared" si="161"/>
        <v>2</v>
      </c>
      <c r="F2906" s="3" t="s">
        <v>175</v>
      </c>
      <c r="G2906" s="7">
        <v>42410</v>
      </c>
      <c r="H2906" s="6">
        <v>6593820</v>
      </c>
      <c r="I2906" s="6">
        <v>1619360</v>
      </c>
      <c r="J2906" s="5" t="s">
        <v>188</v>
      </c>
      <c r="K2906" s="1"/>
      <c r="L2906" s="1" t="str">
        <f t="shared" si="162"/>
        <v xml:space="preserve">Ravalen </v>
      </c>
      <c r="M2906" s="1" t="s">
        <v>177</v>
      </c>
      <c r="N2906" s="6">
        <v>0.5</v>
      </c>
      <c r="O2906" s="6">
        <v>0.5</v>
      </c>
      <c r="P2906" s="6">
        <v>1</v>
      </c>
      <c r="Q2906" s="6">
        <v>1.5</v>
      </c>
      <c r="R2906" s="6">
        <v>5</v>
      </c>
      <c r="S2906" s="6">
        <v>37</v>
      </c>
      <c r="W2906" s="6">
        <v>313.31490000000002</v>
      </c>
      <c r="Y2906" s="6">
        <v>0.16</v>
      </c>
      <c r="Z2906" s="6">
        <v>174.55</v>
      </c>
      <c r="AA2906" s="6">
        <v>11.6</v>
      </c>
      <c r="AD2906" s="6">
        <v>339.04</v>
      </c>
      <c r="AK2906" s="6">
        <v>359.28</v>
      </c>
      <c r="AL2906" s="6">
        <v>2090.58</v>
      </c>
      <c r="AM2906" s="6"/>
      <c r="AN2906" s="6"/>
      <c r="AO2906" s="6"/>
      <c r="AP2906" s="6"/>
      <c r="AQ2906" s="6"/>
    </row>
    <row r="2907" spans="1:43" x14ac:dyDescent="0.3">
      <c r="A2907" s="6">
        <v>50015</v>
      </c>
      <c r="B2907" s="5" t="s">
        <v>238</v>
      </c>
      <c r="C2907" s="5" t="s">
        <v>231</v>
      </c>
      <c r="D2907" s="2">
        <f t="shared" si="160"/>
        <v>2016</v>
      </c>
      <c r="E2907" s="2">
        <f t="shared" si="161"/>
        <v>2</v>
      </c>
      <c r="F2907" s="3" t="s">
        <v>175</v>
      </c>
      <c r="G2907" s="7">
        <v>42410</v>
      </c>
      <c r="H2907" s="6">
        <v>6593820</v>
      </c>
      <c r="I2907" s="6">
        <v>1619360</v>
      </c>
      <c r="J2907" s="5" t="s">
        <v>188</v>
      </c>
      <c r="K2907" s="1"/>
      <c r="L2907" s="1" t="str">
        <f t="shared" si="162"/>
        <v xml:space="preserve">Ravalen </v>
      </c>
      <c r="M2907" s="5" t="s">
        <v>211</v>
      </c>
      <c r="N2907" s="6">
        <v>1</v>
      </c>
      <c r="O2907" s="6">
        <v>1</v>
      </c>
      <c r="Q2907" s="6">
        <v>3</v>
      </c>
      <c r="R2907" s="6">
        <v>1.5</v>
      </c>
      <c r="S2907" s="6">
        <v>12</v>
      </c>
    </row>
    <row r="2908" spans="1:43" x14ac:dyDescent="0.3">
      <c r="A2908" s="6">
        <v>50016</v>
      </c>
      <c r="B2908" s="5" t="s">
        <v>238</v>
      </c>
      <c r="C2908" s="5" t="s">
        <v>231</v>
      </c>
      <c r="D2908" s="2">
        <f t="shared" si="160"/>
        <v>2016</v>
      </c>
      <c r="E2908" s="2">
        <f t="shared" si="161"/>
        <v>2</v>
      </c>
      <c r="F2908" s="3" t="s">
        <v>175</v>
      </c>
      <c r="G2908" s="7">
        <v>42410</v>
      </c>
      <c r="H2908" s="6">
        <v>6593820</v>
      </c>
      <c r="I2908" s="6">
        <v>1619360</v>
      </c>
      <c r="J2908" s="5" t="s">
        <v>188</v>
      </c>
      <c r="K2908" s="1"/>
      <c r="L2908" s="1" t="str">
        <f t="shared" si="162"/>
        <v xml:space="preserve">Ravalen </v>
      </c>
      <c r="M2908" s="1" t="s">
        <v>184</v>
      </c>
      <c r="Q2908" s="6">
        <v>3.3</v>
      </c>
      <c r="R2908" s="6">
        <v>0.5</v>
      </c>
      <c r="S2908" s="6">
        <v>4</v>
      </c>
      <c r="W2908" s="6">
        <v>292.82369999999997</v>
      </c>
      <c r="Y2908" s="6">
        <v>0.14399999999999999</v>
      </c>
      <c r="Z2908" s="6">
        <v>105.15</v>
      </c>
      <c r="AA2908" s="6">
        <v>8</v>
      </c>
      <c r="AD2908" s="6">
        <v>191.93</v>
      </c>
      <c r="AK2908" s="6">
        <v>229.6</v>
      </c>
      <c r="AL2908" s="6">
        <v>1695.41</v>
      </c>
      <c r="AM2908" s="6"/>
      <c r="AN2908" s="6"/>
      <c r="AO2908" s="6"/>
      <c r="AP2908" s="6"/>
      <c r="AQ2908" s="6"/>
    </row>
    <row r="2909" spans="1:43" x14ac:dyDescent="0.3">
      <c r="A2909" s="6">
        <v>50017</v>
      </c>
      <c r="B2909" s="5" t="s">
        <v>238</v>
      </c>
      <c r="C2909" s="5" t="s">
        <v>231</v>
      </c>
      <c r="D2909" s="2">
        <f t="shared" si="160"/>
        <v>2016</v>
      </c>
      <c r="E2909" s="2">
        <f t="shared" si="161"/>
        <v>2</v>
      </c>
      <c r="F2909" s="3" t="s">
        <v>175</v>
      </c>
      <c r="G2909" s="7">
        <v>42410</v>
      </c>
      <c r="H2909" s="6">
        <v>6594420</v>
      </c>
      <c r="I2909" s="6">
        <v>1615795</v>
      </c>
      <c r="J2909" s="5" t="s">
        <v>193</v>
      </c>
      <c r="K2909" s="1"/>
      <c r="L2909" s="1" t="str">
        <f t="shared" si="162"/>
        <v xml:space="preserve">Översjön </v>
      </c>
      <c r="M2909" s="1" t="s">
        <v>177</v>
      </c>
      <c r="N2909" s="6">
        <v>0.5</v>
      </c>
      <c r="O2909" s="6">
        <v>0.5</v>
      </c>
      <c r="P2909" s="6">
        <v>3.8</v>
      </c>
      <c r="Q2909" s="6">
        <v>2.6</v>
      </c>
      <c r="R2909" s="6">
        <v>9.8000000000000007</v>
      </c>
      <c r="S2909" s="6">
        <v>74</v>
      </c>
      <c r="W2909" s="6">
        <v>199.48990000000001</v>
      </c>
      <c r="Y2909" s="6">
        <v>5.8999999999999997E-2</v>
      </c>
      <c r="Z2909" s="6">
        <v>3.77</v>
      </c>
      <c r="AA2909" s="6">
        <v>0.95</v>
      </c>
      <c r="AD2909" s="6">
        <v>143.56</v>
      </c>
      <c r="AK2909" s="6">
        <v>27.71</v>
      </c>
      <c r="AL2909" s="6">
        <v>1036.1099999999999</v>
      </c>
      <c r="AM2909" s="6"/>
      <c r="AN2909" s="6"/>
      <c r="AO2909" s="6"/>
      <c r="AP2909" s="6"/>
      <c r="AQ2909" s="6"/>
    </row>
    <row r="2910" spans="1:43" x14ac:dyDescent="0.3">
      <c r="A2910" s="6">
        <v>50018</v>
      </c>
      <c r="B2910" s="5" t="s">
        <v>238</v>
      </c>
      <c r="C2910" s="5" t="s">
        <v>231</v>
      </c>
      <c r="D2910" s="2">
        <f t="shared" si="160"/>
        <v>2016</v>
      </c>
      <c r="E2910" s="2">
        <f t="shared" si="161"/>
        <v>2</v>
      </c>
      <c r="F2910" s="3" t="s">
        <v>175</v>
      </c>
      <c r="G2910" s="7">
        <v>42410</v>
      </c>
      <c r="H2910" s="6">
        <v>6594420</v>
      </c>
      <c r="I2910" s="6">
        <v>1615795</v>
      </c>
      <c r="J2910" s="5" t="s">
        <v>193</v>
      </c>
      <c r="K2910" s="1"/>
      <c r="L2910" s="1" t="str">
        <f t="shared" si="162"/>
        <v xml:space="preserve">Översjön </v>
      </c>
      <c r="M2910" s="5" t="s">
        <v>211</v>
      </c>
      <c r="N2910" s="6">
        <v>1</v>
      </c>
      <c r="O2910" s="6">
        <v>1</v>
      </c>
      <c r="Q2910" s="6">
        <v>2.8</v>
      </c>
      <c r="R2910" s="6">
        <v>9.5</v>
      </c>
      <c r="S2910" s="6">
        <v>73</v>
      </c>
    </row>
    <row r="2911" spans="1:43" x14ac:dyDescent="0.3">
      <c r="A2911" s="6">
        <v>50019</v>
      </c>
      <c r="B2911" s="5" t="s">
        <v>238</v>
      </c>
      <c r="C2911" s="5" t="s">
        <v>231</v>
      </c>
      <c r="D2911" s="2">
        <f t="shared" si="160"/>
        <v>2016</v>
      </c>
      <c r="E2911" s="2">
        <f t="shared" si="161"/>
        <v>2</v>
      </c>
      <c r="F2911" s="3" t="s">
        <v>175</v>
      </c>
      <c r="G2911" s="7">
        <v>42410</v>
      </c>
      <c r="H2911" s="6">
        <v>6594420</v>
      </c>
      <c r="I2911" s="6">
        <v>1615795</v>
      </c>
      <c r="J2911" s="5" t="s">
        <v>193</v>
      </c>
      <c r="K2911" s="1"/>
      <c r="L2911" s="1" t="str">
        <f t="shared" si="162"/>
        <v xml:space="preserve">Översjön </v>
      </c>
      <c r="M2911" s="5" t="s">
        <v>212</v>
      </c>
      <c r="N2911" s="6">
        <v>2</v>
      </c>
      <c r="O2911" s="6">
        <v>2</v>
      </c>
      <c r="Q2911" s="6">
        <v>3.4</v>
      </c>
      <c r="R2911" s="6">
        <v>8.3000000000000007</v>
      </c>
      <c r="S2911" s="6">
        <v>64</v>
      </c>
    </row>
    <row r="2912" spans="1:43" x14ac:dyDescent="0.3">
      <c r="A2912" s="6">
        <v>50020</v>
      </c>
      <c r="B2912" s="5" t="s">
        <v>238</v>
      </c>
      <c r="C2912" s="5" t="s">
        <v>231</v>
      </c>
      <c r="D2912" s="2">
        <f t="shared" si="160"/>
        <v>2016</v>
      </c>
      <c r="E2912" s="2">
        <f t="shared" si="161"/>
        <v>2</v>
      </c>
      <c r="F2912" s="3" t="s">
        <v>175</v>
      </c>
      <c r="G2912" s="7">
        <v>42410</v>
      </c>
      <c r="H2912" s="6">
        <v>6594420</v>
      </c>
      <c r="I2912" s="6">
        <v>1615795</v>
      </c>
      <c r="J2912" s="5" t="s">
        <v>193</v>
      </c>
      <c r="K2912" s="1"/>
      <c r="L2912" s="1" t="str">
        <f t="shared" si="162"/>
        <v xml:space="preserve">Översjön </v>
      </c>
      <c r="M2912" s="5" t="s">
        <v>213</v>
      </c>
      <c r="N2912" s="6">
        <v>3</v>
      </c>
      <c r="O2912" s="6">
        <v>3</v>
      </c>
      <c r="Q2912" s="6">
        <v>3.6</v>
      </c>
      <c r="R2912" s="6">
        <v>6.5</v>
      </c>
      <c r="S2912" s="6">
        <v>51</v>
      </c>
    </row>
    <row r="2913" spans="1:91" x14ac:dyDescent="0.3">
      <c r="A2913" s="6">
        <v>50021</v>
      </c>
      <c r="B2913" s="5" t="s">
        <v>238</v>
      </c>
      <c r="C2913" s="5" t="s">
        <v>231</v>
      </c>
      <c r="D2913" s="2">
        <f t="shared" si="160"/>
        <v>2016</v>
      </c>
      <c r="E2913" s="2">
        <f t="shared" si="161"/>
        <v>2</v>
      </c>
      <c r="F2913" s="3" t="s">
        <v>175</v>
      </c>
      <c r="G2913" s="7">
        <v>42410</v>
      </c>
      <c r="H2913" s="6">
        <v>6594420</v>
      </c>
      <c r="I2913" s="6">
        <v>1615795</v>
      </c>
      <c r="J2913" s="5" t="s">
        <v>193</v>
      </c>
      <c r="K2913" s="1"/>
      <c r="L2913" s="1" t="str">
        <f t="shared" si="162"/>
        <v xml:space="preserve">Översjön </v>
      </c>
      <c r="M2913" s="1" t="s">
        <v>184</v>
      </c>
      <c r="Q2913" s="6">
        <v>3.7</v>
      </c>
      <c r="R2913" s="6">
        <v>6.3</v>
      </c>
      <c r="S2913" s="6">
        <v>49</v>
      </c>
      <c r="W2913" s="6">
        <v>262.72390000000001</v>
      </c>
      <c r="Y2913" s="6">
        <v>6.5000000000000002E-2</v>
      </c>
      <c r="Z2913" s="6">
        <v>9.59</v>
      </c>
      <c r="AA2913" s="6">
        <v>1.7</v>
      </c>
      <c r="AD2913" s="6">
        <v>180.26</v>
      </c>
      <c r="AK2913" s="6">
        <v>27.79</v>
      </c>
      <c r="AL2913" s="6">
        <v>1188.49</v>
      </c>
      <c r="AM2913" s="6"/>
      <c r="AN2913" s="6"/>
      <c r="AO2913" s="6"/>
      <c r="AP2913" s="6"/>
      <c r="AQ2913" s="6"/>
    </row>
    <row r="2914" spans="1:91" x14ac:dyDescent="0.3">
      <c r="A2914" s="6">
        <v>50022</v>
      </c>
      <c r="B2914" s="5" t="s">
        <v>238</v>
      </c>
      <c r="C2914" s="5" t="s">
        <v>231</v>
      </c>
      <c r="D2914" s="2">
        <f t="shared" si="160"/>
        <v>2016</v>
      </c>
      <c r="E2914" s="2">
        <f t="shared" si="161"/>
        <v>2</v>
      </c>
      <c r="F2914" s="3" t="s">
        <v>175</v>
      </c>
      <c r="G2914" s="7">
        <v>42410</v>
      </c>
      <c r="H2914" s="6">
        <v>6593820</v>
      </c>
      <c r="I2914" s="6">
        <v>1624215</v>
      </c>
      <c r="J2914" s="5" t="s">
        <v>189</v>
      </c>
      <c r="K2914" s="1"/>
      <c r="L2914" s="1" t="str">
        <f t="shared" si="162"/>
        <v xml:space="preserve">Rösjön </v>
      </c>
      <c r="M2914" s="1" t="s">
        <v>177</v>
      </c>
      <c r="N2914" s="6">
        <v>0.5</v>
      </c>
      <c r="O2914" s="6">
        <v>0.5</v>
      </c>
      <c r="P2914" s="6">
        <v>4.0999999999999996</v>
      </c>
      <c r="Q2914" s="6">
        <v>1.7</v>
      </c>
      <c r="R2914" s="6">
        <v>13.2</v>
      </c>
      <c r="S2914" s="6">
        <v>98</v>
      </c>
      <c r="W2914" s="6">
        <v>1.3378000000000001</v>
      </c>
      <c r="X2914" s="1">
        <f>W2914 * (1/((10^((0.0901821 + (2729.92 /(273.15 + Q2914)))-AE2914)+1)))</f>
        <v>5.1538675411392249E-3</v>
      </c>
      <c r="Y2914" s="6">
        <v>7.9000000000000001E-2</v>
      </c>
      <c r="Z2914" s="6">
        <v>1.01</v>
      </c>
      <c r="AA2914" s="6">
        <v>5.2</v>
      </c>
      <c r="AD2914" s="6">
        <v>117.63</v>
      </c>
      <c r="AE2914" s="6">
        <v>7.61</v>
      </c>
      <c r="AI2914" s="6">
        <v>6.6920000000000002</v>
      </c>
      <c r="AJ2914" s="6">
        <v>6.3570000000000002</v>
      </c>
      <c r="AK2914" s="6">
        <v>23.61</v>
      </c>
      <c r="AL2914" s="6">
        <v>605.04</v>
      </c>
      <c r="AM2914" s="6"/>
      <c r="AN2914" s="6"/>
      <c r="AO2914" s="6"/>
      <c r="AP2914" s="6"/>
      <c r="AQ2914" s="6"/>
      <c r="AR2914" s="6">
        <v>21.4</v>
      </c>
      <c r="AS2914" s="6">
        <v>0.30099999999999899</v>
      </c>
      <c r="AT2914" s="6">
        <v>1.71</v>
      </c>
      <c r="AU2914" s="6">
        <v>2.73</v>
      </c>
      <c r="AW2914" s="6">
        <v>8.51</v>
      </c>
      <c r="AY2914" s="6">
        <v>2.52</v>
      </c>
      <c r="AZ2914" s="6">
        <v>398</v>
      </c>
      <c r="BA2914" s="6">
        <v>0.49</v>
      </c>
      <c r="BB2914" s="6">
        <v>11.4</v>
      </c>
      <c r="BC2914" s="6">
        <v>5.8900000000000003E-3</v>
      </c>
      <c r="BD2914" s="6">
        <v>0.107</v>
      </c>
      <c r="BE2914" s="6">
        <v>0.5</v>
      </c>
      <c r="BF2914" s="6">
        <v>1.28</v>
      </c>
      <c r="BG2914" s="6">
        <v>1E-3</v>
      </c>
      <c r="BH2914" s="6">
        <v>12</v>
      </c>
      <c r="BI2914" s="6">
        <v>0.39500000000000002</v>
      </c>
      <c r="BJ2914" s="6">
        <v>0.60499999999999898</v>
      </c>
      <c r="BK2914" s="6">
        <v>15.3</v>
      </c>
      <c r="BL2914" s="6">
        <v>0.311</v>
      </c>
      <c r="BM2914" s="6">
        <v>47.8</v>
      </c>
      <c r="BN2914" s="6">
        <v>0.72099999999999898</v>
      </c>
      <c r="BO2914" s="6">
        <v>2.08</v>
      </c>
      <c r="BQ2914" s="6">
        <v>23.3</v>
      </c>
      <c r="BR2914" s="6">
        <v>1E-3</v>
      </c>
      <c r="BS2914" s="6">
        <v>3.30999999999999E-2</v>
      </c>
      <c r="BT2914" s="6">
        <v>7.2400000000000006E-2</v>
      </c>
      <c r="BU2914" s="6">
        <v>0.91800000000000004</v>
      </c>
      <c r="BV2914" s="6">
        <v>6.22</v>
      </c>
      <c r="BW2914" s="6">
        <v>0.41599999999999898</v>
      </c>
      <c r="BX2914" s="6">
        <v>4.3900000000000002E-2</v>
      </c>
      <c r="BY2914" s="6">
        <v>1.88</v>
      </c>
      <c r="BZ2914" s="6">
        <v>21.5</v>
      </c>
      <c r="CA2914" s="6">
        <v>2.67</v>
      </c>
      <c r="CC2914" s="6">
        <v>3.2300000000000002E-2</v>
      </c>
      <c r="CD2914" s="6">
        <v>1.59</v>
      </c>
      <c r="CE2914" s="6">
        <v>8.4499999999999904</v>
      </c>
      <c r="CF2914" s="6">
        <v>1.81</v>
      </c>
      <c r="CG2914" s="6">
        <v>0.42799999999999899</v>
      </c>
      <c r="CH2914" s="6">
        <v>9.08</v>
      </c>
      <c r="CI2914" s="6">
        <v>1E-3</v>
      </c>
      <c r="CJ2914" s="6">
        <v>0.33900000000000002</v>
      </c>
      <c r="CK2914" s="6">
        <v>7.37</v>
      </c>
      <c r="CL2914" s="6">
        <v>0.19500000000000001</v>
      </c>
      <c r="CM2914" s="6">
        <v>47.6</v>
      </c>
    </row>
    <row r="2915" spans="1:91" x14ac:dyDescent="0.3">
      <c r="A2915" s="6">
        <v>50023</v>
      </c>
      <c r="B2915" s="5" t="s">
        <v>238</v>
      </c>
      <c r="C2915" s="5" t="s">
        <v>231</v>
      </c>
      <c r="D2915" s="2">
        <f t="shared" si="160"/>
        <v>2016</v>
      </c>
      <c r="E2915" s="2">
        <f t="shared" si="161"/>
        <v>2</v>
      </c>
      <c r="F2915" s="3" t="s">
        <v>175</v>
      </c>
      <c r="G2915" s="7">
        <v>42410</v>
      </c>
      <c r="H2915" s="6">
        <v>6593820</v>
      </c>
      <c r="I2915" s="6">
        <v>1624215</v>
      </c>
      <c r="J2915" s="5" t="s">
        <v>189</v>
      </c>
      <c r="K2915" s="1"/>
      <c r="L2915" s="1" t="str">
        <f t="shared" si="162"/>
        <v xml:space="preserve">Rösjön </v>
      </c>
      <c r="M2915" s="5" t="s">
        <v>211</v>
      </c>
      <c r="N2915" s="6">
        <v>1</v>
      </c>
      <c r="O2915" s="6">
        <v>1</v>
      </c>
      <c r="Q2915" s="6">
        <v>3.1</v>
      </c>
      <c r="R2915" s="6">
        <v>12.1</v>
      </c>
      <c r="S2915" s="6">
        <v>93</v>
      </c>
    </row>
    <row r="2916" spans="1:91" x14ac:dyDescent="0.3">
      <c r="A2916" s="6">
        <v>50024</v>
      </c>
      <c r="B2916" s="5" t="s">
        <v>238</v>
      </c>
      <c r="C2916" s="5" t="s">
        <v>231</v>
      </c>
      <c r="D2916" s="2">
        <f t="shared" si="160"/>
        <v>2016</v>
      </c>
      <c r="E2916" s="2">
        <f t="shared" si="161"/>
        <v>2</v>
      </c>
      <c r="F2916" s="3" t="s">
        <v>175</v>
      </c>
      <c r="G2916" s="7">
        <v>42410</v>
      </c>
      <c r="H2916" s="6">
        <v>6593820</v>
      </c>
      <c r="I2916" s="6">
        <v>1624215</v>
      </c>
      <c r="J2916" s="5" t="s">
        <v>189</v>
      </c>
      <c r="K2916" s="1"/>
      <c r="L2916" s="1" t="str">
        <f t="shared" si="162"/>
        <v xml:space="preserve">Rösjön </v>
      </c>
      <c r="M2916" s="5" t="s">
        <v>212</v>
      </c>
      <c r="N2916" s="6">
        <v>2</v>
      </c>
      <c r="O2916" s="6">
        <v>2</v>
      </c>
      <c r="Q2916" s="6">
        <v>3.6</v>
      </c>
      <c r="R2916" s="6">
        <v>11.6</v>
      </c>
      <c r="S2916" s="6">
        <v>90</v>
      </c>
    </row>
    <row r="2917" spans="1:91" x14ac:dyDescent="0.3">
      <c r="A2917" s="6">
        <v>50025</v>
      </c>
      <c r="B2917" s="5" t="s">
        <v>238</v>
      </c>
      <c r="C2917" s="5" t="s">
        <v>231</v>
      </c>
      <c r="D2917" s="2">
        <f t="shared" si="160"/>
        <v>2016</v>
      </c>
      <c r="E2917" s="2">
        <f t="shared" si="161"/>
        <v>2</v>
      </c>
      <c r="F2917" s="3" t="s">
        <v>175</v>
      </c>
      <c r="G2917" s="7">
        <v>42410</v>
      </c>
      <c r="H2917" s="6">
        <v>6593820</v>
      </c>
      <c r="I2917" s="6">
        <v>1624215</v>
      </c>
      <c r="J2917" s="5" t="s">
        <v>189</v>
      </c>
      <c r="K2917" s="1"/>
      <c r="L2917" s="1" t="str">
        <f t="shared" si="162"/>
        <v xml:space="preserve">Rösjön </v>
      </c>
      <c r="M2917" s="5" t="s">
        <v>213</v>
      </c>
      <c r="N2917" s="6">
        <v>3</v>
      </c>
      <c r="O2917" s="6">
        <v>3</v>
      </c>
      <c r="Q2917" s="6">
        <v>3.9</v>
      </c>
      <c r="R2917" s="6">
        <v>10.1</v>
      </c>
      <c r="S2917" s="6">
        <v>79</v>
      </c>
    </row>
    <row r="2918" spans="1:91" x14ac:dyDescent="0.3">
      <c r="A2918" s="6">
        <v>50026</v>
      </c>
      <c r="B2918" s="5" t="s">
        <v>238</v>
      </c>
      <c r="C2918" s="5" t="s">
        <v>231</v>
      </c>
      <c r="D2918" s="2">
        <f t="shared" si="160"/>
        <v>2016</v>
      </c>
      <c r="E2918" s="2">
        <f t="shared" si="161"/>
        <v>2</v>
      </c>
      <c r="F2918" s="3" t="s">
        <v>175</v>
      </c>
      <c r="G2918" s="7">
        <v>42410</v>
      </c>
      <c r="H2918" s="6">
        <v>6593820</v>
      </c>
      <c r="I2918" s="6">
        <v>1624215</v>
      </c>
      <c r="J2918" s="5" t="s">
        <v>189</v>
      </c>
      <c r="K2918" s="1"/>
      <c r="L2918" s="1" t="str">
        <f t="shared" si="162"/>
        <v xml:space="preserve">Rösjön </v>
      </c>
      <c r="M2918" s="5" t="s">
        <v>214</v>
      </c>
      <c r="N2918" s="6">
        <v>4</v>
      </c>
      <c r="O2918" s="6">
        <v>4</v>
      </c>
      <c r="Q2918" s="6">
        <v>4.5999999999999996</v>
      </c>
      <c r="R2918" s="6">
        <v>6.3</v>
      </c>
      <c r="S2918" s="6">
        <v>50</v>
      </c>
    </row>
    <row r="2919" spans="1:91" x14ac:dyDescent="0.3">
      <c r="A2919" s="6">
        <v>50027</v>
      </c>
      <c r="B2919" s="5" t="s">
        <v>238</v>
      </c>
      <c r="C2919" s="5" t="s">
        <v>231</v>
      </c>
      <c r="D2919" s="2">
        <f t="shared" si="160"/>
        <v>2016</v>
      </c>
      <c r="E2919" s="2">
        <f t="shared" si="161"/>
        <v>2</v>
      </c>
      <c r="F2919" s="3" t="s">
        <v>175</v>
      </c>
      <c r="G2919" s="7">
        <v>42410</v>
      </c>
      <c r="H2919" s="6">
        <v>6593820</v>
      </c>
      <c r="I2919" s="6">
        <v>1624215</v>
      </c>
      <c r="J2919" s="5" t="s">
        <v>189</v>
      </c>
      <c r="K2919" s="1"/>
      <c r="L2919" s="1" t="str">
        <f t="shared" si="162"/>
        <v xml:space="preserve">Rösjön </v>
      </c>
      <c r="M2919" s="5" t="s">
        <v>217</v>
      </c>
      <c r="N2919" s="6">
        <v>5</v>
      </c>
      <c r="O2919" s="6">
        <v>5</v>
      </c>
      <c r="Q2919" s="6">
        <v>4.7</v>
      </c>
      <c r="R2919" s="6">
        <v>5.8</v>
      </c>
      <c r="S2919" s="6">
        <v>46</v>
      </c>
    </row>
    <row r="2920" spans="1:91" x14ac:dyDescent="0.3">
      <c r="A2920" s="6">
        <v>50028</v>
      </c>
      <c r="B2920" s="5" t="s">
        <v>238</v>
      </c>
      <c r="C2920" s="5" t="s">
        <v>231</v>
      </c>
      <c r="D2920" s="2">
        <f t="shared" si="160"/>
        <v>2016</v>
      </c>
      <c r="E2920" s="2">
        <f t="shared" si="161"/>
        <v>2</v>
      </c>
      <c r="F2920" s="3" t="s">
        <v>175</v>
      </c>
      <c r="G2920" s="7">
        <v>42410</v>
      </c>
      <c r="H2920" s="6">
        <v>6593820</v>
      </c>
      <c r="I2920" s="6">
        <v>1624215</v>
      </c>
      <c r="J2920" s="5" t="s">
        <v>189</v>
      </c>
      <c r="K2920" s="1"/>
      <c r="L2920" s="1" t="str">
        <f t="shared" si="162"/>
        <v xml:space="preserve">Rösjön </v>
      </c>
      <c r="M2920" s="5" t="s">
        <v>218</v>
      </c>
      <c r="N2920" s="6">
        <v>6</v>
      </c>
      <c r="O2920" s="6">
        <v>6</v>
      </c>
      <c r="Q2920" s="6">
        <v>4.9000000000000004</v>
      </c>
      <c r="R2920" s="6">
        <v>4.5999999999999996</v>
      </c>
      <c r="S2920" s="6">
        <v>37</v>
      </c>
    </row>
    <row r="2921" spans="1:91" x14ac:dyDescent="0.3">
      <c r="A2921" s="6">
        <v>50029</v>
      </c>
      <c r="B2921" s="5" t="s">
        <v>238</v>
      </c>
      <c r="C2921" s="5" t="s">
        <v>231</v>
      </c>
      <c r="D2921" s="2">
        <f t="shared" si="160"/>
        <v>2016</v>
      </c>
      <c r="E2921" s="2">
        <f t="shared" si="161"/>
        <v>2</v>
      </c>
      <c r="F2921" s="3" t="s">
        <v>175</v>
      </c>
      <c r="G2921" s="7">
        <v>42410</v>
      </c>
      <c r="H2921" s="6">
        <v>6593820</v>
      </c>
      <c r="I2921" s="6">
        <v>1624215</v>
      </c>
      <c r="J2921" s="5" t="s">
        <v>189</v>
      </c>
      <c r="K2921" s="1"/>
      <c r="L2921" s="1" t="str">
        <f t="shared" si="162"/>
        <v xml:space="preserve">Rösjön </v>
      </c>
      <c r="M2921" s="1" t="s">
        <v>184</v>
      </c>
      <c r="Q2921" s="6">
        <v>4.9000000000000004</v>
      </c>
      <c r="R2921" s="6">
        <v>4.4000000000000004</v>
      </c>
      <c r="S2921" s="6">
        <v>36</v>
      </c>
      <c r="W2921" s="6">
        <v>12.662699999999999</v>
      </c>
      <c r="Y2921" s="6">
        <v>4.9000000000000002E-2</v>
      </c>
      <c r="Z2921" s="6">
        <v>7.59</v>
      </c>
      <c r="AA2921" s="6">
        <v>2.1</v>
      </c>
      <c r="AD2921" s="6">
        <v>208.41</v>
      </c>
      <c r="AK2921" s="6">
        <v>19.11</v>
      </c>
      <c r="AL2921" s="6">
        <v>642.17999999999995</v>
      </c>
      <c r="AM2921" s="6"/>
      <c r="AN2921" s="6"/>
      <c r="AO2921" s="6"/>
      <c r="AP2921" s="6"/>
      <c r="AQ2921" s="6"/>
    </row>
    <row r="2922" spans="1:91" x14ac:dyDescent="0.3">
      <c r="A2922" s="6">
        <v>50030</v>
      </c>
      <c r="B2922" s="5" t="s">
        <v>238</v>
      </c>
      <c r="C2922" s="5" t="s">
        <v>231</v>
      </c>
      <c r="D2922" s="2">
        <f t="shared" si="160"/>
        <v>2016</v>
      </c>
      <c r="E2922" s="2">
        <f t="shared" si="161"/>
        <v>2</v>
      </c>
      <c r="F2922" s="3" t="s">
        <v>175</v>
      </c>
      <c r="G2922" s="7">
        <v>42410</v>
      </c>
      <c r="H2922" s="6">
        <v>6594980</v>
      </c>
      <c r="I2922" s="6">
        <v>1622960</v>
      </c>
      <c r="J2922" s="5" t="s">
        <v>192</v>
      </c>
      <c r="K2922" s="1"/>
      <c r="L2922" s="1" t="str">
        <f t="shared" si="162"/>
        <v xml:space="preserve">Väsjön </v>
      </c>
      <c r="M2922" s="1" t="s">
        <v>177</v>
      </c>
      <c r="N2922" s="6">
        <v>0.5</v>
      </c>
      <c r="O2922" s="6">
        <v>0.5</v>
      </c>
      <c r="Q2922" s="6">
        <v>1.1000000000000001</v>
      </c>
      <c r="R2922" s="6">
        <v>9.5</v>
      </c>
      <c r="S2922" s="6">
        <v>70</v>
      </c>
      <c r="W2922" s="6">
        <v>13.3567</v>
      </c>
      <c r="X2922" s="1">
        <f>W2922 * (1/((10^((0.0901821 + (2729.92 /(273.15 + Q2922)))-AE2922)+1)))</f>
        <v>3.2384214911486804E-2</v>
      </c>
      <c r="Y2922" s="6">
        <v>0.14199999999999999</v>
      </c>
      <c r="Z2922" s="6">
        <v>1.44</v>
      </c>
      <c r="AA2922" s="6">
        <v>9.5</v>
      </c>
      <c r="AD2922" s="6">
        <v>130.4</v>
      </c>
      <c r="AE2922" s="6">
        <v>7.43</v>
      </c>
      <c r="AI2922" s="6">
        <v>12.25</v>
      </c>
      <c r="AJ2922" s="6">
        <v>11.32</v>
      </c>
      <c r="AK2922" s="6">
        <v>27.17</v>
      </c>
      <c r="AL2922" s="6">
        <v>835.74</v>
      </c>
      <c r="AM2922" s="6"/>
      <c r="AN2922" s="6"/>
      <c r="AO2922" s="6"/>
      <c r="AP2922" s="6"/>
      <c r="AQ2922" s="6"/>
      <c r="AR2922" s="6">
        <v>43.2</v>
      </c>
      <c r="AS2922" s="6">
        <v>0.499</v>
      </c>
      <c r="AT2922" s="6">
        <v>3.46</v>
      </c>
      <c r="AU2922" s="6">
        <v>5.32</v>
      </c>
      <c r="AW2922" s="6">
        <v>28.7</v>
      </c>
      <c r="AY2922" s="6">
        <v>3.97</v>
      </c>
      <c r="AZ2922" s="6">
        <v>566</v>
      </c>
      <c r="BA2922" s="6">
        <v>0.3</v>
      </c>
      <c r="BB2922" s="6">
        <v>28</v>
      </c>
      <c r="BC2922" s="6">
        <v>6.1900000000000002E-3</v>
      </c>
      <c r="BD2922" s="6">
        <v>0.25</v>
      </c>
      <c r="BE2922" s="6">
        <v>0.81599999999999895</v>
      </c>
      <c r="BF2922" s="6">
        <v>1.46</v>
      </c>
      <c r="BG2922" s="6">
        <v>1E-3</v>
      </c>
      <c r="BH2922" s="6">
        <v>201</v>
      </c>
      <c r="BI2922" s="6">
        <v>1</v>
      </c>
      <c r="BJ2922" s="6">
        <v>0.71499999999999897</v>
      </c>
      <c r="BK2922" s="6">
        <v>18.600000000000001</v>
      </c>
      <c r="BL2922" s="6">
        <v>0.54700000000000004</v>
      </c>
      <c r="BM2922" s="6">
        <v>94</v>
      </c>
      <c r="BN2922" s="6">
        <v>1.07</v>
      </c>
      <c r="BO2922" s="6">
        <v>5.4</v>
      </c>
      <c r="BQ2922" s="6">
        <v>51.8</v>
      </c>
      <c r="BR2922" s="6">
        <v>1E-3</v>
      </c>
      <c r="BS2922" s="6">
        <v>8.5599999999999898E-2</v>
      </c>
      <c r="BT2922" s="6">
        <v>0.17299999999999899</v>
      </c>
      <c r="BU2922" s="6">
        <v>1.05</v>
      </c>
      <c r="BV2922" s="6">
        <v>161</v>
      </c>
      <c r="BW2922" s="6">
        <v>0.42399999999999899</v>
      </c>
      <c r="BX2922" s="6">
        <v>5.8599999999999902E-2</v>
      </c>
      <c r="BY2922" s="6">
        <v>4.88</v>
      </c>
      <c r="BZ2922" s="6">
        <v>44.2</v>
      </c>
      <c r="CA2922" s="6">
        <v>5.35</v>
      </c>
      <c r="CC2922" s="6">
        <v>6.3799999999999898E-2</v>
      </c>
      <c r="CD2922" s="6">
        <v>3.38</v>
      </c>
      <c r="CE2922" s="6">
        <v>29.4</v>
      </c>
      <c r="CF2922" s="6">
        <v>3.01</v>
      </c>
      <c r="CG2922" s="6">
        <v>0.2</v>
      </c>
      <c r="CH2922" s="6">
        <v>24.4</v>
      </c>
      <c r="CI2922" s="6">
        <v>1E-3</v>
      </c>
      <c r="CJ2922" s="6">
        <v>0.96299999999999897</v>
      </c>
      <c r="CK2922" s="6">
        <v>10.3</v>
      </c>
      <c r="CL2922" s="6">
        <v>0.224</v>
      </c>
      <c r="CM2922" s="6">
        <v>95.9</v>
      </c>
    </row>
    <row r="2923" spans="1:91" x14ac:dyDescent="0.3">
      <c r="A2923" s="6">
        <v>50031</v>
      </c>
      <c r="B2923" s="5" t="s">
        <v>238</v>
      </c>
      <c r="C2923" s="5" t="s">
        <v>231</v>
      </c>
      <c r="D2923" s="2">
        <f t="shared" si="160"/>
        <v>2016</v>
      </c>
      <c r="E2923" s="2">
        <f t="shared" si="161"/>
        <v>2</v>
      </c>
      <c r="F2923" s="3" t="s">
        <v>175</v>
      </c>
      <c r="G2923" s="7">
        <v>42410</v>
      </c>
      <c r="H2923" s="6">
        <v>6594980</v>
      </c>
      <c r="I2923" s="6">
        <v>1622960</v>
      </c>
      <c r="J2923" s="5" t="s">
        <v>192</v>
      </c>
      <c r="K2923" s="1"/>
      <c r="L2923" s="1" t="str">
        <f t="shared" si="162"/>
        <v xml:space="preserve">Väsjön </v>
      </c>
      <c r="M2923" s="5" t="s">
        <v>211</v>
      </c>
      <c r="N2923" s="6">
        <v>1</v>
      </c>
      <c r="O2923" s="6">
        <v>1</v>
      </c>
      <c r="Q2923" s="6">
        <v>2.7</v>
      </c>
      <c r="R2923" s="6">
        <v>6.2</v>
      </c>
      <c r="S2923" s="6">
        <v>47</v>
      </c>
    </row>
    <row r="2924" spans="1:91" x14ac:dyDescent="0.3">
      <c r="A2924" s="6">
        <v>50032</v>
      </c>
      <c r="B2924" s="5" t="s">
        <v>238</v>
      </c>
      <c r="C2924" s="5" t="s">
        <v>231</v>
      </c>
      <c r="D2924" s="2">
        <f t="shared" si="160"/>
        <v>2016</v>
      </c>
      <c r="E2924" s="2">
        <f t="shared" si="161"/>
        <v>2</v>
      </c>
      <c r="F2924" s="3" t="s">
        <v>175</v>
      </c>
      <c r="G2924" s="7">
        <v>42410</v>
      </c>
      <c r="H2924" s="6">
        <v>6594980</v>
      </c>
      <c r="I2924" s="6">
        <v>1622960</v>
      </c>
      <c r="J2924" s="5" t="s">
        <v>192</v>
      </c>
      <c r="K2924" s="1"/>
      <c r="L2924" s="1" t="str">
        <f t="shared" si="162"/>
        <v xml:space="preserve">Väsjön </v>
      </c>
      <c r="M2924" s="5" t="s">
        <v>212</v>
      </c>
      <c r="N2924" s="6">
        <v>2</v>
      </c>
      <c r="O2924" s="6">
        <v>2</v>
      </c>
      <c r="Q2924" s="6">
        <v>3.6</v>
      </c>
      <c r="R2924" s="6">
        <v>1.5</v>
      </c>
      <c r="S2924" s="6">
        <v>12</v>
      </c>
    </row>
    <row r="2925" spans="1:91" x14ac:dyDescent="0.3">
      <c r="A2925" s="6">
        <v>50033</v>
      </c>
      <c r="B2925" s="5" t="s">
        <v>238</v>
      </c>
      <c r="C2925" s="5" t="s">
        <v>231</v>
      </c>
      <c r="D2925" s="2">
        <f t="shared" si="160"/>
        <v>2016</v>
      </c>
      <c r="E2925" s="2">
        <f t="shared" si="161"/>
        <v>2</v>
      </c>
      <c r="F2925" s="3" t="s">
        <v>175</v>
      </c>
      <c r="G2925" s="7">
        <v>42410</v>
      </c>
      <c r="H2925" s="6">
        <v>6594980</v>
      </c>
      <c r="I2925" s="6">
        <v>1622960</v>
      </c>
      <c r="J2925" s="5" t="s">
        <v>192</v>
      </c>
      <c r="K2925" s="1"/>
      <c r="L2925" s="1" t="str">
        <f t="shared" si="162"/>
        <v xml:space="preserve">Väsjön </v>
      </c>
      <c r="M2925" s="1" t="s">
        <v>184</v>
      </c>
      <c r="Q2925" s="6">
        <v>3.8</v>
      </c>
      <c r="R2925" s="6">
        <v>0.7</v>
      </c>
      <c r="S2925" s="6">
        <v>5</v>
      </c>
      <c r="W2925" s="6">
        <v>40.262900000000002</v>
      </c>
      <c r="Y2925" s="6">
        <v>0.14399999999999999</v>
      </c>
      <c r="Z2925" s="6">
        <v>0.92</v>
      </c>
      <c r="AA2925" s="6">
        <v>8</v>
      </c>
      <c r="AD2925" s="6">
        <v>107.4</v>
      </c>
      <c r="AK2925" s="6">
        <v>27.64</v>
      </c>
      <c r="AL2925" s="6">
        <v>838.6</v>
      </c>
      <c r="AM2925" s="6"/>
      <c r="AN2925" s="6"/>
      <c r="AO2925" s="6"/>
      <c r="AP2925" s="6"/>
      <c r="AQ2925" s="6"/>
    </row>
    <row r="2926" spans="1:91" x14ac:dyDescent="0.3">
      <c r="A2926" s="6">
        <v>50034</v>
      </c>
      <c r="B2926" s="5" t="s">
        <v>238</v>
      </c>
      <c r="C2926" s="5" t="s">
        <v>231</v>
      </c>
      <c r="D2926" s="2">
        <f t="shared" si="160"/>
        <v>2016</v>
      </c>
      <c r="E2926" s="2">
        <f t="shared" si="161"/>
        <v>2</v>
      </c>
      <c r="F2926" s="3" t="s">
        <v>175</v>
      </c>
      <c r="G2926" s="7">
        <v>42411</v>
      </c>
      <c r="H2926" s="6">
        <v>6595470</v>
      </c>
      <c r="I2926" s="6">
        <v>1622370</v>
      </c>
      <c r="J2926" s="5" t="s">
        <v>190</v>
      </c>
      <c r="K2926" s="1"/>
      <c r="L2926" s="1" t="str">
        <f t="shared" si="162"/>
        <v xml:space="preserve">Snuggan </v>
      </c>
      <c r="M2926" s="1" t="s">
        <v>177</v>
      </c>
      <c r="N2926" s="6">
        <v>0.5</v>
      </c>
      <c r="O2926" s="6">
        <v>0.5</v>
      </c>
      <c r="P2926" s="6">
        <v>1</v>
      </c>
      <c r="Q2926" s="6">
        <v>2.2000000000000002</v>
      </c>
      <c r="R2926" s="6">
        <v>12.2</v>
      </c>
      <c r="S2926" s="6">
        <v>91</v>
      </c>
      <c r="W2926" s="6">
        <v>195.5686</v>
      </c>
      <c r="Y2926" s="6">
        <v>0.70599999999999996</v>
      </c>
      <c r="Z2926" s="6">
        <v>1.29</v>
      </c>
      <c r="AA2926" s="6">
        <v>2.5</v>
      </c>
      <c r="AD2926" s="6">
        <v>43.77</v>
      </c>
      <c r="AK2926" s="6">
        <v>24.43</v>
      </c>
      <c r="AL2926" s="6">
        <v>1209.9000000000001</v>
      </c>
      <c r="AM2926" s="6"/>
      <c r="AN2926" s="6"/>
      <c r="AO2926" s="6"/>
      <c r="AP2926" s="6"/>
      <c r="AQ2926" s="6"/>
    </row>
    <row r="2927" spans="1:91" x14ac:dyDescent="0.3">
      <c r="A2927" s="6">
        <v>50035</v>
      </c>
      <c r="B2927" s="5" t="s">
        <v>238</v>
      </c>
      <c r="C2927" s="5" t="s">
        <v>231</v>
      </c>
      <c r="D2927" s="2">
        <f t="shared" si="160"/>
        <v>2016</v>
      </c>
      <c r="E2927" s="2">
        <f t="shared" si="161"/>
        <v>2</v>
      </c>
      <c r="F2927" s="3" t="s">
        <v>175</v>
      </c>
      <c r="G2927" s="7">
        <v>42411</v>
      </c>
      <c r="H2927" s="6">
        <v>6595470</v>
      </c>
      <c r="I2927" s="6">
        <v>1622370</v>
      </c>
      <c r="J2927" s="5" t="s">
        <v>190</v>
      </c>
      <c r="K2927" s="1"/>
      <c r="L2927" s="1" t="str">
        <f t="shared" si="162"/>
        <v xml:space="preserve">Snuggan </v>
      </c>
      <c r="M2927" s="5" t="s">
        <v>211</v>
      </c>
      <c r="N2927" s="6">
        <v>1</v>
      </c>
      <c r="O2927" s="6">
        <v>1</v>
      </c>
      <c r="Q2927" s="6">
        <v>2.6</v>
      </c>
      <c r="R2927" s="6">
        <v>11</v>
      </c>
      <c r="S2927" s="6">
        <v>83</v>
      </c>
    </row>
    <row r="2928" spans="1:91" x14ac:dyDescent="0.3">
      <c r="A2928" s="6">
        <v>50036</v>
      </c>
      <c r="B2928" s="5" t="s">
        <v>238</v>
      </c>
      <c r="C2928" s="5" t="s">
        <v>231</v>
      </c>
      <c r="D2928" s="2">
        <f t="shared" si="160"/>
        <v>2016</v>
      </c>
      <c r="E2928" s="2">
        <f t="shared" si="161"/>
        <v>2</v>
      </c>
      <c r="F2928" s="3" t="s">
        <v>175</v>
      </c>
      <c r="G2928" s="7">
        <v>42411</v>
      </c>
      <c r="H2928" s="6">
        <v>6595470</v>
      </c>
      <c r="I2928" s="6">
        <v>1622370</v>
      </c>
      <c r="J2928" s="5" t="s">
        <v>190</v>
      </c>
      <c r="K2928" s="1"/>
      <c r="L2928" s="1" t="str">
        <f t="shared" si="162"/>
        <v xml:space="preserve">Snuggan </v>
      </c>
      <c r="M2928" s="5" t="s">
        <v>212</v>
      </c>
      <c r="N2928" s="6">
        <v>2</v>
      </c>
      <c r="O2928" s="6">
        <v>2</v>
      </c>
      <c r="Q2928" s="6">
        <v>3.7</v>
      </c>
      <c r="R2928" s="6">
        <v>8.3000000000000007</v>
      </c>
      <c r="S2928" s="6">
        <v>64</v>
      </c>
    </row>
    <row r="2929" spans="1:51" x14ac:dyDescent="0.3">
      <c r="A2929" s="6">
        <v>50037</v>
      </c>
      <c r="B2929" s="5" t="s">
        <v>238</v>
      </c>
      <c r="C2929" s="5" t="s">
        <v>231</v>
      </c>
      <c r="D2929" s="2">
        <f t="shared" si="160"/>
        <v>2016</v>
      </c>
      <c r="E2929" s="2">
        <f t="shared" si="161"/>
        <v>2</v>
      </c>
      <c r="F2929" s="3" t="s">
        <v>175</v>
      </c>
      <c r="G2929" s="7">
        <v>42411</v>
      </c>
      <c r="H2929" s="6">
        <v>6595470</v>
      </c>
      <c r="I2929" s="6">
        <v>1622370</v>
      </c>
      <c r="J2929" s="5" t="s">
        <v>190</v>
      </c>
      <c r="K2929" s="1"/>
      <c r="L2929" s="1" t="str">
        <f t="shared" si="162"/>
        <v xml:space="preserve">Snuggan </v>
      </c>
      <c r="M2929" s="1" t="s">
        <v>184</v>
      </c>
      <c r="Q2929" s="6">
        <v>4.5</v>
      </c>
      <c r="R2929" s="6">
        <v>3.3</v>
      </c>
      <c r="S2929" s="6">
        <v>26</v>
      </c>
      <c r="W2929" s="6">
        <v>216.0138</v>
      </c>
      <c r="Y2929" s="6">
        <v>0.72699999999999998</v>
      </c>
      <c r="Z2929" s="6">
        <v>1.41</v>
      </c>
      <c r="AA2929" s="6">
        <v>5.6</v>
      </c>
      <c r="AD2929" s="6">
        <v>29.36</v>
      </c>
      <c r="AK2929" s="6">
        <v>25.1</v>
      </c>
      <c r="AL2929" s="6">
        <v>1222.32</v>
      </c>
      <c r="AM2929" s="6"/>
      <c r="AN2929" s="6"/>
      <c r="AO2929" s="6"/>
      <c r="AP2929" s="6"/>
      <c r="AQ2929" s="6"/>
    </row>
    <row r="2930" spans="1:51" x14ac:dyDescent="0.3">
      <c r="A2930" s="6">
        <v>50038</v>
      </c>
      <c r="B2930" s="5" t="s">
        <v>238</v>
      </c>
      <c r="C2930" s="5" t="s">
        <v>231</v>
      </c>
      <c r="D2930" s="2">
        <f t="shared" si="160"/>
        <v>2016</v>
      </c>
      <c r="E2930" s="2">
        <f t="shared" si="161"/>
        <v>2</v>
      </c>
      <c r="F2930" s="3" t="s">
        <v>175</v>
      </c>
      <c r="G2930" s="7">
        <v>42411</v>
      </c>
      <c r="H2930" s="6">
        <v>6597555</v>
      </c>
      <c r="I2930" s="6">
        <v>1629125</v>
      </c>
      <c r="J2930" s="5" t="s">
        <v>185</v>
      </c>
      <c r="K2930" s="1"/>
      <c r="L2930" s="1" t="str">
        <f t="shared" si="162"/>
        <v xml:space="preserve">Gullsjön </v>
      </c>
      <c r="M2930" s="1" t="s">
        <v>177</v>
      </c>
      <c r="N2930" s="6">
        <v>0.5</v>
      </c>
      <c r="O2930" s="6">
        <v>0.5</v>
      </c>
      <c r="P2930" s="6">
        <v>2</v>
      </c>
      <c r="Q2930" s="6">
        <v>1.6</v>
      </c>
      <c r="R2930" s="6">
        <v>6.4</v>
      </c>
      <c r="S2930" s="6">
        <v>46</v>
      </c>
      <c r="W2930" s="6">
        <v>24.4605</v>
      </c>
      <c r="Y2930" s="6">
        <v>0.15</v>
      </c>
      <c r="Z2930" s="6">
        <v>1.1400000000000001</v>
      </c>
      <c r="AA2930" s="6">
        <v>2.6</v>
      </c>
      <c r="AD2930" s="6">
        <v>32.409999999999997</v>
      </c>
      <c r="AK2930" s="6">
        <v>39.770000000000003</v>
      </c>
      <c r="AL2930" s="6">
        <v>1024.78</v>
      </c>
      <c r="AM2930" s="6"/>
      <c r="AN2930" s="6"/>
      <c r="AO2930" s="6"/>
      <c r="AP2930" s="6"/>
      <c r="AQ2930" s="6"/>
    </row>
    <row r="2931" spans="1:51" x14ac:dyDescent="0.3">
      <c r="A2931" s="6">
        <v>50039</v>
      </c>
      <c r="B2931" s="5" t="s">
        <v>238</v>
      </c>
      <c r="C2931" s="5" t="s">
        <v>231</v>
      </c>
      <c r="D2931" s="2">
        <f t="shared" si="160"/>
        <v>2016</v>
      </c>
      <c r="E2931" s="2">
        <f t="shared" si="161"/>
        <v>2</v>
      </c>
      <c r="F2931" s="3" t="s">
        <v>175</v>
      </c>
      <c r="G2931" s="7">
        <v>42411</v>
      </c>
      <c r="H2931" s="6">
        <v>6597555</v>
      </c>
      <c r="I2931" s="6">
        <v>1629125</v>
      </c>
      <c r="J2931" s="5" t="s">
        <v>185</v>
      </c>
      <c r="K2931" s="1"/>
      <c r="L2931" s="1" t="str">
        <f t="shared" si="162"/>
        <v xml:space="preserve">Gullsjön </v>
      </c>
      <c r="M2931" s="5" t="s">
        <v>211</v>
      </c>
      <c r="N2931" s="6">
        <v>1</v>
      </c>
      <c r="O2931" s="6">
        <v>1</v>
      </c>
      <c r="Q2931" s="6">
        <v>2.9</v>
      </c>
      <c r="R2931" s="6">
        <v>2.7</v>
      </c>
      <c r="S2931" s="6">
        <v>20</v>
      </c>
    </row>
    <row r="2932" spans="1:51" x14ac:dyDescent="0.3">
      <c r="A2932" s="6">
        <v>50040</v>
      </c>
      <c r="B2932" s="5" t="s">
        <v>238</v>
      </c>
      <c r="C2932" s="5" t="s">
        <v>231</v>
      </c>
      <c r="D2932" s="2">
        <f t="shared" si="160"/>
        <v>2016</v>
      </c>
      <c r="E2932" s="2">
        <f t="shared" si="161"/>
        <v>2</v>
      </c>
      <c r="F2932" s="3" t="s">
        <v>175</v>
      </c>
      <c r="G2932" s="7">
        <v>42411</v>
      </c>
      <c r="H2932" s="6">
        <v>6597555</v>
      </c>
      <c r="I2932" s="6">
        <v>1629125</v>
      </c>
      <c r="J2932" s="5" t="s">
        <v>185</v>
      </c>
      <c r="K2932" s="1"/>
      <c r="L2932" s="1" t="str">
        <f t="shared" si="162"/>
        <v xml:space="preserve">Gullsjön </v>
      </c>
      <c r="M2932" s="1" t="s">
        <v>184</v>
      </c>
      <c r="N2932" s="6">
        <v>2</v>
      </c>
      <c r="O2932" s="6">
        <v>2</v>
      </c>
      <c r="Q2932" s="6">
        <v>3.4</v>
      </c>
      <c r="R2932" s="6">
        <v>0.5</v>
      </c>
      <c r="S2932" s="6">
        <v>4</v>
      </c>
      <c r="W2932" s="6">
        <v>42.924199999999999</v>
      </c>
      <c r="Y2932" s="6">
        <v>0.151</v>
      </c>
      <c r="Z2932" s="6">
        <v>0.87</v>
      </c>
      <c r="AA2932" s="6">
        <v>2.8</v>
      </c>
      <c r="AD2932" s="6">
        <v>25.33</v>
      </c>
      <c r="AK2932" s="6">
        <v>32.24</v>
      </c>
      <c r="AL2932" s="6">
        <v>972.24</v>
      </c>
      <c r="AM2932" s="6"/>
      <c r="AN2932" s="6"/>
      <c r="AO2932" s="6"/>
      <c r="AP2932" s="6"/>
      <c r="AQ2932" s="6"/>
    </row>
    <row r="2933" spans="1:51" x14ac:dyDescent="0.3">
      <c r="A2933" s="6">
        <v>50041</v>
      </c>
      <c r="B2933" s="5" t="s">
        <v>238</v>
      </c>
      <c r="C2933" s="5" t="s">
        <v>231</v>
      </c>
      <c r="D2933" s="2">
        <f t="shared" si="160"/>
        <v>2016</v>
      </c>
      <c r="E2933" s="2">
        <f t="shared" si="161"/>
        <v>2</v>
      </c>
      <c r="F2933" s="3" t="s">
        <v>175</v>
      </c>
      <c r="G2933" s="7">
        <v>42411</v>
      </c>
      <c r="H2933" s="6">
        <v>6595515</v>
      </c>
      <c r="I2933" s="6">
        <v>1624630</v>
      </c>
      <c r="J2933" s="5" t="s">
        <v>207</v>
      </c>
      <c r="K2933" s="1"/>
      <c r="L2933" s="1" t="str">
        <f t="shared" si="162"/>
        <v xml:space="preserve">Käringsjön </v>
      </c>
      <c r="M2933" s="1" t="s">
        <v>177</v>
      </c>
      <c r="N2933" s="6">
        <v>0.5</v>
      </c>
      <c r="O2933" s="6">
        <v>1</v>
      </c>
      <c r="P2933" s="6">
        <v>1.1000000000000001</v>
      </c>
      <c r="Q2933" s="6">
        <v>1.6</v>
      </c>
      <c r="R2933" s="6">
        <v>10</v>
      </c>
      <c r="S2933" s="6">
        <v>72</v>
      </c>
      <c r="W2933" s="6">
        <v>0</v>
      </c>
      <c r="Y2933" s="6">
        <v>0.54900000000000004</v>
      </c>
      <c r="Z2933" s="6">
        <v>6.7</v>
      </c>
      <c r="AA2933" s="6">
        <v>1.2</v>
      </c>
      <c r="AD2933" s="6">
        <v>193.35</v>
      </c>
      <c r="AK2933" s="6">
        <v>19.07</v>
      </c>
      <c r="AL2933" s="6">
        <v>1264.1199999999999</v>
      </c>
      <c r="AM2933" s="6"/>
      <c r="AN2933" s="6"/>
      <c r="AO2933" s="6"/>
      <c r="AP2933" s="6"/>
      <c r="AQ2933" s="6"/>
    </row>
    <row r="2934" spans="1:51" x14ac:dyDescent="0.3">
      <c r="A2934" s="6">
        <v>50042</v>
      </c>
      <c r="B2934" s="5" t="s">
        <v>238</v>
      </c>
      <c r="C2934" s="5" t="s">
        <v>231</v>
      </c>
      <c r="D2934" s="2">
        <f t="shared" si="160"/>
        <v>2016</v>
      </c>
      <c r="E2934" s="2">
        <f t="shared" si="161"/>
        <v>2</v>
      </c>
      <c r="F2934" s="3" t="s">
        <v>175</v>
      </c>
      <c r="G2934" s="7">
        <v>42411</v>
      </c>
      <c r="H2934" s="6">
        <v>6595515</v>
      </c>
      <c r="I2934" s="6">
        <v>1624630</v>
      </c>
      <c r="J2934" s="5" t="s">
        <v>207</v>
      </c>
      <c r="K2934" s="1"/>
      <c r="L2934" s="1" t="str">
        <f t="shared" si="162"/>
        <v xml:space="preserve">Käringsjön </v>
      </c>
      <c r="M2934" s="5" t="s">
        <v>211</v>
      </c>
      <c r="N2934" s="6">
        <v>1</v>
      </c>
      <c r="O2934" s="6">
        <v>1</v>
      </c>
      <c r="Q2934" s="6">
        <v>2.4</v>
      </c>
      <c r="R2934" s="6">
        <v>10</v>
      </c>
      <c r="S2934" s="6">
        <v>74</v>
      </c>
    </row>
    <row r="2935" spans="1:51" x14ac:dyDescent="0.3">
      <c r="A2935" s="6">
        <v>50043</v>
      </c>
      <c r="B2935" s="5" t="s">
        <v>238</v>
      </c>
      <c r="C2935" s="5" t="s">
        <v>231</v>
      </c>
      <c r="D2935" s="2">
        <f t="shared" si="160"/>
        <v>2016</v>
      </c>
      <c r="E2935" s="2">
        <f t="shared" si="161"/>
        <v>2</v>
      </c>
      <c r="F2935" s="3" t="s">
        <v>175</v>
      </c>
      <c r="G2935" s="7">
        <v>42411</v>
      </c>
      <c r="H2935" s="6">
        <v>6595515</v>
      </c>
      <c r="I2935" s="6">
        <v>1624630</v>
      </c>
      <c r="J2935" s="5" t="s">
        <v>207</v>
      </c>
      <c r="K2935" s="1"/>
      <c r="L2935" s="1" t="str">
        <f t="shared" si="162"/>
        <v xml:space="preserve">Käringsjön </v>
      </c>
      <c r="M2935" s="5" t="s">
        <v>212</v>
      </c>
      <c r="N2935" s="6">
        <v>2</v>
      </c>
      <c r="O2935" s="6">
        <v>2</v>
      </c>
      <c r="Q2935" s="6">
        <v>3.3</v>
      </c>
      <c r="R2935" s="6">
        <v>8.9</v>
      </c>
      <c r="S2935" s="6">
        <v>68</v>
      </c>
    </row>
    <row r="2936" spans="1:51" x14ac:dyDescent="0.3">
      <c r="A2936" s="6">
        <v>50044</v>
      </c>
      <c r="B2936" s="5" t="s">
        <v>238</v>
      </c>
      <c r="C2936" s="5" t="s">
        <v>231</v>
      </c>
      <c r="D2936" s="2">
        <f t="shared" si="160"/>
        <v>2016</v>
      </c>
      <c r="E2936" s="2">
        <f t="shared" si="161"/>
        <v>2</v>
      </c>
      <c r="F2936" s="3" t="s">
        <v>175</v>
      </c>
      <c r="G2936" s="7">
        <v>42411</v>
      </c>
      <c r="H2936" s="6">
        <v>6595515</v>
      </c>
      <c r="I2936" s="6">
        <v>1624630</v>
      </c>
      <c r="J2936" s="5" t="s">
        <v>207</v>
      </c>
      <c r="K2936" s="1"/>
      <c r="L2936" s="1" t="str">
        <f t="shared" si="162"/>
        <v xml:space="preserve">Käringsjön </v>
      </c>
      <c r="M2936" s="5" t="s">
        <v>213</v>
      </c>
      <c r="N2936" s="6">
        <v>3</v>
      </c>
      <c r="O2936" s="6">
        <v>3</v>
      </c>
      <c r="Q2936" s="6">
        <v>3.9</v>
      </c>
      <c r="R2936" s="6">
        <v>5.0999999999999996</v>
      </c>
      <c r="S2936" s="6">
        <v>40</v>
      </c>
    </row>
    <row r="2937" spans="1:51" x14ac:dyDescent="0.3">
      <c r="A2937" s="6">
        <v>50045</v>
      </c>
      <c r="B2937" s="5" t="s">
        <v>238</v>
      </c>
      <c r="C2937" s="5" t="s">
        <v>231</v>
      </c>
      <c r="D2937" s="2">
        <f t="shared" si="160"/>
        <v>2016</v>
      </c>
      <c r="E2937" s="2">
        <f t="shared" si="161"/>
        <v>2</v>
      </c>
      <c r="F2937" s="3" t="s">
        <v>175</v>
      </c>
      <c r="G2937" s="7">
        <v>42411</v>
      </c>
      <c r="H2937" s="6">
        <v>6595515</v>
      </c>
      <c r="I2937" s="6">
        <v>1624630</v>
      </c>
      <c r="J2937" s="5" t="s">
        <v>207</v>
      </c>
      <c r="K2937" s="1"/>
      <c r="L2937" s="1" t="str">
        <f t="shared" si="162"/>
        <v xml:space="preserve">Käringsjön </v>
      </c>
      <c r="M2937" s="1" t="s">
        <v>184</v>
      </c>
      <c r="Q2937" s="6">
        <v>4.0999999999999996</v>
      </c>
      <c r="R2937" s="6">
        <v>3</v>
      </c>
      <c r="S2937" s="6">
        <v>23</v>
      </c>
      <c r="W2937" s="6">
        <v>0</v>
      </c>
      <c r="Y2937" s="6">
        <v>0.56000000000000005</v>
      </c>
      <c r="Z2937" s="6">
        <v>6.67</v>
      </c>
      <c r="AA2937" s="6">
        <v>2.5</v>
      </c>
      <c r="AD2937" s="6">
        <v>185.83</v>
      </c>
      <c r="AK2937" s="6">
        <v>23.45</v>
      </c>
      <c r="AL2937" s="6">
        <v>1192.99</v>
      </c>
      <c r="AM2937" s="6"/>
      <c r="AN2937" s="6"/>
      <c r="AO2937" s="6"/>
      <c r="AP2937" s="6"/>
      <c r="AQ2937" s="6"/>
    </row>
    <row r="2938" spans="1:51" x14ac:dyDescent="0.3">
      <c r="A2938" s="6">
        <v>50046</v>
      </c>
      <c r="B2938" s="5" t="s">
        <v>238</v>
      </c>
      <c r="C2938" s="5" t="s">
        <v>231</v>
      </c>
      <c r="D2938" s="2">
        <f t="shared" si="160"/>
        <v>2016</v>
      </c>
      <c r="E2938" s="2">
        <f t="shared" si="161"/>
        <v>2</v>
      </c>
      <c r="F2938" s="3" t="s">
        <v>175</v>
      </c>
      <c r="G2938" s="7">
        <v>42411</v>
      </c>
      <c r="H2938" s="6">
        <v>6594430</v>
      </c>
      <c r="I2938" s="6">
        <v>1625370</v>
      </c>
      <c r="J2938" s="5" t="s">
        <v>201</v>
      </c>
      <c r="K2938" s="1"/>
      <c r="L2938" s="1" t="str">
        <f t="shared" si="162"/>
        <v xml:space="preserve">Mörtsjön </v>
      </c>
      <c r="M2938" s="1" t="s">
        <v>177</v>
      </c>
      <c r="N2938" s="6">
        <v>0.5</v>
      </c>
      <c r="O2938" s="6">
        <v>0.5</v>
      </c>
      <c r="P2938" s="6">
        <v>1.8</v>
      </c>
      <c r="Q2938" s="6">
        <v>1.6</v>
      </c>
      <c r="R2938" s="6">
        <v>9.1999999999999993</v>
      </c>
      <c r="S2938" s="6">
        <v>66</v>
      </c>
      <c r="W2938" s="6">
        <v>4.3070000000000004</v>
      </c>
      <c r="Y2938" s="6">
        <v>0.251</v>
      </c>
      <c r="Z2938" s="6">
        <v>1.98</v>
      </c>
      <c r="AA2938" s="6">
        <v>7.2</v>
      </c>
      <c r="AD2938" s="6">
        <v>421.08</v>
      </c>
      <c r="AK2938" s="6">
        <v>23.94</v>
      </c>
      <c r="AL2938" s="6">
        <v>1184.5</v>
      </c>
      <c r="AM2938" s="6"/>
      <c r="AN2938" s="6"/>
      <c r="AO2938" s="6"/>
      <c r="AP2938" s="6"/>
      <c r="AQ2938" s="6"/>
    </row>
    <row r="2939" spans="1:51" x14ac:dyDescent="0.3">
      <c r="A2939" s="6">
        <v>50047</v>
      </c>
      <c r="B2939" s="5" t="s">
        <v>238</v>
      </c>
      <c r="C2939" s="5" t="s">
        <v>231</v>
      </c>
      <c r="D2939" s="2">
        <f t="shared" si="160"/>
        <v>2016</v>
      </c>
      <c r="E2939" s="2">
        <f t="shared" si="161"/>
        <v>2</v>
      </c>
      <c r="F2939" s="3" t="s">
        <v>175</v>
      </c>
      <c r="G2939" s="7">
        <v>42411</v>
      </c>
      <c r="H2939" s="6">
        <v>6594430</v>
      </c>
      <c r="I2939" s="6">
        <v>1625370</v>
      </c>
      <c r="J2939" s="5" t="s">
        <v>201</v>
      </c>
      <c r="K2939" s="1"/>
      <c r="L2939" s="1" t="str">
        <f t="shared" si="162"/>
        <v xml:space="preserve">Mörtsjön </v>
      </c>
      <c r="M2939" s="5" t="s">
        <v>211</v>
      </c>
      <c r="N2939" s="6">
        <v>1</v>
      </c>
      <c r="O2939" s="6">
        <v>1</v>
      </c>
      <c r="Q2939" s="6">
        <v>3.3</v>
      </c>
      <c r="R2939" s="6">
        <v>8</v>
      </c>
      <c r="S2939" s="6">
        <v>60</v>
      </c>
    </row>
    <row r="2940" spans="1:51" x14ac:dyDescent="0.3">
      <c r="A2940" s="6">
        <v>50048</v>
      </c>
      <c r="B2940" s="5" t="s">
        <v>238</v>
      </c>
      <c r="C2940" s="5" t="s">
        <v>231</v>
      </c>
      <c r="D2940" s="2">
        <f t="shared" si="160"/>
        <v>2016</v>
      </c>
      <c r="E2940" s="2">
        <f t="shared" si="161"/>
        <v>2</v>
      </c>
      <c r="F2940" s="3" t="s">
        <v>175</v>
      </c>
      <c r="G2940" s="7">
        <v>42411</v>
      </c>
      <c r="H2940" s="6">
        <v>6594430</v>
      </c>
      <c r="I2940" s="6">
        <v>1625370</v>
      </c>
      <c r="J2940" s="5" t="s">
        <v>201</v>
      </c>
      <c r="K2940" s="1"/>
      <c r="L2940" s="1" t="str">
        <f t="shared" si="162"/>
        <v xml:space="preserve">Mörtsjön </v>
      </c>
      <c r="M2940" s="5" t="s">
        <v>212</v>
      </c>
      <c r="N2940" s="6">
        <v>2</v>
      </c>
      <c r="O2940" s="6">
        <v>2</v>
      </c>
      <c r="Q2940" s="6">
        <v>3.9</v>
      </c>
      <c r="R2940" s="6">
        <v>4.4000000000000004</v>
      </c>
      <c r="S2940" s="6">
        <v>34</v>
      </c>
    </row>
    <row r="2941" spans="1:51" x14ac:dyDescent="0.3">
      <c r="A2941" s="6">
        <v>50049</v>
      </c>
      <c r="B2941" s="5" t="s">
        <v>238</v>
      </c>
      <c r="C2941" s="5" t="s">
        <v>231</v>
      </c>
      <c r="D2941" s="2">
        <f t="shared" si="160"/>
        <v>2016</v>
      </c>
      <c r="E2941" s="2">
        <f t="shared" si="161"/>
        <v>2</v>
      </c>
      <c r="F2941" s="3" t="s">
        <v>175</v>
      </c>
      <c r="G2941" s="7">
        <v>42411</v>
      </c>
      <c r="H2941" s="6">
        <v>6594430</v>
      </c>
      <c r="I2941" s="6">
        <v>1625370</v>
      </c>
      <c r="J2941" s="5" t="s">
        <v>201</v>
      </c>
      <c r="K2941" s="1"/>
      <c r="L2941" s="1" t="str">
        <f t="shared" si="162"/>
        <v xml:space="preserve">Mörtsjön </v>
      </c>
      <c r="M2941" s="5" t="s">
        <v>213</v>
      </c>
      <c r="N2941" s="6">
        <v>3</v>
      </c>
      <c r="O2941" s="6">
        <v>3</v>
      </c>
      <c r="Q2941" s="6">
        <v>4.3</v>
      </c>
      <c r="R2941" s="6">
        <v>4.5</v>
      </c>
      <c r="S2941" s="6">
        <v>35</v>
      </c>
    </row>
    <row r="2942" spans="1:51" x14ac:dyDescent="0.3">
      <c r="A2942" s="6">
        <v>50050</v>
      </c>
      <c r="B2942" s="5" t="s">
        <v>238</v>
      </c>
      <c r="C2942" s="5" t="s">
        <v>231</v>
      </c>
      <c r="D2942" s="2">
        <f t="shared" si="160"/>
        <v>2016</v>
      </c>
      <c r="E2942" s="2">
        <f t="shared" si="161"/>
        <v>2</v>
      </c>
      <c r="F2942" s="3" t="s">
        <v>175</v>
      </c>
      <c r="G2942" s="7">
        <v>42411</v>
      </c>
      <c r="H2942" s="6">
        <v>6594430</v>
      </c>
      <c r="I2942" s="6">
        <v>1625370</v>
      </c>
      <c r="J2942" s="5" t="s">
        <v>201</v>
      </c>
      <c r="K2942" s="1"/>
      <c r="L2942" s="1" t="str">
        <f t="shared" si="162"/>
        <v xml:space="preserve">Mörtsjön </v>
      </c>
      <c r="M2942" s="1" t="s">
        <v>184</v>
      </c>
      <c r="Q2942" s="6">
        <v>4.5999999999999996</v>
      </c>
      <c r="R2942" s="6">
        <v>2.2000000000000002</v>
      </c>
      <c r="S2942" s="6">
        <v>18</v>
      </c>
      <c r="W2942" s="6">
        <v>45.691299999999998</v>
      </c>
      <c r="Y2942" s="6">
        <v>0.20300000000000001</v>
      </c>
      <c r="Z2942" s="6">
        <v>10.49</v>
      </c>
      <c r="AA2942" s="6">
        <v>7.6</v>
      </c>
      <c r="AD2942" s="6">
        <v>673.06</v>
      </c>
      <c r="AK2942" s="6">
        <v>27.81</v>
      </c>
      <c r="AL2942" s="6">
        <v>1308.05</v>
      </c>
      <c r="AM2942" s="6"/>
      <c r="AN2942" s="6"/>
      <c r="AO2942" s="6"/>
      <c r="AP2942" s="6"/>
      <c r="AQ2942" s="6"/>
    </row>
    <row r="2943" spans="1:51" x14ac:dyDescent="0.3">
      <c r="D2943" s="2">
        <f t="shared" si="160"/>
        <v>2016</v>
      </c>
      <c r="E2943" s="2">
        <f t="shared" si="161"/>
        <v>2</v>
      </c>
      <c r="F2943" s="3" t="s">
        <v>175</v>
      </c>
      <c r="G2943" s="4">
        <v>42415</v>
      </c>
      <c r="H2943" s="1">
        <v>6606238</v>
      </c>
      <c r="I2943" s="1">
        <v>661152</v>
      </c>
      <c r="J2943" s="5" t="s">
        <v>176</v>
      </c>
      <c r="K2943" s="1"/>
      <c r="L2943" s="1" t="str">
        <f t="shared" si="162"/>
        <v xml:space="preserve">Oxundaån </v>
      </c>
      <c r="M2943" s="1" t="s">
        <v>177</v>
      </c>
      <c r="N2943" s="1">
        <v>0.1</v>
      </c>
      <c r="O2943" s="1">
        <v>0.1</v>
      </c>
      <c r="Q2943" s="1">
        <v>0.2</v>
      </c>
      <c r="T2943" s="1">
        <v>43.8</v>
      </c>
      <c r="V2943" s="1">
        <v>2.194</v>
      </c>
      <c r="W2943" s="1">
        <v>62</v>
      </c>
      <c r="X2943" s="1">
        <f>W2943 * (1/((10^((0.0901821 + (2729.92 /(273.15 + Q2943)))-AE2943)+1)))</f>
        <v>0.11337347857814345</v>
      </c>
      <c r="Y2943" s="1">
        <v>9.5000000000000001E-2</v>
      </c>
      <c r="Z2943" s="1">
        <v>35</v>
      </c>
      <c r="AA2943" s="1">
        <v>17</v>
      </c>
      <c r="AD2943" s="1">
        <v>1060</v>
      </c>
      <c r="AE2943" s="1">
        <v>7.34</v>
      </c>
      <c r="AI2943" s="1">
        <v>11.3</v>
      </c>
      <c r="AK2943" s="1">
        <v>73.5</v>
      </c>
      <c r="AL2943" s="1">
        <v>1640</v>
      </c>
      <c r="AR2943" s="1">
        <v>48</v>
      </c>
      <c r="AT2943" s="1">
        <v>5.0830000000000002</v>
      </c>
      <c r="AU2943" s="1">
        <v>8.7119999999999997</v>
      </c>
      <c r="AV2943" s="1">
        <v>31.869550000000004</v>
      </c>
      <c r="AW2943" s="1">
        <v>22.94</v>
      </c>
      <c r="AX2943" s="1">
        <v>53.671849999999999</v>
      </c>
      <c r="AY2943" s="1">
        <v>7.1</v>
      </c>
    </row>
    <row r="2944" spans="1:51" x14ac:dyDescent="0.3">
      <c r="A2944" s="6">
        <v>50167</v>
      </c>
      <c r="B2944" s="5" t="s">
        <v>238</v>
      </c>
      <c r="C2944" s="5" t="s">
        <v>231</v>
      </c>
      <c r="D2944" s="2">
        <f t="shared" si="160"/>
        <v>2016</v>
      </c>
      <c r="E2944" s="2">
        <f t="shared" si="161"/>
        <v>2</v>
      </c>
      <c r="F2944" s="3" t="s">
        <v>175</v>
      </c>
      <c r="G2944" s="7">
        <v>42417</v>
      </c>
      <c r="H2944" s="6">
        <v>6599245</v>
      </c>
      <c r="I2944" s="6">
        <v>1622345</v>
      </c>
      <c r="J2944" s="5" t="s">
        <v>186</v>
      </c>
      <c r="K2944" s="1">
        <v>1</v>
      </c>
      <c r="L2944" s="1" t="str">
        <f t="shared" si="162"/>
        <v>Norrviken 1</v>
      </c>
      <c r="M2944" s="1" t="s">
        <v>177</v>
      </c>
      <c r="N2944" s="6">
        <v>0.5</v>
      </c>
      <c r="O2944" s="6">
        <v>0.5</v>
      </c>
      <c r="P2944" s="6">
        <v>1.5</v>
      </c>
      <c r="Q2944" s="6">
        <v>0.3</v>
      </c>
      <c r="R2944" s="6">
        <v>12.8</v>
      </c>
      <c r="S2944" s="6">
        <v>86</v>
      </c>
      <c r="W2944" s="6">
        <v>241.1405</v>
      </c>
      <c r="Y2944" s="6">
        <v>7.8E-2</v>
      </c>
      <c r="Z2944" s="6">
        <v>4.18</v>
      </c>
      <c r="AA2944" s="6">
        <v>5.5</v>
      </c>
      <c r="AD2944" s="6">
        <v>396.66</v>
      </c>
      <c r="AK2944" s="6">
        <v>29.9</v>
      </c>
      <c r="AL2944" s="6">
        <v>1366.01</v>
      </c>
      <c r="AM2944" s="6"/>
      <c r="AN2944" s="6"/>
      <c r="AO2944" s="6"/>
      <c r="AP2944" s="6"/>
      <c r="AQ2944" s="6"/>
    </row>
    <row r="2945" spans="1:43" x14ac:dyDescent="0.3">
      <c r="A2945" s="6">
        <v>50168</v>
      </c>
      <c r="B2945" s="5" t="s">
        <v>238</v>
      </c>
      <c r="C2945" s="5" t="s">
        <v>231</v>
      </c>
      <c r="D2945" s="2">
        <f t="shared" si="160"/>
        <v>2016</v>
      </c>
      <c r="E2945" s="2">
        <f t="shared" si="161"/>
        <v>2</v>
      </c>
      <c r="F2945" s="3" t="s">
        <v>175</v>
      </c>
      <c r="G2945" s="7">
        <v>42417</v>
      </c>
      <c r="H2945" s="6">
        <v>6599245</v>
      </c>
      <c r="I2945" s="6">
        <v>1622345</v>
      </c>
      <c r="J2945" s="5" t="s">
        <v>186</v>
      </c>
      <c r="K2945" s="1">
        <v>1</v>
      </c>
      <c r="L2945" s="1" t="str">
        <f t="shared" si="162"/>
        <v>Norrviken 1</v>
      </c>
      <c r="M2945" s="5" t="s">
        <v>211</v>
      </c>
      <c r="N2945" s="6">
        <v>1</v>
      </c>
      <c r="O2945" s="6">
        <v>1</v>
      </c>
      <c r="Q2945" s="6">
        <v>0.7</v>
      </c>
      <c r="R2945" s="6">
        <v>12.5</v>
      </c>
      <c r="S2945" s="6">
        <v>85</v>
      </c>
    </row>
    <row r="2946" spans="1:43" x14ac:dyDescent="0.3">
      <c r="A2946" s="6">
        <v>50169</v>
      </c>
      <c r="B2946" s="5" t="s">
        <v>238</v>
      </c>
      <c r="C2946" s="5" t="s">
        <v>231</v>
      </c>
      <c r="D2946" s="2">
        <f t="shared" ref="D2946:D3009" si="163">YEAR(G2946)</f>
        <v>2016</v>
      </c>
      <c r="E2946" s="2">
        <f t="shared" ref="E2946:E3009" si="164">MONTH(G2946)</f>
        <v>2</v>
      </c>
      <c r="F2946" s="3" t="s">
        <v>175</v>
      </c>
      <c r="G2946" s="7">
        <v>42417</v>
      </c>
      <c r="H2946" s="6">
        <v>6599245</v>
      </c>
      <c r="I2946" s="6">
        <v>1622345</v>
      </c>
      <c r="J2946" s="5" t="s">
        <v>186</v>
      </c>
      <c r="K2946" s="1">
        <v>1</v>
      </c>
      <c r="L2946" s="1" t="str">
        <f t="shared" ref="L2946:L3009" si="165">CONCATENATE(J2946," ",K2946)</f>
        <v>Norrviken 1</v>
      </c>
      <c r="M2946" s="5" t="s">
        <v>212</v>
      </c>
      <c r="N2946" s="6">
        <v>2</v>
      </c>
      <c r="O2946" s="6">
        <v>2</v>
      </c>
      <c r="Q2946" s="6">
        <v>1.8</v>
      </c>
      <c r="R2946" s="6">
        <v>8</v>
      </c>
      <c r="S2946" s="6">
        <v>56</v>
      </c>
    </row>
    <row r="2947" spans="1:43" x14ac:dyDescent="0.3">
      <c r="A2947" s="6">
        <v>50170</v>
      </c>
      <c r="B2947" s="5" t="s">
        <v>238</v>
      </c>
      <c r="C2947" s="5" t="s">
        <v>231</v>
      </c>
      <c r="D2947" s="2">
        <f t="shared" si="163"/>
        <v>2016</v>
      </c>
      <c r="E2947" s="2">
        <f t="shared" si="164"/>
        <v>2</v>
      </c>
      <c r="F2947" s="3" t="s">
        <v>175</v>
      </c>
      <c r="G2947" s="7">
        <v>42417</v>
      </c>
      <c r="H2947" s="6">
        <v>6599245</v>
      </c>
      <c r="I2947" s="6">
        <v>1622345</v>
      </c>
      <c r="J2947" s="5" t="s">
        <v>186</v>
      </c>
      <c r="K2947" s="1">
        <v>1</v>
      </c>
      <c r="L2947" s="1" t="str">
        <f t="shared" si="165"/>
        <v>Norrviken 1</v>
      </c>
      <c r="M2947" s="1" t="s">
        <v>184</v>
      </c>
      <c r="N2947" s="6">
        <v>2.5</v>
      </c>
      <c r="O2947" s="6">
        <v>2.5</v>
      </c>
      <c r="Q2947" s="6">
        <v>2</v>
      </c>
      <c r="R2947" s="6">
        <v>6.4</v>
      </c>
      <c r="S2947" s="6">
        <v>46</v>
      </c>
      <c r="W2947" s="6">
        <v>241.64359999999999</v>
      </c>
      <c r="Y2947" s="6">
        <v>0.109</v>
      </c>
      <c r="Z2947" s="6">
        <v>7.43</v>
      </c>
      <c r="AA2947" s="6">
        <v>9.3000000000000007</v>
      </c>
      <c r="AD2947" s="6">
        <v>495.17</v>
      </c>
      <c r="AK2947" s="6">
        <v>37.44</v>
      </c>
      <c r="AL2947" s="6">
        <v>1455.66</v>
      </c>
      <c r="AM2947" s="6"/>
      <c r="AN2947" s="6"/>
      <c r="AO2947" s="6"/>
      <c r="AP2947" s="6"/>
      <c r="AQ2947" s="6"/>
    </row>
    <row r="2948" spans="1:43" x14ac:dyDescent="0.3">
      <c r="A2948" s="6">
        <v>50171</v>
      </c>
      <c r="B2948" s="5" t="s">
        <v>238</v>
      </c>
      <c r="C2948" s="5" t="s">
        <v>231</v>
      </c>
      <c r="D2948" s="2">
        <f t="shared" si="163"/>
        <v>2016</v>
      </c>
      <c r="E2948" s="2">
        <f t="shared" si="164"/>
        <v>2</v>
      </c>
      <c r="F2948" s="3" t="s">
        <v>175</v>
      </c>
      <c r="G2948" s="7">
        <v>42417</v>
      </c>
      <c r="H2948" s="6">
        <v>6596620</v>
      </c>
      <c r="I2948" s="6">
        <v>1620350</v>
      </c>
      <c r="J2948" s="5" t="s">
        <v>186</v>
      </c>
      <c r="K2948" s="1">
        <v>2</v>
      </c>
      <c r="L2948" s="1" t="str">
        <f t="shared" si="165"/>
        <v>Norrviken 2</v>
      </c>
      <c r="M2948" s="1" t="s">
        <v>177</v>
      </c>
      <c r="N2948" s="6">
        <v>0.5</v>
      </c>
      <c r="O2948" s="6">
        <v>0.5</v>
      </c>
      <c r="P2948" s="6">
        <v>3</v>
      </c>
      <c r="Q2948" s="6">
        <v>2.1</v>
      </c>
      <c r="R2948" s="6">
        <v>12</v>
      </c>
      <c r="S2948" s="6">
        <v>86</v>
      </c>
      <c r="W2948" s="6">
        <v>7.5079000000000002</v>
      </c>
      <c r="Y2948" s="6">
        <v>5.3999999999999999E-2</v>
      </c>
      <c r="Z2948" s="6">
        <v>49.04</v>
      </c>
      <c r="AA2948" s="6">
        <v>2.4</v>
      </c>
      <c r="AD2948" s="6">
        <v>418.98</v>
      </c>
      <c r="AK2948" s="6">
        <v>72.19</v>
      </c>
      <c r="AL2948" s="6">
        <v>1016.97</v>
      </c>
      <c r="AM2948" s="6"/>
      <c r="AN2948" s="6"/>
      <c r="AO2948" s="6"/>
      <c r="AP2948" s="6"/>
      <c r="AQ2948" s="6"/>
    </row>
    <row r="2949" spans="1:43" x14ac:dyDescent="0.3">
      <c r="A2949" s="6">
        <v>50172</v>
      </c>
      <c r="B2949" s="5" t="s">
        <v>238</v>
      </c>
      <c r="C2949" s="5" t="s">
        <v>231</v>
      </c>
      <c r="D2949" s="2">
        <f t="shared" si="163"/>
        <v>2016</v>
      </c>
      <c r="E2949" s="2">
        <f t="shared" si="164"/>
        <v>2</v>
      </c>
      <c r="F2949" s="3" t="s">
        <v>175</v>
      </c>
      <c r="G2949" s="7">
        <v>42417</v>
      </c>
      <c r="H2949" s="6">
        <v>6596620</v>
      </c>
      <c r="I2949" s="6">
        <v>1620350</v>
      </c>
      <c r="J2949" s="5" t="s">
        <v>186</v>
      </c>
      <c r="K2949" s="1">
        <v>2</v>
      </c>
      <c r="L2949" s="1" t="str">
        <f t="shared" si="165"/>
        <v>Norrviken 2</v>
      </c>
      <c r="M2949" s="5" t="s">
        <v>211</v>
      </c>
      <c r="N2949" s="6">
        <v>1</v>
      </c>
      <c r="O2949" s="6">
        <v>1</v>
      </c>
      <c r="Q2949" s="6">
        <v>2.8</v>
      </c>
      <c r="R2949" s="6">
        <v>11.8</v>
      </c>
      <c r="S2949" s="6">
        <v>85</v>
      </c>
    </row>
    <row r="2950" spans="1:43" x14ac:dyDescent="0.3">
      <c r="A2950" s="6">
        <v>50173</v>
      </c>
      <c r="B2950" s="5" t="s">
        <v>238</v>
      </c>
      <c r="C2950" s="5" t="s">
        <v>231</v>
      </c>
      <c r="D2950" s="2">
        <f t="shared" si="163"/>
        <v>2016</v>
      </c>
      <c r="E2950" s="2">
        <f t="shared" si="164"/>
        <v>2</v>
      </c>
      <c r="F2950" s="3" t="s">
        <v>175</v>
      </c>
      <c r="G2950" s="7">
        <v>42417</v>
      </c>
      <c r="H2950" s="6">
        <v>6596620</v>
      </c>
      <c r="I2950" s="6">
        <v>1620350</v>
      </c>
      <c r="J2950" s="5" t="s">
        <v>186</v>
      </c>
      <c r="K2950" s="1">
        <v>2</v>
      </c>
      <c r="L2950" s="1" t="str">
        <f t="shared" si="165"/>
        <v>Norrviken 2</v>
      </c>
      <c r="M2950" s="5" t="s">
        <v>212</v>
      </c>
      <c r="N2950" s="6">
        <v>2</v>
      </c>
      <c r="O2950" s="6">
        <v>2</v>
      </c>
      <c r="Q2950" s="6">
        <v>3.2</v>
      </c>
      <c r="R2950" s="6">
        <v>11.3</v>
      </c>
      <c r="S2950" s="6">
        <v>83</v>
      </c>
    </row>
    <row r="2951" spans="1:43" x14ac:dyDescent="0.3">
      <c r="A2951" s="6">
        <v>50174</v>
      </c>
      <c r="B2951" s="5" t="s">
        <v>238</v>
      </c>
      <c r="C2951" s="5" t="s">
        <v>231</v>
      </c>
      <c r="D2951" s="2">
        <f t="shared" si="163"/>
        <v>2016</v>
      </c>
      <c r="E2951" s="2">
        <f t="shared" si="164"/>
        <v>2</v>
      </c>
      <c r="F2951" s="3" t="s">
        <v>175</v>
      </c>
      <c r="G2951" s="7">
        <v>42417</v>
      </c>
      <c r="H2951" s="6">
        <v>6596620</v>
      </c>
      <c r="I2951" s="6">
        <v>1620350</v>
      </c>
      <c r="J2951" s="5" t="s">
        <v>186</v>
      </c>
      <c r="K2951" s="1">
        <v>2</v>
      </c>
      <c r="L2951" s="1" t="str">
        <f t="shared" si="165"/>
        <v>Norrviken 2</v>
      </c>
      <c r="M2951" s="5" t="s">
        <v>213</v>
      </c>
      <c r="N2951" s="6">
        <v>3</v>
      </c>
      <c r="O2951" s="6">
        <v>3</v>
      </c>
      <c r="Q2951" s="6">
        <v>3.2</v>
      </c>
      <c r="R2951" s="6">
        <v>1</v>
      </c>
      <c r="S2951" s="6">
        <v>81</v>
      </c>
    </row>
    <row r="2952" spans="1:43" x14ac:dyDescent="0.3">
      <c r="A2952" s="6">
        <v>50175</v>
      </c>
      <c r="B2952" s="5" t="s">
        <v>238</v>
      </c>
      <c r="C2952" s="5" t="s">
        <v>231</v>
      </c>
      <c r="D2952" s="2">
        <f t="shared" si="163"/>
        <v>2016</v>
      </c>
      <c r="E2952" s="2">
        <f t="shared" si="164"/>
        <v>2</v>
      </c>
      <c r="F2952" s="3" t="s">
        <v>175</v>
      </c>
      <c r="G2952" s="7">
        <v>42417</v>
      </c>
      <c r="H2952" s="6">
        <v>6596620</v>
      </c>
      <c r="I2952" s="6">
        <v>1620350</v>
      </c>
      <c r="J2952" s="5" t="s">
        <v>186</v>
      </c>
      <c r="K2952" s="1">
        <v>2</v>
      </c>
      <c r="L2952" s="1" t="str">
        <f t="shared" si="165"/>
        <v>Norrviken 2</v>
      </c>
      <c r="M2952" s="5" t="s">
        <v>214</v>
      </c>
      <c r="N2952" s="6">
        <v>4</v>
      </c>
      <c r="O2952" s="6">
        <v>4</v>
      </c>
      <c r="Q2952" s="6">
        <v>3.4</v>
      </c>
      <c r="R2952" s="6">
        <v>10.8</v>
      </c>
      <c r="S2952" s="6">
        <v>80</v>
      </c>
    </row>
    <row r="2953" spans="1:43" x14ac:dyDescent="0.3">
      <c r="A2953" s="6">
        <v>50176</v>
      </c>
      <c r="B2953" s="5" t="s">
        <v>238</v>
      </c>
      <c r="C2953" s="5" t="s">
        <v>231</v>
      </c>
      <c r="D2953" s="2">
        <f t="shared" si="163"/>
        <v>2016</v>
      </c>
      <c r="E2953" s="2">
        <f t="shared" si="164"/>
        <v>2</v>
      </c>
      <c r="F2953" s="3" t="s">
        <v>175</v>
      </c>
      <c r="G2953" s="7">
        <v>42417</v>
      </c>
      <c r="H2953" s="6">
        <v>6596620</v>
      </c>
      <c r="I2953" s="6">
        <v>1620350</v>
      </c>
      <c r="J2953" s="5" t="s">
        <v>186</v>
      </c>
      <c r="K2953" s="1">
        <v>2</v>
      </c>
      <c r="L2953" s="1" t="str">
        <f t="shared" si="165"/>
        <v>Norrviken 2</v>
      </c>
      <c r="M2953" s="5" t="s">
        <v>217</v>
      </c>
      <c r="N2953" s="6">
        <v>5</v>
      </c>
      <c r="O2953" s="6">
        <v>5</v>
      </c>
      <c r="Q2953" s="6">
        <v>3.4</v>
      </c>
      <c r="R2953" s="6">
        <v>10.4</v>
      </c>
      <c r="S2953" s="6">
        <v>77</v>
      </c>
    </row>
    <row r="2954" spans="1:43" x14ac:dyDescent="0.3">
      <c r="A2954" s="6">
        <v>50177</v>
      </c>
      <c r="B2954" s="5" t="s">
        <v>238</v>
      </c>
      <c r="C2954" s="5" t="s">
        <v>231</v>
      </c>
      <c r="D2954" s="2">
        <f t="shared" si="163"/>
        <v>2016</v>
      </c>
      <c r="E2954" s="2">
        <f t="shared" si="164"/>
        <v>2</v>
      </c>
      <c r="F2954" s="3" t="s">
        <v>175</v>
      </c>
      <c r="G2954" s="7">
        <v>42417</v>
      </c>
      <c r="H2954" s="6">
        <v>6596620</v>
      </c>
      <c r="I2954" s="6">
        <v>1620350</v>
      </c>
      <c r="J2954" s="5" t="s">
        <v>186</v>
      </c>
      <c r="K2954" s="1">
        <v>2</v>
      </c>
      <c r="L2954" s="1" t="str">
        <f t="shared" si="165"/>
        <v>Norrviken 2</v>
      </c>
      <c r="M2954" s="5" t="s">
        <v>218</v>
      </c>
      <c r="N2954" s="6">
        <v>6</v>
      </c>
      <c r="O2954" s="6">
        <v>6</v>
      </c>
      <c r="Q2954" s="6">
        <v>3.4</v>
      </c>
      <c r="R2954" s="6">
        <v>9.6</v>
      </c>
      <c r="S2954" s="6">
        <v>71</v>
      </c>
    </row>
    <row r="2955" spans="1:43" x14ac:dyDescent="0.3">
      <c r="A2955" s="6">
        <v>50178</v>
      </c>
      <c r="B2955" s="5" t="s">
        <v>238</v>
      </c>
      <c r="C2955" s="5" t="s">
        <v>231</v>
      </c>
      <c r="D2955" s="2">
        <f t="shared" si="163"/>
        <v>2016</v>
      </c>
      <c r="E2955" s="2">
        <f t="shared" si="164"/>
        <v>2</v>
      </c>
      <c r="F2955" s="3" t="s">
        <v>175</v>
      </c>
      <c r="G2955" s="7">
        <v>42417</v>
      </c>
      <c r="H2955" s="6">
        <v>6596620</v>
      </c>
      <c r="I2955" s="6">
        <v>1620350</v>
      </c>
      <c r="J2955" s="5" t="s">
        <v>186</v>
      </c>
      <c r="K2955" s="1">
        <v>2</v>
      </c>
      <c r="L2955" s="1" t="str">
        <f t="shared" si="165"/>
        <v>Norrviken 2</v>
      </c>
      <c r="M2955" s="5" t="s">
        <v>219</v>
      </c>
      <c r="N2955" s="6">
        <v>7</v>
      </c>
      <c r="O2955" s="6">
        <v>7</v>
      </c>
      <c r="Q2955" s="6">
        <v>3.5</v>
      </c>
      <c r="R2955" s="6">
        <v>9.1</v>
      </c>
      <c r="S2955" s="6">
        <v>67</v>
      </c>
    </row>
    <row r="2956" spans="1:43" x14ac:dyDescent="0.3">
      <c r="A2956" s="6">
        <v>50179</v>
      </c>
      <c r="B2956" s="5" t="s">
        <v>238</v>
      </c>
      <c r="C2956" s="5" t="s">
        <v>231</v>
      </c>
      <c r="D2956" s="2">
        <f t="shared" si="163"/>
        <v>2016</v>
      </c>
      <c r="E2956" s="2">
        <f t="shared" si="164"/>
        <v>2</v>
      </c>
      <c r="F2956" s="3" t="s">
        <v>175</v>
      </c>
      <c r="G2956" s="7">
        <v>42417</v>
      </c>
      <c r="H2956" s="6">
        <v>6596620</v>
      </c>
      <c r="I2956" s="6">
        <v>1620350</v>
      </c>
      <c r="J2956" s="5" t="s">
        <v>186</v>
      </c>
      <c r="K2956" s="1">
        <v>2</v>
      </c>
      <c r="L2956" s="1" t="str">
        <f t="shared" si="165"/>
        <v>Norrviken 2</v>
      </c>
      <c r="M2956" s="5" t="s">
        <v>220</v>
      </c>
      <c r="N2956" s="6">
        <v>8</v>
      </c>
      <c r="O2956" s="6">
        <v>8</v>
      </c>
      <c r="Q2956" s="6">
        <v>3.7</v>
      </c>
      <c r="R2956" s="6">
        <v>3.9</v>
      </c>
      <c r="S2956" s="6">
        <v>29</v>
      </c>
    </row>
    <row r="2957" spans="1:43" x14ac:dyDescent="0.3">
      <c r="A2957" s="6">
        <v>50180</v>
      </c>
      <c r="B2957" s="5" t="s">
        <v>238</v>
      </c>
      <c r="C2957" s="5" t="s">
        <v>231</v>
      </c>
      <c r="D2957" s="2">
        <f t="shared" si="163"/>
        <v>2016</v>
      </c>
      <c r="E2957" s="2">
        <f t="shared" si="164"/>
        <v>2</v>
      </c>
      <c r="F2957" s="3" t="s">
        <v>175</v>
      </c>
      <c r="G2957" s="7">
        <v>42417</v>
      </c>
      <c r="H2957" s="6">
        <v>6596620</v>
      </c>
      <c r="I2957" s="6">
        <v>1620350</v>
      </c>
      <c r="J2957" s="5" t="s">
        <v>186</v>
      </c>
      <c r="K2957" s="1">
        <v>2</v>
      </c>
      <c r="L2957" s="1" t="str">
        <f t="shared" si="165"/>
        <v>Norrviken 2</v>
      </c>
      <c r="M2957" s="1" t="s">
        <v>184</v>
      </c>
      <c r="N2957" s="6">
        <v>9</v>
      </c>
      <c r="O2957" s="6">
        <v>9</v>
      </c>
      <c r="Q2957" s="6">
        <v>4.0999999999999996</v>
      </c>
      <c r="R2957" s="6">
        <v>0.6</v>
      </c>
      <c r="S2957" s="6">
        <v>5</v>
      </c>
      <c r="W2957" s="6">
        <v>49.802700000000002</v>
      </c>
      <c r="Y2957" s="6">
        <v>5.1999999999999998E-2</v>
      </c>
      <c r="Z2957" s="6">
        <v>51.77</v>
      </c>
      <c r="AA2957" s="6">
        <v>2.7</v>
      </c>
      <c r="AD2957" s="6">
        <v>476.05</v>
      </c>
      <c r="AK2957" s="6">
        <v>66.53</v>
      </c>
      <c r="AL2957" s="6">
        <v>1108.8499999999999</v>
      </c>
      <c r="AM2957" s="6"/>
      <c r="AN2957" s="6"/>
      <c r="AO2957" s="6"/>
      <c r="AP2957" s="6"/>
      <c r="AQ2957" s="6"/>
    </row>
    <row r="2958" spans="1:43" x14ac:dyDescent="0.3">
      <c r="A2958" s="6">
        <v>50181</v>
      </c>
      <c r="B2958" s="5" t="s">
        <v>238</v>
      </c>
      <c r="C2958" s="5" t="s">
        <v>231</v>
      </c>
      <c r="D2958" s="2">
        <f t="shared" si="163"/>
        <v>2016</v>
      </c>
      <c r="E2958" s="2">
        <f t="shared" si="164"/>
        <v>2</v>
      </c>
      <c r="F2958" s="3" t="s">
        <v>175</v>
      </c>
      <c r="G2958" s="7">
        <v>42417</v>
      </c>
      <c r="H2958" s="6">
        <v>6594885</v>
      </c>
      <c r="I2958" s="6">
        <v>1620750</v>
      </c>
      <c r="J2958" s="5" t="s">
        <v>186</v>
      </c>
      <c r="K2958" s="1">
        <v>3</v>
      </c>
      <c r="L2958" s="1" t="str">
        <f t="shared" si="165"/>
        <v>Norrviken 3</v>
      </c>
      <c r="M2958" s="1" t="s">
        <v>177</v>
      </c>
      <c r="N2958" s="6">
        <v>0.5</v>
      </c>
      <c r="O2958" s="6">
        <v>0.5</v>
      </c>
      <c r="P2958" s="6">
        <v>4.2</v>
      </c>
      <c r="Q2958" s="6">
        <v>2.9</v>
      </c>
      <c r="R2958" s="6">
        <v>12</v>
      </c>
      <c r="S2958" s="6">
        <v>87</v>
      </c>
      <c r="W2958" s="6">
        <v>0</v>
      </c>
      <c r="Y2958" s="6">
        <v>4.2000000000000003E-2</v>
      </c>
      <c r="Z2958" s="6">
        <v>60.61</v>
      </c>
      <c r="AA2958" s="6">
        <v>2.2999999999999998</v>
      </c>
      <c r="AD2958" s="6">
        <v>441</v>
      </c>
      <c r="AK2958" s="6">
        <v>76.86</v>
      </c>
      <c r="AL2958" s="6">
        <v>1015.94</v>
      </c>
      <c r="AM2958" s="6"/>
      <c r="AN2958" s="6"/>
      <c r="AO2958" s="6"/>
      <c r="AP2958" s="6"/>
      <c r="AQ2958" s="6"/>
    </row>
    <row r="2959" spans="1:43" x14ac:dyDescent="0.3">
      <c r="A2959" s="6">
        <v>50182</v>
      </c>
      <c r="B2959" s="5" t="s">
        <v>238</v>
      </c>
      <c r="C2959" s="5" t="s">
        <v>231</v>
      </c>
      <c r="D2959" s="2">
        <f t="shared" si="163"/>
        <v>2016</v>
      </c>
      <c r="E2959" s="2">
        <f t="shared" si="164"/>
        <v>2</v>
      </c>
      <c r="F2959" s="3" t="s">
        <v>175</v>
      </c>
      <c r="G2959" s="7">
        <v>42417</v>
      </c>
      <c r="H2959" s="6">
        <v>6594885</v>
      </c>
      <c r="I2959" s="6">
        <v>1620750</v>
      </c>
      <c r="J2959" s="5" t="s">
        <v>186</v>
      </c>
      <c r="K2959" s="1">
        <v>3</v>
      </c>
      <c r="L2959" s="1" t="str">
        <f t="shared" si="165"/>
        <v>Norrviken 3</v>
      </c>
      <c r="M2959" s="5" t="s">
        <v>211</v>
      </c>
      <c r="N2959" s="6">
        <v>1</v>
      </c>
      <c r="O2959" s="6">
        <v>1</v>
      </c>
      <c r="Q2959" s="6">
        <v>3.1</v>
      </c>
      <c r="R2959" s="6">
        <v>11.7</v>
      </c>
      <c r="S2959" s="6">
        <v>85</v>
      </c>
    </row>
    <row r="2960" spans="1:43" x14ac:dyDescent="0.3">
      <c r="A2960" s="6">
        <v>50183</v>
      </c>
      <c r="B2960" s="5" t="s">
        <v>238</v>
      </c>
      <c r="C2960" s="5" t="s">
        <v>231</v>
      </c>
      <c r="D2960" s="2">
        <f t="shared" si="163"/>
        <v>2016</v>
      </c>
      <c r="E2960" s="2">
        <f t="shared" si="164"/>
        <v>2</v>
      </c>
      <c r="F2960" s="3" t="s">
        <v>175</v>
      </c>
      <c r="G2960" s="7">
        <v>42417</v>
      </c>
      <c r="H2960" s="6">
        <v>6594885</v>
      </c>
      <c r="I2960" s="6">
        <v>1620750</v>
      </c>
      <c r="J2960" s="5" t="s">
        <v>186</v>
      </c>
      <c r="K2960" s="1">
        <v>3</v>
      </c>
      <c r="L2960" s="1" t="str">
        <f t="shared" si="165"/>
        <v>Norrviken 3</v>
      </c>
      <c r="M2960" s="5" t="s">
        <v>212</v>
      </c>
      <c r="N2960" s="6">
        <v>2</v>
      </c>
      <c r="O2960" s="6">
        <v>2</v>
      </c>
      <c r="Q2960" s="6">
        <v>3.3</v>
      </c>
      <c r="R2960" s="6">
        <v>11.2</v>
      </c>
      <c r="S2960" s="6">
        <v>82</v>
      </c>
    </row>
    <row r="2961" spans="1:43" x14ac:dyDescent="0.3">
      <c r="A2961" s="6">
        <v>50184</v>
      </c>
      <c r="B2961" s="5" t="s">
        <v>238</v>
      </c>
      <c r="C2961" s="5" t="s">
        <v>231</v>
      </c>
      <c r="D2961" s="2">
        <f t="shared" si="163"/>
        <v>2016</v>
      </c>
      <c r="E2961" s="2">
        <f t="shared" si="164"/>
        <v>2</v>
      </c>
      <c r="F2961" s="3" t="s">
        <v>175</v>
      </c>
      <c r="G2961" s="7">
        <v>42417</v>
      </c>
      <c r="H2961" s="6">
        <v>6594885</v>
      </c>
      <c r="I2961" s="6">
        <v>1620750</v>
      </c>
      <c r="J2961" s="5" t="s">
        <v>186</v>
      </c>
      <c r="K2961" s="1">
        <v>3</v>
      </c>
      <c r="L2961" s="1" t="str">
        <f t="shared" si="165"/>
        <v>Norrviken 3</v>
      </c>
      <c r="M2961" s="5" t="s">
        <v>213</v>
      </c>
      <c r="N2961" s="6">
        <v>3</v>
      </c>
      <c r="O2961" s="6">
        <v>3</v>
      </c>
      <c r="Q2961" s="6">
        <v>3.4</v>
      </c>
      <c r="R2961" s="6">
        <v>10.4</v>
      </c>
      <c r="S2961" s="6">
        <v>76</v>
      </c>
    </row>
    <row r="2962" spans="1:43" x14ac:dyDescent="0.3">
      <c r="A2962" s="6">
        <v>50185</v>
      </c>
      <c r="B2962" s="5" t="s">
        <v>238</v>
      </c>
      <c r="C2962" s="5" t="s">
        <v>231</v>
      </c>
      <c r="D2962" s="2">
        <f t="shared" si="163"/>
        <v>2016</v>
      </c>
      <c r="E2962" s="2">
        <f t="shared" si="164"/>
        <v>2</v>
      </c>
      <c r="F2962" s="3" t="s">
        <v>175</v>
      </c>
      <c r="G2962" s="7">
        <v>42417</v>
      </c>
      <c r="H2962" s="6">
        <v>6594885</v>
      </c>
      <c r="I2962" s="6">
        <v>1620750</v>
      </c>
      <c r="J2962" s="5" t="s">
        <v>186</v>
      </c>
      <c r="K2962" s="1">
        <v>3</v>
      </c>
      <c r="L2962" s="1" t="str">
        <f t="shared" si="165"/>
        <v>Norrviken 3</v>
      </c>
      <c r="M2962" s="5" t="s">
        <v>214</v>
      </c>
      <c r="N2962" s="6">
        <v>4</v>
      </c>
      <c r="O2962" s="6">
        <v>4</v>
      </c>
      <c r="Q2962" s="6">
        <v>3.4</v>
      </c>
      <c r="R2962" s="6">
        <v>9.9</v>
      </c>
      <c r="S2962" s="6">
        <v>73</v>
      </c>
    </row>
    <row r="2963" spans="1:43" x14ac:dyDescent="0.3">
      <c r="A2963" s="6">
        <v>50186</v>
      </c>
      <c r="B2963" s="5" t="s">
        <v>238</v>
      </c>
      <c r="C2963" s="5" t="s">
        <v>231</v>
      </c>
      <c r="D2963" s="2">
        <f t="shared" si="163"/>
        <v>2016</v>
      </c>
      <c r="E2963" s="2">
        <f t="shared" si="164"/>
        <v>2</v>
      </c>
      <c r="F2963" s="3" t="s">
        <v>175</v>
      </c>
      <c r="G2963" s="7">
        <v>42417</v>
      </c>
      <c r="H2963" s="6">
        <v>6594885</v>
      </c>
      <c r="I2963" s="6">
        <v>1620750</v>
      </c>
      <c r="J2963" s="5" t="s">
        <v>186</v>
      </c>
      <c r="K2963" s="1">
        <v>3</v>
      </c>
      <c r="L2963" s="1" t="str">
        <f t="shared" si="165"/>
        <v>Norrviken 3</v>
      </c>
      <c r="M2963" s="5" t="s">
        <v>217</v>
      </c>
      <c r="N2963" s="6">
        <v>5</v>
      </c>
      <c r="O2963" s="6">
        <v>5</v>
      </c>
      <c r="Q2963" s="6">
        <v>3.3</v>
      </c>
      <c r="R2963" s="6">
        <v>9.9</v>
      </c>
      <c r="S2963" s="6">
        <v>73</v>
      </c>
    </row>
    <row r="2964" spans="1:43" x14ac:dyDescent="0.3">
      <c r="A2964" s="6">
        <v>50187</v>
      </c>
      <c r="B2964" s="5" t="s">
        <v>238</v>
      </c>
      <c r="C2964" s="5" t="s">
        <v>231</v>
      </c>
      <c r="D2964" s="2">
        <f t="shared" si="163"/>
        <v>2016</v>
      </c>
      <c r="E2964" s="2">
        <f t="shared" si="164"/>
        <v>2</v>
      </c>
      <c r="F2964" s="3" t="s">
        <v>175</v>
      </c>
      <c r="G2964" s="7">
        <v>42417</v>
      </c>
      <c r="H2964" s="6">
        <v>6594885</v>
      </c>
      <c r="I2964" s="6">
        <v>1620750</v>
      </c>
      <c r="J2964" s="5" t="s">
        <v>186</v>
      </c>
      <c r="K2964" s="1">
        <v>3</v>
      </c>
      <c r="L2964" s="1" t="str">
        <f t="shared" si="165"/>
        <v>Norrviken 3</v>
      </c>
      <c r="M2964" s="5" t="s">
        <v>218</v>
      </c>
      <c r="N2964" s="6">
        <v>6</v>
      </c>
      <c r="O2964" s="6">
        <v>6</v>
      </c>
      <c r="Q2964" s="6">
        <v>3.4</v>
      </c>
      <c r="R2964" s="6">
        <v>9.6999999999999993</v>
      </c>
      <c r="S2964" s="6">
        <v>71</v>
      </c>
    </row>
    <row r="2965" spans="1:43" x14ac:dyDescent="0.3">
      <c r="A2965" s="6">
        <v>50188</v>
      </c>
      <c r="B2965" s="5" t="s">
        <v>238</v>
      </c>
      <c r="C2965" s="5" t="s">
        <v>231</v>
      </c>
      <c r="D2965" s="2">
        <f t="shared" si="163"/>
        <v>2016</v>
      </c>
      <c r="E2965" s="2">
        <f t="shared" si="164"/>
        <v>2</v>
      </c>
      <c r="F2965" s="3" t="s">
        <v>175</v>
      </c>
      <c r="G2965" s="7">
        <v>42417</v>
      </c>
      <c r="H2965" s="6">
        <v>6594885</v>
      </c>
      <c r="I2965" s="6">
        <v>1620750</v>
      </c>
      <c r="J2965" s="5" t="s">
        <v>186</v>
      </c>
      <c r="K2965" s="1">
        <v>3</v>
      </c>
      <c r="L2965" s="1" t="str">
        <f t="shared" si="165"/>
        <v>Norrviken 3</v>
      </c>
      <c r="M2965" s="5" t="s">
        <v>219</v>
      </c>
      <c r="N2965" s="6">
        <v>7</v>
      </c>
      <c r="O2965" s="6">
        <v>7</v>
      </c>
      <c r="Q2965" s="6">
        <v>3.4</v>
      </c>
      <c r="R2965" s="6">
        <v>9.4</v>
      </c>
      <c r="S2965" s="6">
        <v>69</v>
      </c>
    </row>
    <row r="2966" spans="1:43" x14ac:dyDescent="0.3">
      <c r="A2966" s="6">
        <v>50189</v>
      </c>
      <c r="B2966" s="5" t="s">
        <v>238</v>
      </c>
      <c r="C2966" s="5" t="s">
        <v>231</v>
      </c>
      <c r="D2966" s="2">
        <f t="shared" si="163"/>
        <v>2016</v>
      </c>
      <c r="E2966" s="2">
        <f t="shared" si="164"/>
        <v>2</v>
      </c>
      <c r="F2966" s="3" t="s">
        <v>175</v>
      </c>
      <c r="G2966" s="7">
        <v>42417</v>
      </c>
      <c r="H2966" s="6">
        <v>6594885</v>
      </c>
      <c r="I2966" s="6">
        <v>1620750</v>
      </c>
      <c r="J2966" s="5" t="s">
        <v>186</v>
      </c>
      <c r="K2966" s="1">
        <v>3</v>
      </c>
      <c r="L2966" s="1" t="str">
        <f t="shared" si="165"/>
        <v>Norrviken 3</v>
      </c>
      <c r="M2966" s="5" t="s">
        <v>220</v>
      </c>
      <c r="N2966" s="6">
        <v>8</v>
      </c>
      <c r="O2966" s="6">
        <v>8</v>
      </c>
      <c r="Q2966" s="6">
        <v>3.6</v>
      </c>
      <c r="R2966" s="6">
        <v>8.1999999999999993</v>
      </c>
      <c r="S2966" s="6">
        <v>60</v>
      </c>
    </row>
    <row r="2967" spans="1:43" x14ac:dyDescent="0.3">
      <c r="A2967" s="6">
        <v>50190</v>
      </c>
      <c r="B2967" s="5" t="s">
        <v>238</v>
      </c>
      <c r="C2967" s="5" t="s">
        <v>231</v>
      </c>
      <c r="D2967" s="2">
        <f t="shared" si="163"/>
        <v>2016</v>
      </c>
      <c r="E2967" s="2">
        <f t="shared" si="164"/>
        <v>2</v>
      </c>
      <c r="F2967" s="3" t="s">
        <v>175</v>
      </c>
      <c r="G2967" s="7">
        <v>42417</v>
      </c>
      <c r="H2967" s="6">
        <v>6594885</v>
      </c>
      <c r="I2967" s="6">
        <v>1620750</v>
      </c>
      <c r="J2967" s="5" t="s">
        <v>186</v>
      </c>
      <c r="K2967" s="1">
        <v>3</v>
      </c>
      <c r="L2967" s="1" t="str">
        <f t="shared" si="165"/>
        <v>Norrviken 3</v>
      </c>
      <c r="M2967" s="5" t="s">
        <v>221</v>
      </c>
      <c r="N2967" s="6">
        <v>9</v>
      </c>
      <c r="O2967" s="6">
        <v>9</v>
      </c>
      <c r="Q2967" s="6">
        <v>3.7</v>
      </c>
      <c r="R2967" s="6">
        <v>5.9</v>
      </c>
      <c r="S2967" s="6">
        <v>44</v>
      </c>
    </row>
    <row r="2968" spans="1:43" x14ac:dyDescent="0.3">
      <c r="A2968" s="6">
        <v>50191</v>
      </c>
      <c r="B2968" s="5" t="s">
        <v>238</v>
      </c>
      <c r="C2968" s="5" t="s">
        <v>231</v>
      </c>
      <c r="D2968" s="2">
        <f t="shared" si="163"/>
        <v>2016</v>
      </c>
      <c r="E2968" s="2">
        <f t="shared" si="164"/>
        <v>2</v>
      </c>
      <c r="F2968" s="3" t="s">
        <v>175</v>
      </c>
      <c r="G2968" s="7">
        <v>42417</v>
      </c>
      <c r="H2968" s="6">
        <v>6594885</v>
      </c>
      <c r="I2968" s="6">
        <v>1620750</v>
      </c>
      <c r="J2968" s="5" t="s">
        <v>186</v>
      </c>
      <c r="K2968" s="1">
        <v>3</v>
      </c>
      <c r="L2968" s="1" t="str">
        <f t="shared" si="165"/>
        <v>Norrviken 3</v>
      </c>
      <c r="M2968" s="5" t="s">
        <v>222</v>
      </c>
      <c r="N2968" s="6">
        <v>10</v>
      </c>
      <c r="O2968" s="6">
        <v>10</v>
      </c>
      <c r="Q2968" s="6">
        <v>3.8</v>
      </c>
      <c r="R2968" s="6">
        <v>4.9000000000000004</v>
      </c>
      <c r="S2968" s="6">
        <v>37</v>
      </c>
    </row>
    <row r="2969" spans="1:43" x14ac:dyDescent="0.3">
      <c r="A2969" s="6">
        <v>50192</v>
      </c>
      <c r="B2969" s="5" t="s">
        <v>238</v>
      </c>
      <c r="C2969" s="5" t="s">
        <v>231</v>
      </c>
      <c r="D2969" s="2">
        <f t="shared" si="163"/>
        <v>2016</v>
      </c>
      <c r="E2969" s="2">
        <f t="shared" si="164"/>
        <v>2</v>
      </c>
      <c r="F2969" s="3" t="s">
        <v>175</v>
      </c>
      <c r="G2969" s="7">
        <v>42417</v>
      </c>
      <c r="H2969" s="6">
        <v>6594885</v>
      </c>
      <c r="I2969" s="6">
        <v>1620750</v>
      </c>
      <c r="J2969" s="5" t="s">
        <v>186</v>
      </c>
      <c r="K2969" s="1">
        <v>3</v>
      </c>
      <c r="L2969" s="1" t="str">
        <f t="shared" si="165"/>
        <v>Norrviken 3</v>
      </c>
      <c r="M2969" s="5" t="s">
        <v>223</v>
      </c>
      <c r="N2969" s="6">
        <v>11</v>
      </c>
      <c r="O2969" s="6">
        <v>11</v>
      </c>
      <c r="Q2969" s="6">
        <v>4.3</v>
      </c>
      <c r="R2969" s="6">
        <v>0.5</v>
      </c>
      <c r="S2969" s="6">
        <v>4</v>
      </c>
    </row>
    <row r="2970" spans="1:43" x14ac:dyDescent="0.3">
      <c r="A2970" s="6">
        <v>50193</v>
      </c>
      <c r="B2970" s="5" t="s">
        <v>238</v>
      </c>
      <c r="C2970" s="5" t="s">
        <v>231</v>
      </c>
      <c r="D2970" s="2">
        <f t="shared" si="163"/>
        <v>2016</v>
      </c>
      <c r="E2970" s="2">
        <f t="shared" si="164"/>
        <v>2</v>
      </c>
      <c r="F2970" s="3" t="s">
        <v>175</v>
      </c>
      <c r="G2970" s="7">
        <v>42417</v>
      </c>
      <c r="H2970" s="6">
        <v>6594885</v>
      </c>
      <c r="I2970" s="6">
        <v>1620750</v>
      </c>
      <c r="J2970" s="5" t="s">
        <v>186</v>
      </c>
      <c r="K2970" s="1">
        <v>3</v>
      </c>
      <c r="L2970" s="1" t="str">
        <f t="shared" si="165"/>
        <v>Norrviken 3</v>
      </c>
      <c r="M2970" s="1" t="s">
        <v>184</v>
      </c>
      <c r="N2970" s="6">
        <v>11.5</v>
      </c>
      <c r="O2970" s="6">
        <v>11.5</v>
      </c>
      <c r="Q2970" s="6">
        <v>4.5</v>
      </c>
      <c r="R2970" s="6">
        <v>0.2</v>
      </c>
      <c r="S2970" s="6">
        <v>1</v>
      </c>
      <c r="W2970" s="6">
        <v>51.6511</v>
      </c>
      <c r="Y2970" s="6">
        <v>5.2999999999999999E-2</v>
      </c>
      <c r="Z2970" s="6">
        <v>55.52</v>
      </c>
      <c r="AA2970" s="6">
        <v>2.5</v>
      </c>
      <c r="AD2970" s="6">
        <v>505.09</v>
      </c>
      <c r="AK2970" s="6">
        <v>65.09</v>
      </c>
      <c r="AL2970" s="6">
        <v>1147.1300000000001</v>
      </c>
      <c r="AM2970" s="6"/>
      <c r="AN2970" s="6"/>
      <c r="AO2970" s="6"/>
      <c r="AP2970" s="6"/>
      <c r="AQ2970" s="6"/>
    </row>
    <row r="2971" spans="1:43" x14ac:dyDescent="0.3">
      <c r="A2971" s="6">
        <v>50194</v>
      </c>
      <c r="B2971" s="5" t="s">
        <v>238</v>
      </c>
      <c r="C2971" s="5" t="s">
        <v>231</v>
      </c>
      <c r="D2971" s="2">
        <f t="shared" si="163"/>
        <v>2016</v>
      </c>
      <c r="E2971" s="2">
        <f t="shared" si="164"/>
        <v>2</v>
      </c>
      <c r="F2971" s="3" t="s">
        <v>175</v>
      </c>
      <c r="G2971" s="7">
        <v>42417</v>
      </c>
      <c r="H2971" s="6">
        <v>6597300</v>
      </c>
      <c r="I2971" s="6">
        <v>1619975</v>
      </c>
      <c r="J2971" s="5" t="s">
        <v>186</v>
      </c>
      <c r="K2971" s="1">
        <v>4</v>
      </c>
      <c r="L2971" s="1" t="str">
        <f t="shared" si="165"/>
        <v>Norrviken 4</v>
      </c>
      <c r="M2971" s="1" t="s">
        <v>177</v>
      </c>
      <c r="N2971" s="6">
        <v>0.5</v>
      </c>
      <c r="O2971" s="6">
        <v>0.5</v>
      </c>
      <c r="P2971" s="6">
        <v>2</v>
      </c>
      <c r="Q2971" s="6">
        <v>1.1000000000000001</v>
      </c>
      <c r="R2971" s="6">
        <v>11.8</v>
      </c>
      <c r="S2971" s="6">
        <v>82</v>
      </c>
      <c r="W2971" s="6">
        <v>100.9165</v>
      </c>
      <c r="Y2971" s="6">
        <v>8.7999999999999995E-2</v>
      </c>
      <c r="Z2971" s="6">
        <v>25.07</v>
      </c>
      <c r="AA2971" s="6">
        <v>4.8</v>
      </c>
      <c r="AD2971" s="6">
        <v>506.66</v>
      </c>
      <c r="AK2971" s="6">
        <v>51.62</v>
      </c>
      <c r="AL2971" s="6">
        <v>1352.74</v>
      </c>
      <c r="AM2971" s="6"/>
      <c r="AN2971" s="6"/>
      <c r="AO2971" s="6"/>
      <c r="AP2971" s="6"/>
      <c r="AQ2971" s="6"/>
    </row>
    <row r="2972" spans="1:43" x14ac:dyDescent="0.3">
      <c r="A2972" s="6">
        <v>50195</v>
      </c>
      <c r="B2972" s="5" t="s">
        <v>238</v>
      </c>
      <c r="C2972" s="5" t="s">
        <v>231</v>
      </c>
      <c r="D2972" s="2">
        <f t="shared" si="163"/>
        <v>2016</v>
      </c>
      <c r="E2972" s="2">
        <f t="shared" si="164"/>
        <v>2</v>
      </c>
      <c r="F2972" s="3" t="s">
        <v>175</v>
      </c>
      <c r="G2972" s="7">
        <v>42417</v>
      </c>
      <c r="H2972" s="6">
        <v>6597300</v>
      </c>
      <c r="I2972" s="6">
        <v>1619975</v>
      </c>
      <c r="J2972" s="5" t="s">
        <v>186</v>
      </c>
      <c r="K2972" s="1">
        <v>4</v>
      </c>
      <c r="L2972" s="1" t="str">
        <f t="shared" si="165"/>
        <v>Norrviken 4</v>
      </c>
      <c r="M2972" s="5" t="s">
        <v>211</v>
      </c>
      <c r="N2972" s="6">
        <v>1</v>
      </c>
      <c r="O2972" s="6">
        <v>1</v>
      </c>
      <c r="Q2972" s="6">
        <v>2.2000000000000002</v>
      </c>
      <c r="R2972" s="6">
        <v>11</v>
      </c>
      <c r="S2972" s="6">
        <v>78</v>
      </c>
    </row>
    <row r="2973" spans="1:43" x14ac:dyDescent="0.3">
      <c r="A2973" s="6">
        <v>50196</v>
      </c>
      <c r="B2973" s="5" t="s">
        <v>238</v>
      </c>
      <c r="C2973" s="5" t="s">
        <v>231</v>
      </c>
      <c r="D2973" s="2">
        <f t="shared" si="163"/>
        <v>2016</v>
      </c>
      <c r="E2973" s="2">
        <f t="shared" si="164"/>
        <v>2</v>
      </c>
      <c r="F2973" s="3" t="s">
        <v>175</v>
      </c>
      <c r="G2973" s="7">
        <v>42417</v>
      </c>
      <c r="H2973" s="6">
        <v>6597300</v>
      </c>
      <c r="I2973" s="6">
        <v>1619975</v>
      </c>
      <c r="J2973" s="5" t="s">
        <v>186</v>
      </c>
      <c r="K2973" s="1">
        <v>4</v>
      </c>
      <c r="L2973" s="1" t="str">
        <f t="shared" si="165"/>
        <v>Norrviken 4</v>
      </c>
      <c r="M2973" s="1" t="s">
        <v>184</v>
      </c>
      <c r="N2973" s="6">
        <v>2</v>
      </c>
      <c r="O2973" s="6">
        <v>2</v>
      </c>
      <c r="Q2973" s="6">
        <v>2.9</v>
      </c>
      <c r="R2973" s="6">
        <v>11</v>
      </c>
      <c r="S2973" s="6">
        <v>80</v>
      </c>
      <c r="W2973" s="6">
        <v>95.285700000000006</v>
      </c>
      <c r="Y2973" s="6">
        <v>0.09</v>
      </c>
      <c r="Z2973" s="6">
        <v>24.03</v>
      </c>
      <c r="AA2973" s="6">
        <v>6.9</v>
      </c>
      <c r="AD2973" s="6">
        <v>545.98</v>
      </c>
      <c r="AK2973" s="6">
        <v>49.08</v>
      </c>
      <c r="AL2973" s="6">
        <v>1316</v>
      </c>
      <c r="AM2973" s="6"/>
      <c r="AN2973" s="6"/>
      <c r="AO2973" s="6"/>
      <c r="AP2973" s="6"/>
      <c r="AQ2973" s="6"/>
    </row>
    <row r="2974" spans="1:43" x14ac:dyDescent="0.3">
      <c r="A2974" s="1">
        <v>50157</v>
      </c>
      <c r="B2974" s="1" t="s">
        <v>237</v>
      </c>
      <c r="C2974" s="1" t="s">
        <v>209</v>
      </c>
      <c r="D2974" s="2">
        <f t="shared" si="163"/>
        <v>2016</v>
      </c>
      <c r="E2974" s="2">
        <f t="shared" si="164"/>
        <v>2</v>
      </c>
      <c r="F2974" s="3" t="s">
        <v>175</v>
      </c>
      <c r="G2974" s="4">
        <v>42417</v>
      </c>
      <c r="H2974" s="1">
        <v>6600935</v>
      </c>
      <c r="I2974" s="1">
        <v>1626764</v>
      </c>
      <c r="J2974" s="1" t="s">
        <v>191</v>
      </c>
      <c r="K2974" s="1" t="s">
        <v>210</v>
      </c>
      <c r="L2974" s="1" t="str">
        <f t="shared" si="165"/>
        <v>Vallentunasjön Va2</v>
      </c>
      <c r="M2974" s="1" t="s">
        <v>177</v>
      </c>
      <c r="N2974" s="1">
        <v>0.5</v>
      </c>
      <c r="O2974" s="1">
        <v>0.5</v>
      </c>
      <c r="P2974" s="1">
        <v>1.7</v>
      </c>
      <c r="Q2974" s="1">
        <v>0.9</v>
      </c>
      <c r="R2974" s="1">
        <v>12.9</v>
      </c>
      <c r="S2974" s="1">
        <v>89</v>
      </c>
    </row>
    <row r="2975" spans="1:43" x14ac:dyDescent="0.3">
      <c r="A2975" s="1">
        <v>50158</v>
      </c>
      <c r="B2975" s="1" t="s">
        <v>237</v>
      </c>
      <c r="C2975" s="1" t="s">
        <v>209</v>
      </c>
      <c r="D2975" s="2">
        <f t="shared" si="163"/>
        <v>2016</v>
      </c>
      <c r="E2975" s="2">
        <f t="shared" si="164"/>
        <v>2</v>
      </c>
      <c r="F2975" s="3" t="s">
        <v>175</v>
      </c>
      <c r="G2975" s="4">
        <v>42417</v>
      </c>
      <c r="H2975" s="1">
        <v>6600935</v>
      </c>
      <c r="I2975" s="1">
        <v>1626764</v>
      </c>
      <c r="J2975" s="1" t="s">
        <v>191</v>
      </c>
      <c r="K2975" s="1" t="s">
        <v>210</v>
      </c>
      <c r="L2975" s="1" t="str">
        <f t="shared" si="165"/>
        <v>Vallentunasjön Va2</v>
      </c>
      <c r="M2975" s="1" t="s">
        <v>211</v>
      </c>
      <c r="N2975" s="1">
        <v>1</v>
      </c>
      <c r="O2975" s="1">
        <v>1</v>
      </c>
      <c r="Q2975" s="1">
        <v>1.7</v>
      </c>
      <c r="R2975" s="1">
        <v>12.8</v>
      </c>
      <c r="S2975" s="1">
        <v>89</v>
      </c>
    </row>
    <row r="2976" spans="1:43" x14ac:dyDescent="0.3">
      <c r="A2976" s="1">
        <v>50159</v>
      </c>
      <c r="B2976" s="1" t="s">
        <v>237</v>
      </c>
      <c r="C2976" s="1" t="s">
        <v>209</v>
      </c>
      <c r="D2976" s="2">
        <f t="shared" si="163"/>
        <v>2016</v>
      </c>
      <c r="E2976" s="2">
        <f t="shared" si="164"/>
        <v>2</v>
      </c>
      <c r="F2976" s="3" t="s">
        <v>175</v>
      </c>
      <c r="G2976" s="4">
        <v>42417</v>
      </c>
      <c r="H2976" s="1">
        <v>6600935</v>
      </c>
      <c r="I2976" s="1">
        <v>1626764</v>
      </c>
      <c r="J2976" s="1" t="s">
        <v>191</v>
      </c>
      <c r="K2976" s="1" t="s">
        <v>210</v>
      </c>
      <c r="L2976" s="1" t="str">
        <f t="shared" si="165"/>
        <v>Vallentunasjön Va2</v>
      </c>
      <c r="M2976" s="1" t="s">
        <v>212</v>
      </c>
      <c r="N2976" s="1">
        <v>2</v>
      </c>
      <c r="O2976" s="1">
        <v>2</v>
      </c>
      <c r="Q2976" s="1">
        <v>2.9</v>
      </c>
      <c r="R2976" s="1">
        <v>12.5</v>
      </c>
      <c r="S2976" s="1">
        <v>91</v>
      </c>
    </row>
    <row r="2977" spans="1:91" x14ac:dyDescent="0.3">
      <c r="A2977" s="1">
        <v>50160</v>
      </c>
      <c r="B2977" s="1" t="s">
        <v>237</v>
      </c>
      <c r="C2977" s="1" t="s">
        <v>209</v>
      </c>
      <c r="D2977" s="2">
        <f t="shared" si="163"/>
        <v>2016</v>
      </c>
      <c r="E2977" s="2">
        <f t="shared" si="164"/>
        <v>2</v>
      </c>
      <c r="F2977" s="3" t="s">
        <v>175</v>
      </c>
      <c r="G2977" s="4">
        <v>42417</v>
      </c>
      <c r="H2977" s="1">
        <v>6600935</v>
      </c>
      <c r="I2977" s="1">
        <v>1626764</v>
      </c>
      <c r="J2977" s="1" t="s">
        <v>191</v>
      </c>
      <c r="K2977" s="1" t="s">
        <v>210</v>
      </c>
      <c r="L2977" s="1" t="str">
        <f t="shared" si="165"/>
        <v>Vallentunasjön Va2</v>
      </c>
      <c r="M2977" s="1" t="s">
        <v>213</v>
      </c>
      <c r="N2977" s="1">
        <v>3</v>
      </c>
      <c r="O2977" s="1">
        <v>3</v>
      </c>
      <c r="Q2977" s="1">
        <v>3.5</v>
      </c>
      <c r="R2977" s="1">
        <v>8.6</v>
      </c>
      <c r="S2977" s="1">
        <v>64</v>
      </c>
    </row>
    <row r="2978" spans="1:91" x14ac:dyDescent="0.3">
      <c r="A2978" s="1">
        <v>50161</v>
      </c>
      <c r="B2978" s="1" t="s">
        <v>237</v>
      </c>
      <c r="C2978" s="1" t="s">
        <v>209</v>
      </c>
      <c r="D2978" s="2">
        <f t="shared" si="163"/>
        <v>2016</v>
      </c>
      <c r="E2978" s="2">
        <f t="shared" si="164"/>
        <v>2</v>
      </c>
      <c r="F2978" s="3" t="s">
        <v>175</v>
      </c>
      <c r="G2978" s="4">
        <v>42417</v>
      </c>
      <c r="H2978" s="1">
        <v>6600935</v>
      </c>
      <c r="I2978" s="1">
        <v>1626764</v>
      </c>
      <c r="J2978" s="1" t="s">
        <v>191</v>
      </c>
      <c r="K2978" s="1" t="s">
        <v>210</v>
      </c>
      <c r="L2978" s="1" t="str">
        <f t="shared" si="165"/>
        <v>Vallentunasjön Va2</v>
      </c>
      <c r="M2978" s="1" t="s">
        <v>214</v>
      </c>
      <c r="N2978" s="1">
        <v>4</v>
      </c>
      <c r="O2978" s="1">
        <v>4</v>
      </c>
      <c r="Q2978" s="1">
        <v>4.0999999999999996</v>
      </c>
      <c r="R2978" s="1">
        <v>3.9</v>
      </c>
      <c r="S2978" s="1">
        <v>30</v>
      </c>
    </row>
    <row r="2979" spans="1:91" x14ac:dyDescent="0.3">
      <c r="A2979" s="1">
        <v>50162</v>
      </c>
      <c r="B2979" s="1" t="s">
        <v>237</v>
      </c>
      <c r="C2979" s="1" t="s">
        <v>209</v>
      </c>
      <c r="D2979" s="2">
        <f t="shared" si="163"/>
        <v>2016</v>
      </c>
      <c r="E2979" s="2">
        <f t="shared" si="164"/>
        <v>2</v>
      </c>
      <c r="F2979" s="3" t="s">
        <v>175</v>
      </c>
      <c r="G2979" s="4">
        <v>42417</v>
      </c>
      <c r="H2979" s="1">
        <v>6600935</v>
      </c>
      <c r="I2979" s="1">
        <v>1626764</v>
      </c>
      <c r="J2979" s="1" t="s">
        <v>191</v>
      </c>
      <c r="K2979" s="1" t="s">
        <v>210</v>
      </c>
      <c r="L2979" s="1" t="str">
        <f t="shared" si="165"/>
        <v>Vallentunasjön Va2</v>
      </c>
      <c r="M2979" s="1" t="s">
        <v>184</v>
      </c>
      <c r="Q2979" s="1">
        <v>4.3</v>
      </c>
      <c r="R2979" s="1">
        <v>4.3</v>
      </c>
      <c r="S2979" s="1">
        <v>32</v>
      </c>
    </row>
    <row r="2980" spans="1:91" x14ac:dyDescent="0.3">
      <c r="A2980" s="1">
        <v>50163</v>
      </c>
      <c r="B2980" s="1" t="s">
        <v>237</v>
      </c>
      <c r="C2980" s="1" t="s">
        <v>209</v>
      </c>
      <c r="D2980" s="2">
        <f t="shared" si="163"/>
        <v>2016</v>
      </c>
      <c r="E2980" s="2">
        <f t="shared" si="164"/>
        <v>2</v>
      </c>
      <c r="F2980" s="3" t="s">
        <v>175</v>
      </c>
      <c r="G2980" s="4">
        <v>42417</v>
      </c>
      <c r="J2980" s="1" t="s">
        <v>191</v>
      </c>
      <c r="K2980" s="1" t="s">
        <v>206</v>
      </c>
      <c r="L2980" s="1" t="str">
        <f t="shared" si="165"/>
        <v>Vallentunasjön Blandprov</v>
      </c>
      <c r="M2980" s="1" t="s">
        <v>177</v>
      </c>
      <c r="N2980" s="1">
        <v>4</v>
      </c>
      <c r="O2980" s="1">
        <v>0</v>
      </c>
      <c r="W2980" s="1">
        <v>386.9461</v>
      </c>
      <c r="Z2980" s="1">
        <v>2.7199999999999998</v>
      </c>
      <c r="AB2980" s="1">
        <v>22.652280000000001</v>
      </c>
      <c r="AD2980" s="1">
        <v>175.48</v>
      </c>
      <c r="AG2980" s="1">
        <v>6.2857142857000001</v>
      </c>
      <c r="AK2980" s="1">
        <v>25.55</v>
      </c>
      <c r="AL2980" s="1">
        <v>1430.21</v>
      </c>
    </row>
    <row r="2981" spans="1:91" x14ac:dyDescent="0.3">
      <c r="D2981" s="2">
        <f t="shared" si="163"/>
        <v>2016</v>
      </c>
      <c r="E2981" s="2">
        <f t="shared" si="164"/>
        <v>2</v>
      </c>
      <c r="F2981" s="3" t="s">
        <v>175</v>
      </c>
      <c r="G2981" s="4">
        <v>42423</v>
      </c>
      <c r="J2981" s="1" t="s">
        <v>181</v>
      </c>
      <c r="K2981" s="1"/>
      <c r="L2981" s="1" t="str">
        <f t="shared" si="165"/>
        <v xml:space="preserve">Fysingen </v>
      </c>
      <c r="M2981" s="1" t="s">
        <v>177</v>
      </c>
      <c r="N2981" s="1">
        <v>0.5</v>
      </c>
      <c r="O2981" s="1">
        <v>0.5</v>
      </c>
      <c r="Q2981" s="1">
        <v>1.4</v>
      </c>
      <c r="V2981" s="1">
        <v>1.903</v>
      </c>
      <c r="W2981" s="1">
        <v>114</v>
      </c>
      <c r="X2981" s="1">
        <f>W2981 * (1/((10^((0.0901821 + (2729.92 /(273.15 + Q2981)))-AE2981)+1)))</f>
        <v>0.14551757147228431</v>
      </c>
      <c r="Y2981" s="1">
        <v>0.107</v>
      </c>
      <c r="Z2981" s="1">
        <v>28</v>
      </c>
      <c r="AA2981" s="1">
        <v>24</v>
      </c>
      <c r="AB2981" s="1">
        <v>10</v>
      </c>
      <c r="AC2981" s="1">
        <v>39.4</v>
      </c>
      <c r="AD2981" s="1">
        <v>1180</v>
      </c>
      <c r="AE2981" s="1">
        <v>7.14</v>
      </c>
      <c r="AI2981" s="1">
        <v>11.8</v>
      </c>
      <c r="AK2981" s="1">
        <v>89.2</v>
      </c>
      <c r="AL2981" s="1">
        <v>1910</v>
      </c>
      <c r="AR2981" s="1">
        <v>44</v>
      </c>
      <c r="AS2981" s="1">
        <v>1.4</v>
      </c>
      <c r="AT2981" s="1">
        <v>5.0830000000000002</v>
      </c>
      <c r="AU2981" s="1">
        <v>8.4699999999999989</v>
      </c>
      <c r="AV2981" s="1">
        <v>26.020300000000002</v>
      </c>
      <c r="AW2981" s="1">
        <v>19.040199999999999</v>
      </c>
      <c r="AX2981" s="1">
        <v>55.161399999999993</v>
      </c>
      <c r="AY2981" s="1">
        <v>8.3000000000000007</v>
      </c>
      <c r="AZ2981" s="1">
        <v>1200</v>
      </c>
    </row>
    <row r="2982" spans="1:91" x14ac:dyDescent="0.3">
      <c r="A2982" s="1">
        <v>50539</v>
      </c>
      <c r="B2982" s="1" t="s">
        <v>237</v>
      </c>
      <c r="C2982" s="1" t="s">
        <v>209</v>
      </c>
      <c r="D2982" s="2">
        <f t="shared" si="163"/>
        <v>2016</v>
      </c>
      <c r="E2982" s="2">
        <f t="shared" si="164"/>
        <v>3</v>
      </c>
      <c r="F2982" s="3" t="s">
        <v>175</v>
      </c>
      <c r="G2982" s="4">
        <v>42444</v>
      </c>
      <c r="H2982" s="1">
        <v>6600935</v>
      </c>
      <c r="I2982" s="1">
        <v>1626764</v>
      </c>
      <c r="J2982" s="1" t="s">
        <v>191</v>
      </c>
      <c r="K2982" s="1" t="s">
        <v>210</v>
      </c>
      <c r="L2982" s="1" t="str">
        <f t="shared" si="165"/>
        <v>Vallentunasjön Va2</v>
      </c>
      <c r="M2982" s="1" t="s">
        <v>177</v>
      </c>
      <c r="N2982" s="1">
        <v>0.5</v>
      </c>
      <c r="O2982" s="1">
        <v>0.5</v>
      </c>
      <c r="P2982" s="1">
        <v>2.5</v>
      </c>
      <c r="Q2982" s="1">
        <v>4.5</v>
      </c>
      <c r="R2982" s="1">
        <v>16.600000000000001</v>
      </c>
      <c r="S2982" s="1">
        <v>126</v>
      </c>
    </row>
    <row r="2983" spans="1:91" x14ac:dyDescent="0.3">
      <c r="A2983" s="1">
        <v>50540</v>
      </c>
      <c r="B2983" s="1" t="s">
        <v>237</v>
      </c>
      <c r="C2983" s="1" t="s">
        <v>209</v>
      </c>
      <c r="D2983" s="2">
        <f t="shared" si="163"/>
        <v>2016</v>
      </c>
      <c r="E2983" s="2">
        <f t="shared" si="164"/>
        <v>3</v>
      </c>
      <c r="F2983" s="3" t="s">
        <v>175</v>
      </c>
      <c r="G2983" s="4">
        <v>42444</v>
      </c>
      <c r="H2983" s="1">
        <v>6600935</v>
      </c>
      <c r="I2983" s="1">
        <v>1626764</v>
      </c>
      <c r="J2983" s="1" t="s">
        <v>191</v>
      </c>
      <c r="K2983" s="1" t="s">
        <v>210</v>
      </c>
      <c r="L2983" s="1" t="str">
        <f t="shared" si="165"/>
        <v>Vallentunasjön Va2</v>
      </c>
      <c r="M2983" s="1" t="s">
        <v>211</v>
      </c>
      <c r="N2983" s="1">
        <v>1</v>
      </c>
      <c r="O2983" s="1">
        <v>1</v>
      </c>
      <c r="Q2983" s="1">
        <v>5.3</v>
      </c>
      <c r="R2983" s="1">
        <v>17.3</v>
      </c>
      <c r="S2983" s="1">
        <v>133</v>
      </c>
    </row>
    <row r="2984" spans="1:91" x14ac:dyDescent="0.3">
      <c r="A2984" s="1">
        <v>50541</v>
      </c>
      <c r="B2984" s="1" t="s">
        <v>237</v>
      </c>
      <c r="C2984" s="1" t="s">
        <v>209</v>
      </c>
      <c r="D2984" s="2">
        <f t="shared" si="163"/>
        <v>2016</v>
      </c>
      <c r="E2984" s="2">
        <f t="shared" si="164"/>
        <v>3</v>
      </c>
      <c r="F2984" s="3" t="s">
        <v>175</v>
      </c>
      <c r="G2984" s="4">
        <v>42444</v>
      </c>
      <c r="H2984" s="1">
        <v>6600935</v>
      </c>
      <c r="I2984" s="1">
        <v>1626764</v>
      </c>
      <c r="J2984" s="1" t="s">
        <v>191</v>
      </c>
      <c r="K2984" s="1" t="s">
        <v>210</v>
      </c>
      <c r="L2984" s="1" t="str">
        <f t="shared" si="165"/>
        <v>Vallentunasjön Va2</v>
      </c>
      <c r="M2984" s="1" t="s">
        <v>212</v>
      </c>
      <c r="N2984" s="1">
        <v>2</v>
      </c>
      <c r="O2984" s="1">
        <v>2</v>
      </c>
      <c r="Q2984" s="1">
        <v>4.8</v>
      </c>
      <c r="R2984" s="1">
        <v>16.100000000000001</v>
      </c>
      <c r="S2984" s="1">
        <v>122</v>
      </c>
    </row>
    <row r="2985" spans="1:91" x14ac:dyDescent="0.3">
      <c r="A2985" s="1">
        <v>50542</v>
      </c>
      <c r="B2985" s="1" t="s">
        <v>237</v>
      </c>
      <c r="C2985" s="1" t="s">
        <v>209</v>
      </c>
      <c r="D2985" s="2">
        <f t="shared" si="163"/>
        <v>2016</v>
      </c>
      <c r="E2985" s="2">
        <f t="shared" si="164"/>
        <v>3</v>
      </c>
      <c r="F2985" s="3" t="s">
        <v>175</v>
      </c>
      <c r="G2985" s="4">
        <v>42444</v>
      </c>
      <c r="H2985" s="1">
        <v>6600935</v>
      </c>
      <c r="I2985" s="1">
        <v>1626764</v>
      </c>
      <c r="J2985" s="1" t="s">
        <v>191</v>
      </c>
      <c r="K2985" s="1" t="s">
        <v>210</v>
      </c>
      <c r="L2985" s="1" t="str">
        <f t="shared" si="165"/>
        <v>Vallentunasjön Va2</v>
      </c>
      <c r="M2985" s="1" t="s">
        <v>213</v>
      </c>
      <c r="N2985" s="1">
        <v>3</v>
      </c>
      <c r="O2985" s="1">
        <v>3</v>
      </c>
      <c r="Q2985" s="1">
        <v>4.4000000000000004</v>
      </c>
      <c r="R2985" s="1">
        <v>8.4</v>
      </c>
      <c r="S2985" s="1">
        <v>63</v>
      </c>
    </row>
    <row r="2986" spans="1:91" x14ac:dyDescent="0.3">
      <c r="A2986" s="1">
        <v>50543</v>
      </c>
      <c r="B2986" s="1" t="s">
        <v>237</v>
      </c>
      <c r="C2986" s="1" t="s">
        <v>209</v>
      </c>
      <c r="D2986" s="2">
        <f t="shared" si="163"/>
        <v>2016</v>
      </c>
      <c r="E2986" s="2">
        <f t="shared" si="164"/>
        <v>3</v>
      </c>
      <c r="F2986" s="3" t="s">
        <v>175</v>
      </c>
      <c r="G2986" s="4">
        <v>42444</v>
      </c>
      <c r="H2986" s="1">
        <v>6600935</v>
      </c>
      <c r="I2986" s="1">
        <v>1626764</v>
      </c>
      <c r="J2986" s="1" t="s">
        <v>191</v>
      </c>
      <c r="K2986" s="1" t="s">
        <v>210</v>
      </c>
      <c r="L2986" s="1" t="str">
        <f t="shared" si="165"/>
        <v>Vallentunasjön Va2</v>
      </c>
      <c r="M2986" s="1" t="s">
        <v>214</v>
      </c>
      <c r="N2986" s="1">
        <v>4</v>
      </c>
      <c r="O2986" s="1">
        <v>4</v>
      </c>
      <c r="Q2986" s="1">
        <v>4.7</v>
      </c>
      <c r="R2986" s="1">
        <v>2.4</v>
      </c>
      <c r="S2986" s="1">
        <v>18</v>
      </c>
    </row>
    <row r="2987" spans="1:91" x14ac:dyDescent="0.3">
      <c r="A2987" s="1">
        <v>50544</v>
      </c>
      <c r="B2987" s="1" t="s">
        <v>237</v>
      </c>
      <c r="C2987" s="1" t="s">
        <v>209</v>
      </c>
      <c r="D2987" s="2">
        <f t="shared" si="163"/>
        <v>2016</v>
      </c>
      <c r="E2987" s="2">
        <f t="shared" si="164"/>
        <v>3</v>
      </c>
      <c r="F2987" s="3" t="s">
        <v>175</v>
      </c>
      <c r="G2987" s="4">
        <v>42444</v>
      </c>
      <c r="H2987" s="1">
        <v>6600935</v>
      </c>
      <c r="I2987" s="1">
        <v>1626764</v>
      </c>
      <c r="J2987" s="1" t="s">
        <v>191</v>
      </c>
      <c r="K2987" s="1" t="s">
        <v>210</v>
      </c>
      <c r="L2987" s="1" t="str">
        <f t="shared" si="165"/>
        <v>Vallentunasjön Va2</v>
      </c>
      <c r="M2987" s="1" t="s">
        <v>184</v>
      </c>
      <c r="Q2987" s="1">
        <v>4.8</v>
      </c>
      <c r="R2987" s="1">
        <v>2.5</v>
      </c>
      <c r="S2987" s="1">
        <v>19</v>
      </c>
    </row>
    <row r="2988" spans="1:91" x14ac:dyDescent="0.3">
      <c r="A2988" s="1">
        <v>50545</v>
      </c>
      <c r="B2988" s="1" t="s">
        <v>237</v>
      </c>
      <c r="C2988" s="1" t="s">
        <v>209</v>
      </c>
      <c r="D2988" s="2">
        <f t="shared" si="163"/>
        <v>2016</v>
      </c>
      <c r="E2988" s="2">
        <f t="shared" si="164"/>
        <v>3</v>
      </c>
      <c r="F2988" s="3" t="s">
        <v>175</v>
      </c>
      <c r="G2988" s="4">
        <v>42444</v>
      </c>
      <c r="J2988" s="1" t="s">
        <v>191</v>
      </c>
      <c r="K2988" s="1" t="s">
        <v>206</v>
      </c>
      <c r="L2988" s="1" t="str">
        <f t="shared" si="165"/>
        <v>Vallentunasjön Blandprov</v>
      </c>
      <c r="M2988" s="1" t="s">
        <v>177</v>
      </c>
      <c r="N2988" s="1">
        <v>4</v>
      </c>
      <c r="O2988" s="1">
        <v>0</v>
      </c>
      <c r="W2988" s="1">
        <v>229.37440000000001</v>
      </c>
      <c r="Z2988" s="1">
        <v>1.75</v>
      </c>
      <c r="AB2988" s="1">
        <v>14.838480000000001</v>
      </c>
      <c r="AD2988" s="1">
        <v>251.27</v>
      </c>
      <c r="AG2988" s="1">
        <v>4</v>
      </c>
      <c r="AK2988" s="1">
        <v>22.9</v>
      </c>
      <c r="AL2988" s="1">
        <v>1299.96</v>
      </c>
    </row>
    <row r="2989" spans="1:91" x14ac:dyDescent="0.3">
      <c r="D2989" s="2">
        <f t="shared" si="163"/>
        <v>2016</v>
      </c>
      <c r="E2989" s="2">
        <f t="shared" si="164"/>
        <v>3</v>
      </c>
      <c r="F2989" s="3" t="s">
        <v>175</v>
      </c>
      <c r="G2989" s="4">
        <v>42445</v>
      </c>
      <c r="H2989" s="1">
        <v>6606238</v>
      </c>
      <c r="I2989" s="1">
        <v>661152</v>
      </c>
      <c r="J2989" s="5" t="s">
        <v>176</v>
      </c>
      <c r="K2989" s="1"/>
      <c r="L2989" s="1" t="str">
        <f t="shared" si="165"/>
        <v xml:space="preserve">Oxundaån </v>
      </c>
      <c r="M2989" s="1" t="s">
        <v>177</v>
      </c>
      <c r="N2989" s="1">
        <v>0.2</v>
      </c>
      <c r="O2989" s="1">
        <v>0.2</v>
      </c>
      <c r="Q2989" s="1">
        <v>3.5</v>
      </c>
      <c r="T2989" s="1">
        <v>45.6</v>
      </c>
      <c r="V2989" s="1">
        <v>2.5379999999999998</v>
      </c>
      <c r="W2989" s="1">
        <v>21</v>
      </c>
      <c r="X2989" s="1">
        <f>W2989 * (1/((10^((0.0901821 + (2729.92 /(273.15 + Q2989)))-AE2989)+1)))</f>
        <v>7.9910944130540507E-2</v>
      </c>
      <c r="Y2989" s="1">
        <v>7.0000000000000007E-2</v>
      </c>
      <c r="Z2989" s="1">
        <v>8</v>
      </c>
      <c r="AA2989" s="1">
        <v>7.8</v>
      </c>
      <c r="AD2989" s="1">
        <v>707</v>
      </c>
      <c r="AE2989" s="1">
        <v>7.54</v>
      </c>
      <c r="AI2989" s="1">
        <v>12</v>
      </c>
      <c r="AK2989" s="1">
        <v>54.4</v>
      </c>
      <c r="AL2989" s="1">
        <v>1400</v>
      </c>
      <c r="AR2989" s="1">
        <v>54</v>
      </c>
      <c r="AT2989" s="1">
        <v>5.0830000000000002</v>
      </c>
      <c r="AU2989" s="1">
        <v>8.3489999999999984</v>
      </c>
      <c r="AV2989" s="1">
        <v>36.159000000000006</v>
      </c>
      <c r="AW2989" s="1">
        <v>25.234000000000002</v>
      </c>
      <c r="AX2989" s="1">
        <v>46.127999999999993</v>
      </c>
      <c r="AY2989" s="1">
        <v>5.6</v>
      </c>
    </row>
    <row r="2990" spans="1:91" x14ac:dyDescent="0.3">
      <c r="D2990" s="2">
        <f t="shared" si="163"/>
        <v>2016</v>
      </c>
      <c r="E2990" s="2">
        <f t="shared" si="164"/>
        <v>4</v>
      </c>
      <c r="F2990" s="3" t="s">
        <v>178</v>
      </c>
      <c r="G2990" s="4">
        <v>42471</v>
      </c>
      <c r="H2990" s="1">
        <v>6606238</v>
      </c>
      <c r="I2990" s="1">
        <v>661152</v>
      </c>
      <c r="J2990" s="5" t="s">
        <v>176</v>
      </c>
      <c r="K2990" s="1"/>
      <c r="L2990" s="1" t="str">
        <f t="shared" si="165"/>
        <v xml:space="preserve">Oxundaån </v>
      </c>
      <c r="M2990" s="1" t="s">
        <v>177</v>
      </c>
      <c r="N2990" s="1">
        <v>0.1</v>
      </c>
      <c r="O2990" s="1">
        <v>0.1</v>
      </c>
      <c r="Q2990" s="1">
        <v>7.9</v>
      </c>
      <c r="T2990" s="1">
        <v>44.7</v>
      </c>
      <c r="V2990" s="1">
        <v>2.5230000000000001</v>
      </c>
      <c r="W2990" s="1">
        <v>23</v>
      </c>
      <c r="X2990" s="1">
        <f>W2990 * (1/((10^((0.0901821 + (2729.92 /(273.15 + Q2990)))-AE2990)+1)))</f>
        <v>0.25902255159816867</v>
      </c>
      <c r="Y2990" s="1">
        <v>5.2999999999999999E-2</v>
      </c>
      <c r="Z2990" s="1">
        <v>2</v>
      </c>
      <c r="AA2990" s="1">
        <v>3.5</v>
      </c>
      <c r="AD2990" s="1">
        <v>283</v>
      </c>
      <c r="AE2990" s="1">
        <v>7.86</v>
      </c>
      <c r="AI2990" s="1">
        <v>11.4</v>
      </c>
      <c r="AK2990" s="1">
        <v>29.7</v>
      </c>
      <c r="AL2990" s="1">
        <v>930</v>
      </c>
      <c r="AR2990" s="1">
        <v>52</v>
      </c>
      <c r="AT2990" s="1">
        <v>5.0830000000000002</v>
      </c>
      <c r="AU2990" s="1">
        <v>8.1070000000000011</v>
      </c>
      <c r="AV2990" s="1">
        <v>34.741</v>
      </c>
      <c r="AW2990" s="1">
        <v>22.94</v>
      </c>
      <c r="AX2990" s="1">
        <v>44.686500000000002</v>
      </c>
      <c r="AY2990" s="1">
        <v>3.7</v>
      </c>
    </row>
    <row r="2991" spans="1:91" x14ac:dyDescent="0.3">
      <c r="A2991" s="6">
        <v>50714</v>
      </c>
      <c r="B2991" s="5" t="s">
        <v>239</v>
      </c>
      <c r="C2991" s="5" t="s">
        <v>236</v>
      </c>
      <c r="D2991" s="2">
        <f t="shared" si="163"/>
        <v>2016</v>
      </c>
      <c r="E2991" s="2">
        <f t="shared" si="164"/>
        <v>4</v>
      </c>
      <c r="F2991" s="3" t="s">
        <v>178</v>
      </c>
      <c r="G2991" s="7">
        <v>42472</v>
      </c>
      <c r="H2991" s="6">
        <v>6593788</v>
      </c>
      <c r="I2991" s="6">
        <v>1624229</v>
      </c>
      <c r="J2991" s="5" t="s">
        <v>189</v>
      </c>
      <c r="K2991" s="1"/>
      <c r="L2991" s="1" t="str">
        <f t="shared" si="165"/>
        <v xml:space="preserve">Rösjön </v>
      </c>
      <c r="M2991" s="1" t="s">
        <v>177</v>
      </c>
      <c r="N2991" s="6">
        <v>0.5</v>
      </c>
      <c r="O2991" s="6">
        <v>0.5</v>
      </c>
      <c r="P2991" s="6">
        <v>2.8</v>
      </c>
      <c r="Q2991" s="6">
        <v>8.1</v>
      </c>
      <c r="R2991" s="6">
        <v>13.5</v>
      </c>
      <c r="S2991" s="6">
        <v>113</v>
      </c>
      <c r="W2991" s="6">
        <v>0.18310000000000001</v>
      </c>
      <c r="X2991" s="1">
        <f>W2991 * (1/((10^((0.0901821 + (2729.92 /(273.15 + Q2991)))-AE2991)+1)))</f>
        <v>2.5125986741698311E-3</v>
      </c>
      <c r="Y2991" s="6">
        <v>4.1000000000000002E-2</v>
      </c>
      <c r="Z2991" s="6">
        <v>1.08</v>
      </c>
      <c r="AA2991" s="6">
        <v>1.79</v>
      </c>
      <c r="AD2991" s="6">
        <v>0.85</v>
      </c>
      <c r="AE2991" s="6">
        <v>7.9399999999999995</v>
      </c>
      <c r="AI2991" s="6">
        <v>8.5030000000000001</v>
      </c>
      <c r="AJ2991" s="6">
        <v>7.6850000000000005</v>
      </c>
      <c r="AK2991" s="6">
        <v>12.5</v>
      </c>
      <c r="AL2991" s="6">
        <v>542.01</v>
      </c>
      <c r="AM2991" s="6"/>
      <c r="AN2991" s="6"/>
      <c r="AO2991" s="6"/>
      <c r="AP2991" s="6"/>
      <c r="AQ2991" s="6"/>
      <c r="AR2991" s="6">
        <v>29.7</v>
      </c>
      <c r="AS2991" s="6">
        <v>4.3700000000000003E-2</v>
      </c>
      <c r="AT2991" s="6">
        <v>2.06</v>
      </c>
      <c r="AU2991" s="6">
        <v>3.88</v>
      </c>
      <c r="AW2991" s="6">
        <v>13.5</v>
      </c>
      <c r="AY2991" s="6">
        <v>1.68</v>
      </c>
      <c r="AZ2991" s="6">
        <v>30.9</v>
      </c>
      <c r="BA2991" s="6">
        <v>0.57299999999999895</v>
      </c>
      <c r="BB2991" s="6">
        <v>14.8</v>
      </c>
      <c r="BC2991" s="6">
        <v>5.7999999999999901E-3</v>
      </c>
      <c r="BD2991" s="6">
        <v>2.8400000000000002E-2</v>
      </c>
      <c r="BE2991" s="6">
        <v>0.13900000000000001</v>
      </c>
      <c r="BF2991" s="6">
        <v>1.1399999999999899</v>
      </c>
      <c r="BG2991" s="6">
        <v>1E-3</v>
      </c>
      <c r="BH2991" s="6">
        <v>11.9</v>
      </c>
      <c r="BI2991" s="6">
        <v>0.53700000000000003</v>
      </c>
      <c r="BJ2991" s="6">
        <v>0.53800000000000003</v>
      </c>
      <c r="BK2991" s="6">
        <v>8.48</v>
      </c>
      <c r="BL2991" s="6">
        <v>9.35E-2</v>
      </c>
      <c r="BM2991" s="6">
        <v>69.2</v>
      </c>
      <c r="BN2991" s="6">
        <v>0.21099999999999899</v>
      </c>
      <c r="BO2991" s="6">
        <v>5.01</v>
      </c>
      <c r="BQ2991" s="6">
        <v>5.33</v>
      </c>
      <c r="BR2991" s="6">
        <v>1E-3</v>
      </c>
      <c r="BS2991" s="6">
        <v>1.32E-2</v>
      </c>
      <c r="BT2991" s="6">
        <v>4.5400000000000003E-2</v>
      </c>
      <c r="BU2991" s="6">
        <v>1.04</v>
      </c>
      <c r="BV2991" s="6">
        <v>1.1200000000000001</v>
      </c>
      <c r="BW2991" s="6">
        <v>0.48099999999999898</v>
      </c>
      <c r="BX2991" s="6">
        <v>1.35999999999999E-2</v>
      </c>
      <c r="BY2991" s="6">
        <v>7.61</v>
      </c>
      <c r="BZ2991" s="6">
        <v>29.8</v>
      </c>
      <c r="CA2991" s="6">
        <v>3.89</v>
      </c>
      <c r="CC2991" s="6">
        <v>8.2500000000000004E-3</v>
      </c>
      <c r="CD2991" s="6">
        <v>2.09</v>
      </c>
      <c r="CE2991" s="6">
        <v>13.8</v>
      </c>
      <c r="CF2991" s="6">
        <v>1.59</v>
      </c>
      <c r="CG2991" s="6">
        <v>0.56000000000000005</v>
      </c>
      <c r="CH2991" s="6">
        <v>15.7</v>
      </c>
      <c r="CI2991" s="6">
        <v>1E-3</v>
      </c>
      <c r="CJ2991" s="6">
        <v>0.55100000000000005</v>
      </c>
      <c r="CK2991" s="6">
        <v>5.42</v>
      </c>
      <c r="CL2991" s="6">
        <v>0.152</v>
      </c>
      <c r="CM2991" s="6">
        <v>69.7</v>
      </c>
    </row>
    <row r="2992" spans="1:91" x14ac:dyDescent="0.3">
      <c r="A2992" s="6">
        <v>50821</v>
      </c>
      <c r="B2992" s="5" t="s">
        <v>239</v>
      </c>
      <c r="C2992" s="5" t="s">
        <v>236</v>
      </c>
      <c r="D2992" s="2">
        <f t="shared" si="163"/>
        <v>2016</v>
      </c>
      <c r="E2992" s="2">
        <f t="shared" si="164"/>
        <v>4</v>
      </c>
      <c r="F2992" s="3" t="s">
        <v>178</v>
      </c>
      <c r="G2992" s="7">
        <v>42472</v>
      </c>
      <c r="H2992" s="6">
        <v>6593788</v>
      </c>
      <c r="I2992" s="6">
        <v>1624229</v>
      </c>
      <c r="J2992" s="5" t="s">
        <v>189</v>
      </c>
      <c r="K2992" s="1"/>
      <c r="L2992" s="1" t="str">
        <f t="shared" si="165"/>
        <v xml:space="preserve">Rösjön </v>
      </c>
      <c r="M2992" s="5" t="s">
        <v>211</v>
      </c>
      <c r="N2992" s="6">
        <v>1</v>
      </c>
      <c r="O2992" s="6">
        <v>1</v>
      </c>
      <c r="Q2992" s="6">
        <v>8</v>
      </c>
      <c r="R2992" s="6">
        <v>13.5</v>
      </c>
      <c r="S2992" s="6">
        <v>113</v>
      </c>
    </row>
    <row r="2993" spans="1:91" x14ac:dyDescent="0.3">
      <c r="A2993" s="6">
        <v>50822</v>
      </c>
      <c r="B2993" s="5" t="s">
        <v>239</v>
      </c>
      <c r="C2993" s="5" t="s">
        <v>236</v>
      </c>
      <c r="D2993" s="2">
        <f t="shared" si="163"/>
        <v>2016</v>
      </c>
      <c r="E2993" s="2">
        <f t="shared" si="164"/>
        <v>4</v>
      </c>
      <c r="F2993" s="3" t="s">
        <v>178</v>
      </c>
      <c r="G2993" s="7">
        <v>42472</v>
      </c>
      <c r="H2993" s="6">
        <v>6593788</v>
      </c>
      <c r="I2993" s="6">
        <v>1624229</v>
      </c>
      <c r="J2993" s="5" t="s">
        <v>189</v>
      </c>
      <c r="K2993" s="1"/>
      <c r="L2993" s="1" t="str">
        <f t="shared" si="165"/>
        <v xml:space="preserve">Rösjön </v>
      </c>
      <c r="M2993" s="5" t="s">
        <v>212</v>
      </c>
      <c r="N2993" s="6">
        <v>2</v>
      </c>
      <c r="O2993" s="6">
        <v>2</v>
      </c>
      <c r="Q2993" s="6">
        <v>7.8</v>
      </c>
      <c r="R2993" s="6">
        <v>13.5</v>
      </c>
      <c r="S2993" s="6">
        <v>113</v>
      </c>
    </row>
    <row r="2994" spans="1:91" x14ac:dyDescent="0.3">
      <c r="A2994" s="6">
        <v>50823</v>
      </c>
      <c r="B2994" s="5" t="s">
        <v>239</v>
      </c>
      <c r="C2994" s="5" t="s">
        <v>236</v>
      </c>
      <c r="D2994" s="2">
        <f t="shared" si="163"/>
        <v>2016</v>
      </c>
      <c r="E2994" s="2">
        <f t="shared" si="164"/>
        <v>4</v>
      </c>
      <c r="F2994" s="3" t="s">
        <v>178</v>
      </c>
      <c r="G2994" s="7">
        <v>42472</v>
      </c>
      <c r="H2994" s="6">
        <v>6593788</v>
      </c>
      <c r="I2994" s="6">
        <v>1624229</v>
      </c>
      <c r="J2994" s="5" t="s">
        <v>189</v>
      </c>
      <c r="K2994" s="1"/>
      <c r="L2994" s="1" t="str">
        <f t="shared" si="165"/>
        <v xml:space="preserve">Rösjön </v>
      </c>
      <c r="M2994" s="5" t="s">
        <v>213</v>
      </c>
      <c r="N2994" s="6">
        <v>3</v>
      </c>
      <c r="O2994" s="6">
        <v>3</v>
      </c>
      <c r="Q2994" s="6">
        <v>7.6</v>
      </c>
      <c r="R2994" s="6">
        <v>13.4</v>
      </c>
      <c r="S2994" s="6">
        <v>112</v>
      </c>
    </row>
    <row r="2995" spans="1:91" x14ac:dyDescent="0.3">
      <c r="A2995" s="6">
        <v>50824</v>
      </c>
      <c r="B2995" s="5" t="s">
        <v>239</v>
      </c>
      <c r="C2995" s="5" t="s">
        <v>236</v>
      </c>
      <c r="D2995" s="2">
        <f t="shared" si="163"/>
        <v>2016</v>
      </c>
      <c r="E2995" s="2">
        <f t="shared" si="164"/>
        <v>4</v>
      </c>
      <c r="F2995" s="3" t="s">
        <v>178</v>
      </c>
      <c r="G2995" s="7">
        <v>42472</v>
      </c>
      <c r="H2995" s="6">
        <v>6593788</v>
      </c>
      <c r="I2995" s="6">
        <v>1624229</v>
      </c>
      <c r="J2995" s="5" t="s">
        <v>189</v>
      </c>
      <c r="K2995" s="1"/>
      <c r="L2995" s="1" t="str">
        <f t="shared" si="165"/>
        <v xml:space="preserve">Rösjön </v>
      </c>
      <c r="M2995" s="5" t="s">
        <v>214</v>
      </c>
      <c r="N2995" s="6">
        <v>4</v>
      </c>
      <c r="O2995" s="6">
        <v>4</v>
      </c>
      <c r="Q2995" s="6">
        <v>7.2</v>
      </c>
      <c r="R2995" s="6">
        <v>13.1</v>
      </c>
      <c r="S2995" s="6">
        <v>108</v>
      </c>
    </row>
    <row r="2996" spans="1:91" x14ac:dyDescent="0.3">
      <c r="A2996" s="6">
        <v>50825</v>
      </c>
      <c r="B2996" s="5" t="s">
        <v>239</v>
      </c>
      <c r="C2996" s="5" t="s">
        <v>236</v>
      </c>
      <c r="D2996" s="2">
        <f t="shared" si="163"/>
        <v>2016</v>
      </c>
      <c r="E2996" s="2">
        <f t="shared" si="164"/>
        <v>4</v>
      </c>
      <c r="F2996" s="3" t="s">
        <v>178</v>
      </c>
      <c r="G2996" s="7">
        <v>42472</v>
      </c>
      <c r="H2996" s="6">
        <v>6593788</v>
      </c>
      <c r="I2996" s="6">
        <v>1624229</v>
      </c>
      <c r="J2996" s="5" t="s">
        <v>189</v>
      </c>
      <c r="K2996" s="1"/>
      <c r="L2996" s="1" t="str">
        <f t="shared" si="165"/>
        <v xml:space="preserve">Rösjön </v>
      </c>
      <c r="M2996" s="5" t="s">
        <v>217</v>
      </c>
      <c r="N2996" s="6">
        <v>5</v>
      </c>
      <c r="O2996" s="6">
        <v>5</v>
      </c>
      <c r="Q2996" s="6">
        <v>6.8</v>
      </c>
      <c r="R2996" s="6">
        <v>11.8</v>
      </c>
      <c r="S2996" s="6">
        <v>96</v>
      </c>
    </row>
    <row r="2997" spans="1:91" x14ac:dyDescent="0.3">
      <c r="A2997" s="6">
        <v>50826</v>
      </c>
      <c r="B2997" s="5" t="s">
        <v>239</v>
      </c>
      <c r="C2997" s="5" t="s">
        <v>236</v>
      </c>
      <c r="D2997" s="2">
        <f t="shared" si="163"/>
        <v>2016</v>
      </c>
      <c r="E2997" s="2">
        <f t="shared" si="164"/>
        <v>4</v>
      </c>
      <c r="F2997" s="3" t="s">
        <v>178</v>
      </c>
      <c r="G2997" s="7">
        <v>42472</v>
      </c>
      <c r="H2997" s="6">
        <v>6593788</v>
      </c>
      <c r="I2997" s="6">
        <v>1624229</v>
      </c>
      <c r="J2997" s="5" t="s">
        <v>189</v>
      </c>
      <c r="K2997" s="1"/>
      <c r="L2997" s="1" t="str">
        <f t="shared" si="165"/>
        <v xml:space="preserve">Rösjön </v>
      </c>
      <c r="M2997" s="5" t="s">
        <v>218</v>
      </c>
      <c r="N2997" s="6">
        <v>6</v>
      </c>
      <c r="O2997" s="6">
        <v>6</v>
      </c>
      <c r="Q2997" s="6">
        <v>6.7</v>
      </c>
      <c r="R2997" s="6">
        <v>11.5</v>
      </c>
      <c r="S2997" s="6">
        <v>93</v>
      </c>
    </row>
    <row r="2998" spans="1:91" x14ac:dyDescent="0.3">
      <c r="A2998" s="6">
        <v>50827</v>
      </c>
      <c r="B2998" s="5" t="s">
        <v>239</v>
      </c>
      <c r="C2998" s="5" t="s">
        <v>236</v>
      </c>
      <c r="D2998" s="2">
        <f t="shared" si="163"/>
        <v>2016</v>
      </c>
      <c r="E2998" s="2">
        <f t="shared" si="164"/>
        <v>4</v>
      </c>
      <c r="F2998" s="3" t="s">
        <v>178</v>
      </c>
      <c r="G2998" s="7">
        <v>42472</v>
      </c>
      <c r="H2998" s="6">
        <v>6593788</v>
      </c>
      <c r="I2998" s="6">
        <v>1624229</v>
      </c>
      <c r="J2998" s="5" t="s">
        <v>189</v>
      </c>
      <c r="K2998" s="1"/>
      <c r="L2998" s="1" t="str">
        <f t="shared" si="165"/>
        <v xml:space="preserve">Rösjön </v>
      </c>
      <c r="M2998" s="1" t="s">
        <v>184</v>
      </c>
      <c r="Q2998" s="6">
        <v>6.7</v>
      </c>
      <c r="R2998" s="6">
        <v>11.4</v>
      </c>
      <c r="S2998" s="6">
        <v>92</v>
      </c>
    </row>
    <row r="2999" spans="1:91" x14ac:dyDescent="0.3">
      <c r="A2999" s="6">
        <v>50713</v>
      </c>
      <c r="B2999" s="5" t="s">
        <v>239</v>
      </c>
      <c r="C2999" s="5" t="s">
        <v>236</v>
      </c>
      <c r="D2999" s="2">
        <f t="shared" si="163"/>
        <v>2016</v>
      </c>
      <c r="E2999" s="2">
        <f t="shared" si="164"/>
        <v>4</v>
      </c>
      <c r="F2999" s="3" t="s">
        <v>178</v>
      </c>
      <c r="G2999" s="7">
        <v>42472</v>
      </c>
      <c r="H2999" s="6">
        <v>6595016</v>
      </c>
      <c r="I2999" s="6">
        <v>1622944</v>
      </c>
      <c r="J2999" s="5" t="s">
        <v>192</v>
      </c>
      <c r="K2999" s="1"/>
      <c r="L2999" s="1" t="str">
        <f t="shared" si="165"/>
        <v xml:space="preserve">Väsjön </v>
      </c>
      <c r="M2999" s="1" t="s">
        <v>177</v>
      </c>
      <c r="N2999" s="6">
        <v>0.5</v>
      </c>
      <c r="O2999" s="6">
        <v>0.5</v>
      </c>
      <c r="P2999" s="6">
        <v>2.4</v>
      </c>
      <c r="Q2999" s="6">
        <v>8.9</v>
      </c>
      <c r="R2999" s="6">
        <v>10</v>
      </c>
      <c r="S2999" s="6">
        <v>86</v>
      </c>
      <c r="W2999" s="6">
        <v>3.4958</v>
      </c>
      <c r="X2999" s="1">
        <f>W2999 * (1/((10^((0.0901821 + (2729.92 /(273.15 + Q2999)))-AE2999)+1)))</f>
        <v>3.0949323124765345E-2</v>
      </c>
      <c r="Y2999" s="6">
        <v>8.3000000000000004E-2</v>
      </c>
      <c r="Z2999" s="6">
        <v>0.87</v>
      </c>
      <c r="AA2999" s="6">
        <v>1.74</v>
      </c>
      <c r="AD2999" s="6">
        <v>1.34</v>
      </c>
      <c r="AE2999" s="6">
        <v>7.72</v>
      </c>
      <c r="AI2999" s="6">
        <v>12.53</v>
      </c>
      <c r="AJ2999" s="6">
        <v>11.49</v>
      </c>
      <c r="AK2999" s="6">
        <v>22.57</v>
      </c>
      <c r="AL2999" s="6">
        <v>707.44</v>
      </c>
      <c r="AM2999" s="6"/>
      <c r="AN2999" s="6"/>
      <c r="AO2999" s="6"/>
      <c r="AP2999" s="6"/>
      <c r="AQ2999" s="6"/>
      <c r="AR2999" s="6">
        <v>54.3</v>
      </c>
      <c r="AS2999" s="6">
        <v>4.5100000000000001E-2</v>
      </c>
      <c r="AT2999" s="6">
        <v>4.37</v>
      </c>
      <c r="AU2999" s="6">
        <v>6.82</v>
      </c>
      <c r="AW2999" s="6">
        <v>31.6</v>
      </c>
      <c r="AY2999" s="6">
        <v>2.97</v>
      </c>
      <c r="AZ2999" s="6">
        <v>17.600000000000001</v>
      </c>
      <c r="BA2999" s="6">
        <v>0.48</v>
      </c>
      <c r="BB2999" s="6">
        <v>27.4</v>
      </c>
      <c r="BC2999" s="6">
        <v>4.5100000000000001E-3</v>
      </c>
      <c r="BD2999" s="6">
        <v>4.87E-2</v>
      </c>
      <c r="BE2999" s="6">
        <v>0.13700000000000001</v>
      </c>
      <c r="BF2999" s="6">
        <v>0.56000000000000005</v>
      </c>
      <c r="BG2999" s="6">
        <v>1E-3</v>
      </c>
      <c r="BH2999" s="6">
        <v>54.2</v>
      </c>
      <c r="BI2999" s="6">
        <v>0.51800000000000002</v>
      </c>
      <c r="BJ2999" s="6">
        <v>0.40200000000000002</v>
      </c>
      <c r="BK2999" s="6">
        <v>14.4</v>
      </c>
      <c r="BL2999" s="6">
        <v>5.1799999999999902E-2</v>
      </c>
      <c r="BM2999" s="6">
        <v>114</v>
      </c>
      <c r="BN2999" s="6">
        <v>0.18</v>
      </c>
      <c r="BO2999" s="6">
        <v>2.29</v>
      </c>
      <c r="BQ2999" s="6">
        <v>6.67</v>
      </c>
      <c r="BR2999" s="6">
        <v>1E-3</v>
      </c>
      <c r="BS2999" s="6">
        <v>3.3500000000000002E-2</v>
      </c>
      <c r="BT2999" s="6">
        <v>9.4100000000000003E-2</v>
      </c>
      <c r="BU2999" s="6">
        <v>0.57099999999999895</v>
      </c>
      <c r="BV2999" s="6">
        <v>3.84</v>
      </c>
      <c r="BW2999" s="6">
        <v>0.33800000000000002</v>
      </c>
      <c r="BX2999" s="6">
        <v>5.0000000000000001E-3</v>
      </c>
      <c r="BY2999" s="6">
        <v>3.64</v>
      </c>
      <c r="BZ2999" s="6">
        <v>55</v>
      </c>
      <c r="CA2999" s="6">
        <v>6.9</v>
      </c>
      <c r="CC2999" s="6">
        <v>9.4400000000000005E-3</v>
      </c>
      <c r="CD2999" s="6">
        <v>4.38</v>
      </c>
      <c r="CE2999" s="6">
        <v>31.9</v>
      </c>
      <c r="CF2999" s="6">
        <v>2.99</v>
      </c>
      <c r="CG2999" s="6">
        <v>0.502</v>
      </c>
      <c r="CH2999" s="6">
        <v>24.3</v>
      </c>
      <c r="CI2999" s="6">
        <v>1E-3</v>
      </c>
      <c r="CJ2999" s="6">
        <v>0.59199999999999897</v>
      </c>
      <c r="CK2999" s="6">
        <v>6.09</v>
      </c>
      <c r="CL2999" s="6">
        <v>0.126</v>
      </c>
      <c r="CM2999" s="6">
        <v>115</v>
      </c>
    </row>
    <row r="3000" spans="1:91" x14ac:dyDescent="0.3">
      <c r="A3000" s="6">
        <v>50828</v>
      </c>
      <c r="B3000" s="5" t="s">
        <v>239</v>
      </c>
      <c r="C3000" s="5" t="s">
        <v>236</v>
      </c>
      <c r="D3000" s="2">
        <f t="shared" si="163"/>
        <v>2016</v>
      </c>
      <c r="E3000" s="2">
        <f t="shared" si="164"/>
        <v>4</v>
      </c>
      <c r="F3000" s="3" t="s">
        <v>178</v>
      </c>
      <c r="G3000" s="7">
        <v>42472</v>
      </c>
      <c r="H3000" s="6">
        <v>6595016</v>
      </c>
      <c r="I3000" s="6">
        <v>1622944</v>
      </c>
      <c r="J3000" s="5" t="s">
        <v>192</v>
      </c>
      <c r="K3000" s="1"/>
      <c r="L3000" s="1" t="str">
        <f t="shared" si="165"/>
        <v xml:space="preserve">Väsjön </v>
      </c>
      <c r="M3000" s="5" t="s">
        <v>211</v>
      </c>
      <c r="N3000" s="6">
        <v>1</v>
      </c>
      <c r="O3000" s="6">
        <v>1</v>
      </c>
      <c r="Q3000" s="6">
        <v>8.8000000000000007</v>
      </c>
      <c r="R3000" s="6">
        <v>10</v>
      </c>
      <c r="S3000" s="6">
        <v>85</v>
      </c>
    </row>
    <row r="3001" spans="1:91" x14ac:dyDescent="0.3">
      <c r="A3001" s="6">
        <v>50829</v>
      </c>
      <c r="B3001" s="5" t="s">
        <v>239</v>
      </c>
      <c r="C3001" s="5" t="s">
        <v>236</v>
      </c>
      <c r="D3001" s="2">
        <f t="shared" si="163"/>
        <v>2016</v>
      </c>
      <c r="E3001" s="2">
        <f t="shared" si="164"/>
        <v>4</v>
      </c>
      <c r="F3001" s="3" t="s">
        <v>178</v>
      </c>
      <c r="G3001" s="7">
        <v>42472</v>
      </c>
      <c r="H3001" s="6">
        <v>6595016</v>
      </c>
      <c r="I3001" s="6">
        <v>1622944</v>
      </c>
      <c r="J3001" s="5" t="s">
        <v>192</v>
      </c>
      <c r="K3001" s="1"/>
      <c r="L3001" s="1" t="str">
        <f t="shared" si="165"/>
        <v xml:space="preserve">Väsjön </v>
      </c>
      <c r="M3001" s="5" t="s">
        <v>212</v>
      </c>
      <c r="N3001" s="6">
        <v>2</v>
      </c>
      <c r="O3001" s="6">
        <v>2</v>
      </c>
      <c r="Q3001" s="6">
        <v>8.4</v>
      </c>
      <c r="R3001" s="6">
        <v>9.4</v>
      </c>
      <c r="S3001" s="6">
        <v>80</v>
      </c>
    </row>
    <row r="3002" spans="1:91" x14ac:dyDescent="0.3">
      <c r="A3002" s="6">
        <v>50830</v>
      </c>
      <c r="B3002" s="5" t="s">
        <v>239</v>
      </c>
      <c r="C3002" s="5" t="s">
        <v>236</v>
      </c>
      <c r="D3002" s="2">
        <f t="shared" si="163"/>
        <v>2016</v>
      </c>
      <c r="E3002" s="2">
        <f t="shared" si="164"/>
        <v>4</v>
      </c>
      <c r="F3002" s="3" t="s">
        <v>178</v>
      </c>
      <c r="G3002" s="7">
        <v>42472</v>
      </c>
      <c r="H3002" s="6">
        <v>6595016</v>
      </c>
      <c r="I3002" s="6">
        <v>1622944</v>
      </c>
      <c r="J3002" s="5" t="s">
        <v>192</v>
      </c>
      <c r="K3002" s="1"/>
      <c r="L3002" s="1" t="str">
        <f t="shared" si="165"/>
        <v xml:space="preserve">Väsjön </v>
      </c>
      <c r="M3002" s="1" t="s">
        <v>184</v>
      </c>
      <c r="Q3002" s="6">
        <v>8.3000000000000007</v>
      </c>
      <c r="R3002" s="6">
        <v>8.5</v>
      </c>
      <c r="S3002" s="6">
        <v>71</v>
      </c>
    </row>
    <row r="3003" spans="1:91" x14ac:dyDescent="0.3">
      <c r="A3003" s="1">
        <v>50772</v>
      </c>
      <c r="B3003" s="1" t="s">
        <v>237</v>
      </c>
      <c r="C3003" s="1" t="s">
        <v>209</v>
      </c>
      <c r="D3003" s="2">
        <f t="shared" si="163"/>
        <v>2016</v>
      </c>
      <c r="E3003" s="2">
        <f t="shared" si="164"/>
        <v>4</v>
      </c>
      <c r="F3003" s="3" t="s">
        <v>178</v>
      </c>
      <c r="G3003" s="4">
        <v>42473</v>
      </c>
      <c r="H3003" s="1">
        <v>6600935</v>
      </c>
      <c r="I3003" s="1">
        <v>1626764</v>
      </c>
      <c r="J3003" s="1" t="s">
        <v>191</v>
      </c>
      <c r="K3003" s="1" t="s">
        <v>210</v>
      </c>
      <c r="L3003" s="1" t="str">
        <f t="shared" si="165"/>
        <v>Vallentunasjön Va2</v>
      </c>
      <c r="M3003" s="1" t="s">
        <v>177</v>
      </c>
      <c r="N3003" s="1">
        <v>0.5</v>
      </c>
      <c r="O3003" s="1">
        <v>0.5</v>
      </c>
      <c r="P3003" s="1">
        <v>1.4</v>
      </c>
      <c r="Q3003" s="1">
        <v>10.4</v>
      </c>
      <c r="R3003" s="1">
        <v>15.4</v>
      </c>
      <c r="S3003" s="1">
        <v>139</v>
      </c>
    </row>
    <row r="3004" spans="1:91" x14ac:dyDescent="0.3">
      <c r="A3004" s="1">
        <v>50773</v>
      </c>
      <c r="B3004" s="1" t="s">
        <v>237</v>
      </c>
      <c r="C3004" s="1" t="s">
        <v>209</v>
      </c>
      <c r="D3004" s="2">
        <f t="shared" si="163"/>
        <v>2016</v>
      </c>
      <c r="E3004" s="2">
        <f t="shared" si="164"/>
        <v>4</v>
      </c>
      <c r="F3004" s="3" t="s">
        <v>178</v>
      </c>
      <c r="G3004" s="4">
        <v>42473</v>
      </c>
      <c r="H3004" s="1">
        <v>6600935</v>
      </c>
      <c r="I3004" s="1">
        <v>1626764</v>
      </c>
      <c r="J3004" s="1" t="s">
        <v>191</v>
      </c>
      <c r="K3004" s="1" t="s">
        <v>210</v>
      </c>
      <c r="L3004" s="1" t="str">
        <f t="shared" si="165"/>
        <v>Vallentunasjön Va2</v>
      </c>
      <c r="M3004" s="1" t="s">
        <v>211</v>
      </c>
      <c r="N3004" s="1">
        <v>1</v>
      </c>
      <c r="O3004" s="1">
        <v>1</v>
      </c>
      <c r="Q3004" s="1">
        <v>9.6</v>
      </c>
      <c r="R3004" s="1">
        <v>15.7</v>
      </c>
      <c r="S3004" s="1">
        <v>138</v>
      </c>
    </row>
    <row r="3005" spans="1:91" x14ac:dyDescent="0.3">
      <c r="A3005" s="1">
        <v>50774</v>
      </c>
      <c r="B3005" s="1" t="s">
        <v>237</v>
      </c>
      <c r="C3005" s="1" t="s">
        <v>209</v>
      </c>
      <c r="D3005" s="2">
        <f t="shared" si="163"/>
        <v>2016</v>
      </c>
      <c r="E3005" s="2">
        <f t="shared" si="164"/>
        <v>4</v>
      </c>
      <c r="F3005" s="3" t="s">
        <v>178</v>
      </c>
      <c r="G3005" s="4">
        <v>42473</v>
      </c>
      <c r="H3005" s="1">
        <v>6600935</v>
      </c>
      <c r="I3005" s="1">
        <v>1626764</v>
      </c>
      <c r="J3005" s="1" t="s">
        <v>191</v>
      </c>
      <c r="K3005" s="1" t="s">
        <v>210</v>
      </c>
      <c r="L3005" s="1" t="str">
        <f t="shared" si="165"/>
        <v>Vallentunasjön Va2</v>
      </c>
      <c r="M3005" s="1" t="s">
        <v>212</v>
      </c>
      <c r="N3005" s="1">
        <v>2</v>
      </c>
      <c r="O3005" s="1">
        <v>2</v>
      </c>
      <c r="Q3005" s="1">
        <v>9</v>
      </c>
      <c r="R3005" s="1">
        <v>15</v>
      </c>
      <c r="S3005" s="1">
        <v>130</v>
      </c>
    </row>
    <row r="3006" spans="1:91" x14ac:dyDescent="0.3">
      <c r="A3006" s="1">
        <v>50775</v>
      </c>
      <c r="B3006" s="1" t="s">
        <v>237</v>
      </c>
      <c r="C3006" s="1" t="s">
        <v>209</v>
      </c>
      <c r="D3006" s="2">
        <f t="shared" si="163"/>
        <v>2016</v>
      </c>
      <c r="E3006" s="2">
        <f t="shared" si="164"/>
        <v>4</v>
      </c>
      <c r="F3006" s="3" t="s">
        <v>178</v>
      </c>
      <c r="G3006" s="4">
        <v>42473</v>
      </c>
      <c r="H3006" s="1">
        <v>6600935</v>
      </c>
      <c r="I3006" s="1">
        <v>1626764</v>
      </c>
      <c r="J3006" s="1" t="s">
        <v>191</v>
      </c>
      <c r="K3006" s="1" t="s">
        <v>210</v>
      </c>
      <c r="L3006" s="1" t="str">
        <f t="shared" si="165"/>
        <v>Vallentunasjön Va2</v>
      </c>
      <c r="M3006" s="1" t="s">
        <v>213</v>
      </c>
      <c r="N3006" s="1">
        <v>3</v>
      </c>
      <c r="O3006" s="1">
        <v>3</v>
      </c>
      <c r="Q3006" s="1">
        <v>8.6999999999999993</v>
      </c>
      <c r="R3006" s="1">
        <v>14.7</v>
      </c>
      <c r="S3006" s="1">
        <v>126</v>
      </c>
    </row>
    <row r="3007" spans="1:91" x14ac:dyDescent="0.3">
      <c r="A3007" s="1">
        <v>50776</v>
      </c>
      <c r="B3007" s="1" t="s">
        <v>237</v>
      </c>
      <c r="C3007" s="1" t="s">
        <v>209</v>
      </c>
      <c r="D3007" s="2">
        <f t="shared" si="163"/>
        <v>2016</v>
      </c>
      <c r="E3007" s="2">
        <f t="shared" si="164"/>
        <v>4</v>
      </c>
      <c r="F3007" s="3" t="s">
        <v>178</v>
      </c>
      <c r="G3007" s="4">
        <v>42473</v>
      </c>
      <c r="H3007" s="1">
        <v>6600935</v>
      </c>
      <c r="I3007" s="1">
        <v>1626764</v>
      </c>
      <c r="J3007" s="1" t="s">
        <v>191</v>
      </c>
      <c r="K3007" s="1" t="s">
        <v>210</v>
      </c>
      <c r="L3007" s="1" t="str">
        <f t="shared" si="165"/>
        <v>Vallentunasjön Va2</v>
      </c>
      <c r="M3007" s="1" t="s">
        <v>214</v>
      </c>
      <c r="N3007" s="1">
        <v>4</v>
      </c>
      <c r="O3007" s="1">
        <v>4</v>
      </c>
      <c r="Q3007" s="1">
        <v>8.1</v>
      </c>
      <c r="R3007" s="1">
        <v>12.3</v>
      </c>
      <c r="S3007" s="1">
        <v>105</v>
      </c>
    </row>
    <row r="3008" spans="1:91" x14ac:dyDescent="0.3">
      <c r="A3008" s="1">
        <v>50777</v>
      </c>
      <c r="B3008" s="1" t="s">
        <v>237</v>
      </c>
      <c r="C3008" s="1" t="s">
        <v>209</v>
      </c>
      <c r="D3008" s="2">
        <f t="shared" si="163"/>
        <v>2016</v>
      </c>
      <c r="E3008" s="2">
        <f t="shared" si="164"/>
        <v>4</v>
      </c>
      <c r="F3008" s="3" t="s">
        <v>178</v>
      </c>
      <c r="G3008" s="4">
        <v>42473</v>
      </c>
      <c r="H3008" s="1">
        <v>6600935</v>
      </c>
      <c r="I3008" s="1">
        <v>1626764</v>
      </c>
      <c r="J3008" s="1" t="s">
        <v>191</v>
      </c>
      <c r="K3008" s="1" t="s">
        <v>210</v>
      </c>
      <c r="L3008" s="1" t="str">
        <f t="shared" si="165"/>
        <v>Vallentunasjön Va2</v>
      </c>
      <c r="M3008" s="1" t="s">
        <v>184</v>
      </c>
      <c r="Q3008" s="1">
        <v>7.6</v>
      </c>
      <c r="R3008" s="1">
        <v>10.1</v>
      </c>
      <c r="S3008" s="1">
        <v>85</v>
      </c>
    </row>
    <row r="3009" spans="1:52" x14ac:dyDescent="0.3">
      <c r="A3009" s="1">
        <v>50778</v>
      </c>
      <c r="B3009" s="1" t="s">
        <v>237</v>
      </c>
      <c r="C3009" s="1" t="s">
        <v>209</v>
      </c>
      <c r="D3009" s="2">
        <f t="shared" si="163"/>
        <v>2016</v>
      </c>
      <c r="E3009" s="2">
        <f t="shared" si="164"/>
        <v>4</v>
      </c>
      <c r="F3009" s="3" t="s">
        <v>178</v>
      </c>
      <c r="G3009" s="4">
        <v>42473</v>
      </c>
      <c r="J3009" s="1" t="s">
        <v>191</v>
      </c>
      <c r="K3009" s="1" t="s">
        <v>206</v>
      </c>
      <c r="L3009" s="1" t="str">
        <f t="shared" si="165"/>
        <v>Vallentunasjön Blandprov</v>
      </c>
      <c r="M3009" s="1" t="s">
        <v>177</v>
      </c>
      <c r="N3009" s="1">
        <v>4</v>
      </c>
      <c r="O3009" s="1">
        <v>0</v>
      </c>
      <c r="W3009" s="1">
        <v>2.2538999999999998</v>
      </c>
      <c r="Z3009" s="1">
        <v>0</v>
      </c>
      <c r="AB3009" s="1">
        <v>33.823439999999998</v>
      </c>
      <c r="AD3009" s="1">
        <v>86.78</v>
      </c>
      <c r="AG3009" s="1">
        <v>10.4</v>
      </c>
      <c r="AK3009" s="1">
        <v>31.23</v>
      </c>
      <c r="AL3009" s="1">
        <v>1050.52</v>
      </c>
    </row>
    <row r="3010" spans="1:52" x14ac:dyDescent="0.3">
      <c r="A3010" s="1">
        <v>51201</v>
      </c>
      <c r="B3010" s="1" t="s">
        <v>237</v>
      </c>
      <c r="C3010" s="1" t="s">
        <v>209</v>
      </c>
      <c r="D3010" s="2">
        <f t="shared" ref="D3010:D3073" si="166">YEAR(G3010)</f>
        <v>2016</v>
      </c>
      <c r="E3010" s="2">
        <f t="shared" ref="E3010:E3073" si="167">MONTH(G3010)</f>
        <v>4</v>
      </c>
      <c r="F3010" s="3" t="s">
        <v>178</v>
      </c>
      <c r="G3010" s="4">
        <v>42485</v>
      </c>
      <c r="H3010" s="1">
        <v>6600935</v>
      </c>
      <c r="I3010" s="1">
        <v>1626764</v>
      </c>
      <c r="J3010" s="1" t="s">
        <v>191</v>
      </c>
      <c r="K3010" s="1" t="s">
        <v>210</v>
      </c>
      <c r="L3010" s="1" t="str">
        <f t="shared" ref="L3010:L3073" si="168">CONCATENATE(J3010," ",K3010)</f>
        <v>Vallentunasjön Va2</v>
      </c>
      <c r="M3010" s="1" t="s">
        <v>177</v>
      </c>
      <c r="N3010" s="1">
        <v>0.5</v>
      </c>
      <c r="O3010" s="1">
        <v>0.5</v>
      </c>
      <c r="P3010" s="1">
        <v>0.9</v>
      </c>
      <c r="Q3010" s="1">
        <v>8.5</v>
      </c>
      <c r="R3010" s="1">
        <v>12.5</v>
      </c>
      <c r="S3010" s="1">
        <v>108</v>
      </c>
    </row>
    <row r="3011" spans="1:52" x14ac:dyDescent="0.3">
      <c r="A3011" s="1">
        <v>51202</v>
      </c>
      <c r="B3011" s="1" t="s">
        <v>237</v>
      </c>
      <c r="C3011" s="1" t="s">
        <v>209</v>
      </c>
      <c r="D3011" s="2">
        <f t="shared" si="166"/>
        <v>2016</v>
      </c>
      <c r="E3011" s="2">
        <f t="shared" si="167"/>
        <v>4</v>
      </c>
      <c r="F3011" s="3" t="s">
        <v>178</v>
      </c>
      <c r="G3011" s="4">
        <v>42485</v>
      </c>
      <c r="H3011" s="1">
        <v>6600935</v>
      </c>
      <c r="I3011" s="1">
        <v>1626764</v>
      </c>
      <c r="J3011" s="1" t="s">
        <v>191</v>
      </c>
      <c r="K3011" s="1" t="s">
        <v>210</v>
      </c>
      <c r="L3011" s="1" t="str">
        <f t="shared" si="168"/>
        <v>Vallentunasjön Va2</v>
      </c>
      <c r="M3011" s="1" t="s">
        <v>211</v>
      </c>
      <c r="N3011" s="1">
        <v>1</v>
      </c>
      <c r="O3011" s="1">
        <v>1</v>
      </c>
      <c r="Q3011" s="1">
        <v>8.5</v>
      </c>
      <c r="R3011" s="1">
        <v>12.5</v>
      </c>
      <c r="S3011" s="1">
        <v>108</v>
      </c>
    </row>
    <row r="3012" spans="1:52" x14ac:dyDescent="0.3">
      <c r="A3012" s="1">
        <v>51203</v>
      </c>
      <c r="B3012" s="1" t="s">
        <v>237</v>
      </c>
      <c r="C3012" s="1" t="s">
        <v>209</v>
      </c>
      <c r="D3012" s="2">
        <f t="shared" si="166"/>
        <v>2016</v>
      </c>
      <c r="E3012" s="2">
        <f t="shared" si="167"/>
        <v>4</v>
      </c>
      <c r="F3012" s="3" t="s">
        <v>178</v>
      </c>
      <c r="G3012" s="4">
        <v>42485</v>
      </c>
      <c r="H3012" s="1">
        <v>6600935</v>
      </c>
      <c r="I3012" s="1">
        <v>1626764</v>
      </c>
      <c r="J3012" s="1" t="s">
        <v>191</v>
      </c>
      <c r="K3012" s="1" t="s">
        <v>210</v>
      </c>
      <c r="L3012" s="1" t="str">
        <f t="shared" si="168"/>
        <v>Vallentunasjön Va2</v>
      </c>
      <c r="M3012" s="1" t="s">
        <v>212</v>
      </c>
      <c r="N3012" s="1">
        <v>2</v>
      </c>
      <c r="O3012" s="1">
        <v>2</v>
      </c>
      <c r="Q3012" s="1">
        <v>8.5</v>
      </c>
      <c r="R3012" s="1">
        <v>12.5</v>
      </c>
      <c r="S3012" s="1">
        <v>108</v>
      </c>
    </row>
    <row r="3013" spans="1:52" x14ac:dyDescent="0.3">
      <c r="A3013" s="1">
        <v>51204</v>
      </c>
      <c r="B3013" s="1" t="s">
        <v>237</v>
      </c>
      <c r="C3013" s="1" t="s">
        <v>209</v>
      </c>
      <c r="D3013" s="2">
        <f t="shared" si="166"/>
        <v>2016</v>
      </c>
      <c r="E3013" s="2">
        <f t="shared" si="167"/>
        <v>4</v>
      </c>
      <c r="F3013" s="3" t="s">
        <v>178</v>
      </c>
      <c r="G3013" s="4">
        <v>42485</v>
      </c>
      <c r="H3013" s="1">
        <v>6600935</v>
      </c>
      <c r="I3013" s="1">
        <v>1626764</v>
      </c>
      <c r="J3013" s="1" t="s">
        <v>191</v>
      </c>
      <c r="K3013" s="1" t="s">
        <v>210</v>
      </c>
      <c r="L3013" s="1" t="str">
        <f t="shared" si="168"/>
        <v>Vallentunasjön Va2</v>
      </c>
      <c r="M3013" s="1" t="s">
        <v>213</v>
      </c>
      <c r="N3013" s="1">
        <v>3</v>
      </c>
      <c r="O3013" s="1">
        <v>3</v>
      </c>
      <c r="Q3013" s="1">
        <v>8.5</v>
      </c>
      <c r="R3013" s="1">
        <v>12.5</v>
      </c>
      <c r="S3013" s="1">
        <v>107</v>
      </c>
    </row>
    <row r="3014" spans="1:52" x14ac:dyDescent="0.3">
      <c r="A3014" s="1">
        <v>51205</v>
      </c>
      <c r="B3014" s="1" t="s">
        <v>237</v>
      </c>
      <c r="C3014" s="1" t="s">
        <v>209</v>
      </c>
      <c r="D3014" s="2">
        <f t="shared" si="166"/>
        <v>2016</v>
      </c>
      <c r="E3014" s="2">
        <f t="shared" si="167"/>
        <v>4</v>
      </c>
      <c r="F3014" s="3" t="s">
        <v>178</v>
      </c>
      <c r="G3014" s="4">
        <v>42485</v>
      </c>
      <c r="H3014" s="1">
        <v>6600935</v>
      </c>
      <c r="I3014" s="1">
        <v>1626764</v>
      </c>
      <c r="J3014" s="1" t="s">
        <v>191</v>
      </c>
      <c r="K3014" s="1" t="s">
        <v>210</v>
      </c>
      <c r="L3014" s="1" t="str">
        <f t="shared" si="168"/>
        <v>Vallentunasjön Va2</v>
      </c>
      <c r="M3014" s="1" t="s">
        <v>214</v>
      </c>
      <c r="N3014" s="1">
        <v>4</v>
      </c>
      <c r="O3014" s="1">
        <v>4</v>
      </c>
      <c r="Q3014" s="1">
        <v>8.5</v>
      </c>
      <c r="R3014" s="1">
        <v>12.4</v>
      </c>
      <c r="S3014" s="1">
        <v>106</v>
      </c>
    </row>
    <row r="3015" spans="1:52" x14ac:dyDescent="0.3">
      <c r="A3015" s="1">
        <v>51206</v>
      </c>
      <c r="B3015" s="1" t="s">
        <v>237</v>
      </c>
      <c r="C3015" s="1" t="s">
        <v>209</v>
      </c>
      <c r="D3015" s="2">
        <f t="shared" si="166"/>
        <v>2016</v>
      </c>
      <c r="E3015" s="2">
        <f t="shared" si="167"/>
        <v>4</v>
      </c>
      <c r="F3015" s="3" t="s">
        <v>178</v>
      </c>
      <c r="G3015" s="4">
        <v>42485</v>
      </c>
      <c r="H3015" s="1">
        <v>6600935</v>
      </c>
      <c r="I3015" s="1">
        <v>1626764</v>
      </c>
      <c r="J3015" s="1" t="s">
        <v>191</v>
      </c>
      <c r="K3015" s="1" t="s">
        <v>210</v>
      </c>
      <c r="L3015" s="1" t="str">
        <f t="shared" si="168"/>
        <v>Vallentunasjön Va2</v>
      </c>
      <c r="M3015" s="1" t="s">
        <v>184</v>
      </c>
      <c r="Q3015" s="1">
        <v>8.5</v>
      </c>
      <c r="R3015" s="1">
        <v>12.1</v>
      </c>
      <c r="S3015" s="1">
        <v>104</v>
      </c>
    </row>
    <row r="3016" spans="1:52" x14ac:dyDescent="0.3">
      <c r="A3016" s="1">
        <v>51207</v>
      </c>
      <c r="B3016" s="1" t="s">
        <v>237</v>
      </c>
      <c r="C3016" s="1" t="s">
        <v>209</v>
      </c>
      <c r="D3016" s="2">
        <f t="shared" si="166"/>
        <v>2016</v>
      </c>
      <c r="E3016" s="2">
        <f t="shared" si="167"/>
        <v>4</v>
      </c>
      <c r="F3016" s="3" t="s">
        <v>178</v>
      </c>
      <c r="G3016" s="4">
        <v>42485</v>
      </c>
      <c r="J3016" s="1" t="s">
        <v>191</v>
      </c>
      <c r="K3016" s="1" t="s">
        <v>206</v>
      </c>
      <c r="L3016" s="1" t="str">
        <f t="shared" si="168"/>
        <v>Vallentunasjön Blandprov</v>
      </c>
      <c r="M3016" s="1" t="s">
        <v>177</v>
      </c>
      <c r="N3016" s="1">
        <v>4</v>
      </c>
      <c r="O3016" s="1">
        <v>0</v>
      </c>
      <c r="W3016" s="1">
        <v>0.20519999999999999</v>
      </c>
      <c r="Z3016" s="1">
        <v>3.54</v>
      </c>
      <c r="AB3016" s="1">
        <v>27.964649999999999</v>
      </c>
      <c r="AD3016" s="1">
        <v>0.35</v>
      </c>
      <c r="AG3016" s="1">
        <v>12.333333333000001</v>
      </c>
      <c r="AK3016" s="1">
        <v>42</v>
      </c>
      <c r="AL3016" s="1">
        <v>1006.83</v>
      </c>
    </row>
    <row r="3017" spans="1:52" x14ac:dyDescent="0.3">
      <c r="D3017" s="2">
        <f t="shared" si="166"/>
        <v>2016</v>
      </c>
      <c r="E3017" s="2">
        <f t="shared" si="167"/>
        <v>4</v>
      </c>
      <c r="F3017" s="3" t="s">
        <v>178</v>
      </c>
      <c r="G3017" s="4">
        <v>42486</v>
      </c>
      <c r="J3017" s="1" t="s">
        <v>181</v>
      </c>
      <c r="K3017" s="1"/>
      <c r="L3017" s="1" t="str">
        <f t="shared" si="168"/>
        <v xml:space="preserve">Fysingen </v>
      </c>
      <c r="M3017" s="1" t="s">
        <v>177</v>
      </c>
      <c r="N3017" s="1">
        <v>0.5</v>
      </c>
      <c r="O3017" s="1">
        <v>0.5</v>
      </c>
      <c r="P3017" s="1">
        <v>1.6</v>
      </c>
      <c r="Q3017" s="1">
        <v>8.4</v>
      </c>
      <c r="R3017" s="1">
        <v>11.86</v>
      </c>
      <c r="V3017" s="1">
        <v>2.274</v>
      </c>
      <c r="W3017" s="1">
        <v>7</v>
      </c>
      <c r="X3017" s="1">
        <f>W3017 * (1/((10^((0.0901821 + (2729.92 /(273.15 + Q3017)))-AE3017)+1)))</f>
        <v>0.11789607498161965</v>
      </c>
      <c r="Y3017" s="1">
        <v>4.8000000000000001E-2</v>
      </c>
      <c r="Z3017" s="1">
        <v>2</v>
      </c>
      <c r="AA3017" s="1">
        <v>3.3</v>
      </c>
      <c r="AB3017" s="1">
        <v>7.6</v>
      </c>
      <c r="AC3017" s="1">
        <v>47</v>
      </c>
      <c r="AD3017" s="1">
        <v>406</v>
      </c>
      <c r="AE3017" s="1">
        <v>8.02</v>
      </c>
      <c r="AI3017" s="1">
        <v>9.5</v>
      </c>
      <c r="AK3017" s="1">
        <v>29.1</v>
      </c>
      <c r="AL3017" s="1">
        <v>979</v>
      </c>
      <c r="AR3017" s="1">
        <v>56</v>
      </c>
      <c r="AS3017" s="1">
        <v>0.14000000000000001</v>
      </c>
      <c r="AT3017" s="1">
        <v>5.4740000000000011</v>
      </c>
      <c r="AU3017" s="1">
        <v>9.9219999999999988</v>
      </c>
      <c r="AV3017" s="1">
        <v>32.188600000000001</v>
      </c>
      <c r="AW3017" s="1">
        <v>22.94</v>
      </c>
      <c r="AX3017" s="1">
        <v>67.27</v>
      </c>
      <c r="AY3017" s="1">
        <v>5</v>
      </c>
      <c r="AZ3017" s="1">
        <v>110</v>
      </c>
    </row>
    <row r="3018" spans="1:52" x14ac:dyDescent="0.3">
      <c r="A3018" s="1">
        <v>51354</v>
      </c>
      <c r="B3018" s="1" t="s">
        <v>237</v>
      </c>
      <c r="C3018" s="1" t="s">
        <v>209</v>
      </c>
      <c r="D3018" s="2">
        <f t="shared" si="166"/>
        <v>2016</v>
      </c>
      <c r="E3018" s="2">
        <f t="shared" si="167"/>
        <v>5</v>
      </c>
      <c r="F3018" s="3" t="s">
        <v>178</v>
      </c>
      <c r="G3018" s="4">
        <v>42500</v>
      </c>
      <c r="H3018" s="1">
        <v>6600935</v>
      </c>
      <c r="I3018" s="1">
        <v>1626764</v>
      </c>
      <c r="J3018" s="1" t="s">
        <v>191</v>
      </c>
      <c r="K3018" s="1" t="s">
        <v>210</v>
      </c>
      <c r="L3018" s="1" t="str">
        <f t="shared" si="168"/>
        <v>Vallentunasjön Va2</v>
      </c>
      <c r="M3018" s="1" t="s">
        <v>177</v>
      </c>
      <c r="N3018" s="1">
        <v>0.5</v>
      </c>
      <c r="O3018" s="1">
        <v>0.5</v>
      </c>
      <c r="P3018" s="1">
        <v>1.1000000000000001</v>
      </c>
      <c r="Q3018" s="1">
        <v>17.2</v>
      </c>
      <c r="R3018" s="1">
        <v>12</v>
      </c>
      <c r="S3018" s="1">
        <v>124</v>
      </c>
    </row>
    <row r="3019" spans="1:52" x14ac:dyDescent="0.3">
      <c r="A3019" s="1">
        <v>51355</v>
      </c>
      <c r="B3019" s="1" t="s">
        <v>237</v>
      </c>
      <c r="C3019" s="1" t="s">
        <v>209</v>
      </c>
      <c r="D3019" s="2">
        <f t="shared" si="166"/>
        <v>2016</v>
      </c>
      <c r="E3019" s="2">
        <f t="shared" si="167"/>
        <v>5</v>
      </c>
      <c r="F3019" s="3" t="s">
        <v>178</v>
      </c>
      <c r="G3019" s="4">
        <v>42500</v>
      </c>
      <c r="H3019" s="1">
        <v>6600935</v>
      </c>
      <c r="I3019" s="1">
        <v>1626764</v>
      </c>
      <c r="J3019" s="1" t="s">
        <v>191</v>
      </c>
      <c r="K3019" s="1" t="s">
        <v>210</v>
      </c>
      <c r="L3019" s="1" t="str">
        <f t="shared" si="168"/>
        <v>Vallentunasjön Va2</v>
      </c>
      <c r="M3019" s="1" t="s">
        <v>211</v>
      </c>
      <c r="N3019" s="1">
        <v>1</v>
      </c>
      <c r="O3019" s="1">
        <v>1</v>
      </c>
      <c r="Q3019" s="1">
        <v>17.2</v>
      </c>
      <c r="R3019" s="1">
        <v>12</v>
      </c>
      <c r="S3019" s="1">
        <v>125</v>
      </c>
    </row>
    <row r="3020" spans="1:52" x14ac:dyDescent="0.3">
      <c r="A3020" s="1">
        <v>51356</v>
      </c>
      <c r="B3020" s="1" t="s">
        <v>237</v>
      </c>
      <c r="C3020" s="1" t="s">
        <v>209</v>
      </c>
      <c r="D3020" s="2">
        <f t="shared" si="166"/>
        <v>2016</v>
      </c>
      <c r="E3020" s="2">
        <f t="shared" si="167"/>
        <v>5</v>
      </c>
      <c r="F3020" s="3" t="s">
        <v>178</v>
      </c>
      <c r="G3020" s="4">
        <v>42500</v>
      </c>
      <c r="H3020" s="1">
        <v>6600935</v>
      </c>
      <c r="I3020" s="1">
        <v>1626764</v>
      </c>
      <c r="J3020" s="1" t="s">
        <v>191</v>
      </c>
      <c r="K3020" s="1" t="s">
        <v>210</v>
      </c>
      <c r="L3020" s="1" t="str">
        <f t="shared" si="168"/>
        <v>Vallentunasjön Va2</v>
      </c>
      <c r="M3020" s="1" t="s">
        <v>212</v>
      </c>
      <c r="N3020" s="1">
        <v>2</v>
      </c>
      <c r="O3020" s="1">
        <v>2</v>
      </c>
      <c r="Q3020" s="1">
        <v>17.100000000000001</v>
      </c>
      <c r="R3020" s="1">
        <v>12</v>
      </c>
      <c r="S3020" s="1">
        <v>124</v>
      </c>
    </row>
    <row r="3021" spans="1:52" x14ac:dyDescent="0.3">
      <c r="A3021" s="1">
        <v>51357</v>
      </c>
      <c r="B3021" s="1" t="s">
        <v>237</v>
      </c>
      <c r="C3021" s="1" t="s">
        <v>209</v>
      </c>
      <c r="D3021" s="2">
        <f t="shared" si="166"/>
        <v>2016</v>
      </c>
      <c r="E3021" s="2">
        <f t="shared" si="167"/>
        <v>5</v>
      </c>
      <c r="F3021" s="3" t="s">
        <v>178</v>
      </c>
      <c r="G3021" s="4">
        <v>42500</v>
      </c>
      <c r="H3021" s="1">
        <v>6600935</v>
      </c>
      <c r="I3021" s="1">
        <v>1626764</v>
      </c>
      <c r="J3021" s="1" t="s">
        <v>191</v>
      </c>
      <c r="K3021" s="1" t="s">
        <v>210</v>
      </c>
      <c r="L3021" s="1" t="str">
        <f t="shared" si="168"/>
        <v>Vallentunasjön Va2</v>
      </c>
      <c r="M3021" s="1" t="s">
        <v>213</v>
      </c>
      <c r="N3021" s="1">
        <v>3</v>
      </c>
      <c r="O3021" s="1">
        <v>3</v>
      </c>
      <c r="Q3021" s="1">
        <v>16.899999999999999</v>
      </c>
      <c r="R3021" s="1">
        <v>11.8</v>
      </c>
      <c r="S3021" s="1">
        <v>119</v>
      </c>
    </row>
    <row r="3022" spans="1:52" x14ac:dyDescent="0.3">
      <c r="A3022" s="1">
        <v>51358</v>
      </c>
      <c r="B3022" s="1" t="s">
        <v>237</v>
      </c>
      <c r="C3022" s="1" t="s">
        <v>209</v>
      </c>
      <c r="D3022" s="2">
        <f t="shared" si="166"/>
        <v>2016</v>
      </c>
      <c r="E3022" s="2">
        <f t="shared" si="167"/>
        <v>5</v>
      </c>
      <c r="F3022" s="3" t="s">
        <v>178</v>
      </c>
      <c r="G3022" s="4">
        <v>42500</v>
      </c>
      <c r="H3022" s="1">
        <v>6600935</v>
      </c>
      <c r="I3022" s="1">
        <v>1626764</v>
      </c>
      <c r="J3022" s="1" t="s">
        <v>191</v>
      </c>
      <c r="K3022" s="1" t="s">
        <v>210</v>
      </c>
      <c r="L3022" s="1" t="str">
        <f t="shared" si="168"/>
        <v>Vallentunasjön Va2</v>
      </c>
      <c r="M3022" s="1" t="s">
        <v>214</v>
      </c>
      <c r="N3022" s="1">
        <v>4</v>
      </c>
      <c r="O3022" s="1">
        <v>4</v>
      </c>
      <c r="Q3022" s="1">
        <v>13.7</v>
      </c>
      <c r="R3022" s="1">
        <v>7.7</v>
      </c>
      <c r="S3022" s="1">
        <v>74</v>
      </c>
    </row>
    <row r="3023" spans="1:52" x14ac:dyDescent="0.3">
      <c r="A3023" s="1">
        <v>51359</v>
      </c>
      <c r="B3023" s="1" t="s">
        <v>237</v>
      </c>
      <c r="C3023" s="1" t="s">
        <v>209</v>
      </c>
      <c r="D3023" s="2">
        <f t="shared" si="166"/>
        <v>2016</v>
      </c>
      <c r="E3023" s="2">
        <f t="shared" si="167"/>
        <v>5</v>
      </c>
      <c r="F3023" s="3" t="s">
        <v>178</v>
      </c>
      <c r="G3023" s="4">
        <v>42500</v>
      </c>
      <c r="H3023" s="1">
        <v>6600935</v>
      </c>
      <c r="I3023" s="1">
        <v>1626764</v>
      </c>
      <c r="J3023" s="1" t="s">
        <v>191</v>
      </c>
      <c r="K3023" s="1" t="s">
        <v>210</v>
      </c>
      <c r="L3023" s="1" t="str">
        <f t="shared" si="168"/>
        <v>Vallentunasjön Va2</v>
      </c>
      <c r="M3023" s="1" t="s">
        <v>184</v>
      </c>
      <c r="Q3023" s="1">
        <v>13.6</v>
      </c>
      <c r="R3023" s="1">
        <v>7</v>
      </c>
      <c r="S3023" s="1">
        <v>67</v>
      </c>
    </row>
    <row r="3024" spans="1:52" x14ac:dyDescent="0.3">
      <c r="A3024" s="1">
        <v>51360</v>
      </c>
      <c r="B3024" s="1" t="s">
        <v>237</v>
      </c>
      <c r="C3024" s="1" t="s">
        <v>209</v>
      </c>
      <c r="D3024" s="2">
        <f t="shared" si="166"/>
        <v>2016</v>
      </c>
      <c r="E3024" s="2">
        <f t="shared" si="167"/>
        <v>5</v>
      </c>
      <c r="F3024" s="3" t="s">
        <v>178</v>
      </c>
      <c r="G3024" s="4">
        <v>42500</v>
      </c>
      <c r="J3024" s="1" t="s">
        <v>191</v>
      </c>
      <c r="K3024" s="1" t="s">
        <v>206</v>
      </c>
      <c r="L3024" s="1" t="str">
        <f t="shared" si="168"/>
        <v>Vallentunasjön Blandprov</v>
      </c>
      <c r="M3024" s="1" t="s">
        <v>177</v>
      </c>
      <c r="N3024" s="1">
        <v>4</v>
      </c>
      <c r="O3024" s="1">
        <v>0</v>
      </c>
      <c r="W3024" s="1">
        <v>0</v>
      </c>
      <c r="Z3024" s="1">
        <v>0</v>
      </c>
      <c r="AB3024" s="1">
        <v>14.711220000000001</v>
      </c>
      <c r="AD3024" s="1">
        <v>0</v>
      </c>
      <c r="AG3024" s="1">
        <v>12</v>
      </c>
      <c r="AK3024" s="1">
        <v>38.4</v>
      </c>
      <c r="AL3024" s="1">
        <v>923</v>
      </c>
    </row>
    <row r="3025" spans="1:51" x14ac:dyDescent="0.3">
      <c r="D3025" s="2">
        <f t="shared" si="166"/>
        <v>2016</v>
      </c>
      <c r="E3025" s="2">
        <f t="shared" si="167"/>
        <v>5</v>
      </c>
      <c r="F3025" s="3" t="s">
        <v>178</v>
      </c>
      <c r="G3025" s="4">
        <v>42501</v>
      </c>
      <c r="H3025" s="1">
        <v>6606238</v>
      </c>
      <c r="I3025" s="1">
        <v>661152</v>
      </c>
      <c r="J3025" s="5" t="s">
        <v>176</v>
      </c>
      <c r="K3025" s="1"/>
      <c r="L3025" s="1" t="str">
        <f t="shared" si="168"/>
        <v xml:space="preserve">Oxundaån </v>
      </c>
      <c r="M3025" s="1" t="s">
        <v>177</v>
      </c>
      <c r="N3025" s="1">
        <v>0.2</v>
      </c>
      <c r="O3025" s="1">
        <v>0.2</v>
      </c>
      <c r="Q3025" s="1">
        <v>14</v>
      </c>
      <c r="T3025" s="1">
        <v>45.3</v>
      </c>
      <c r="V3025" s="1">
        <v>2.5649999999999999</v>
      </c>
      <c r="W3025" s="1">
        <v>12</v>
      </c>
      <c r="X3025" s="1">
        <f>W3025 * (1/((10^((0.0901821 + (2729.92 /(273.15 + Q3025)))-AE3025)+1)))</f>
        <v>0.57633598041762757</v>
      </c>
      <c r="Y3025" s="1">
        <v>4.8000000000000001E-2</v>
      </c>
      <c r="Z3025" s="1">
        <v>2</v>
      </c>
      <c r="AA3025" s="1">
        <v>4.5999999999999996</v>
      </c>
      <c r="AD3025" s="1">
        <v>1.5</v>
      </c>
      <c r="AE3025" s="1">
        <v>8.3000000000000007</v>
      </c>
      <c r="AI3025" s="1">
        <v>10.9</v>
      </c>
      <c r="AK3025" s="1">
        <v>35.5</v>
      </c>
      <c r="AL3025" s="1">
        <v>717</v>
      </c>
      <c r="AR3025" s="1">
        <v>54</v>
      </c>
      <c r="AT3025" s="1">
        <v>5.0830000000000002</v>
      </c>
      <c r="AU3025" s="1">
        <v>8.5909999999999993</v>
      </c>
      <c r="AV3025" s="1">
        <v>36.159000000000006</v>
      </c>
      <c r="AW3025" s="1">
        <v>25.234000000000002</v>
      </c>
      <c r="AX3025" s="1">
        <v>45.166999999999994</v>
      </c>
      <c r="AY3025" s="1">
        <v>2.5</v>
      </c>
    </row>
    <row r="3026" spans="1:51" x14ac:dyDescent="0.3">
      <c r="A3026" s="1">
        <v>51568</v>
      </c>
      <c r="B3026" s="1" t="s">
        <v>237</v>
      </c>
      <c r="C3026" s="1" t="s">
        <v>209</v>
      </c>
      <c r="D3026" s="2">
        <f t="shared" si="166"/>
        <v>2016</v>
      </c>
      <c r="E3026" s="2">
        <f t="shared" si="167"/>
        <v>5</v>
      </c>
      <c r="F3026" s="3" t="s">
        <v>178</v>
      </c>
      <c r="G3026" s="4">
        <v>42513</v>
      </c>
      <c r="H3026" s="1">
        <v>6600935</v>
      </c>
      <c r="I3026" s="1">
        <v>1626764</v>
      </c>
      <c r="J3026" s="1" t="s">
        <v>191</v>
      </c>
      <c r="K3026" s="1" t="s">
        <v>210</v>
      </c>
      <c r="L3026" s="1" t="str">
        <f t="shared" si="168"/>
        <v>Vallentunasjön Va2</v>
      </c>
      <c r="M3026" s="1" t="s">
        <v>177</v>
      </c>
      <c r="N3026" s="1">
        <v>0.5</v>
      </c>
      <c r="O3026" s="1">
        <v>0.5</v>
      </c>
      <c r="P3026" s="1">
        <v>1</v>
      </c>
      <c r="Q3026" s="1">
        <v>16.2</v>
      </c>
      <c r="R3026" s="1">
        <v>9.3000000000000007</v>
      </c>
      <c r="S3026" s="1">
        <v>95</v>
      </c>
    </row>
    <row r="3027" spans="1:51" x14ac:dyDescent="0.3">
      <c r="A3027" s="1">
        <v>51569</v>
      </c>
      <c r="B3027" s="1" t="s">
        <v>237</v>
      </c>
      <c r="C3027" s="1" t="s">
        <v>209</v>
      </c>
      <c r="D3027" s="2">
        <f t="shared" si="166"/>
        <v>2016</v>
      </c>
      <c r="E3027" s="2">
        <f t="shared" si="167"/>
        <v>5</v>
      </c>
      <c r="F3027" s="3" t="s">
        <v>178</v>
      </c>
      <c r="G3027" s="4">
        <v>42513</v>
      </c>
      <c r="H3027" s="1">
        <v>6600935</v>
      </c>
      <c r="I3027" s="1">
        <v>1626764</v>
      </c>
      <c r="J3027" s="1" t="s">
        <v>191</v>
      </c>
      <c r="K3027" s="1" t="s">
        <v>210</v>
      </c>
      <c r="L3027" s="1" t="str">
        <f t="shared" si="168"/>
        <v>Vallentunasjön Va2</v>
      </c>
      <c r="M3027" s="1" t="s">
        <v>211</v>
      </c>
      <c r="N3027" s="1">
        <v>1</v>
      </c>
      <c r="O3027" s="1">
        <v>1</v>
      </c>
      <c r="Q3027" s="1">
        <v>16.2</v>
      </c>
      <c r="R3027" s="1">
        <v>9.3000000000000007</v>
      </c>
      <c r="S3027" s="1">
        <v>95</v>
      </c>
    </row>
    <row r="3028" spans="1:51" x14ac:dyDescent="0.3">
      <c r="A3028" s="1">
        <v>51570</v>
      </c>
      <c r="B3028" s="1" t="s">
        <v>237</v>
      </c>
      <c r="C3028" s="1" t="s">
        <v>209</v>
      </c>
      <c r="D3028" s="2">
        <f t="shared" si="166"/>
        <v>2016</v>
      </c>
      <c r="E3028" s="2">
        <f t="shared" si="167"/>
        <v>5</v>
      </c>
      <c r="F3028" s="3" t="s">
        <v>178</v>
      </c>
      <c r="G3028" s="4">
        <v>42513</v>
      </c>
      <c r="H3028" s="1">
        <v>6600935</v>
      </c>
      <c r="I3028" s="1">
        <v>1626764</v>
      </c>
      <c r="J3028" s="1" t="s">
        <v>191</v>
      </c>
      <c r="K3028" s="1" t="s">
        <v>210</v>
      </c>
      <c r="L3028" s="1" t="str">
        <f t="shared" si="168"/>
        <v>Vallentunasjön Va2</v>
      </c>
      <c r="M3028" s="1" t="s">
        <v>212</v>
      </c>
      <c r="N3028" s="1">
        <v>2</v>
      </c>
      <c r="O3028" s="1">
        <v>2</v>
      </c>
      <c r="Q3028" s="1">
        <v>16.100000000000001</v>
      </c>
      <c r="R3028" s="1">
        <v>9.3000000000000007</v>
      </c>
      <c r="S3028" s="1">
        <v>94</v>
      </c>
    </row>
    <row r="3029" spans="1:51" x14ac:dyDescent="0.3">
      <c r="A3029" s="1">
        <v>51571</v>
      </c>
      <c r="B3029" s="1" t="s">
        <v>237</v>
      </c>
      <c r="C3029" s="1" t="s">
        <v>209</v>
      </c>
      <c r="D3029" s="2">
        <f t="shared" si="166"/>
        <v>2016</v>
      </c>
      <c r="E3029" s="2">
        <f t="shared" si="167"/>
        <v>5</v>
      </c>
      <c r="F3029" s="3" t="s">
        <v>178</v>
      </c>
      <c r="G3029" s="4">
        <v>42513</v>
      </c>
      <c r="H3029" s="1">
        <v>6600935</v>
      </c>
      <c r="I3029" s="1">
        <v>1626764</v>
      </c>
      <c r="J3029" s="1" t="s">
        <v>191</v>
      </c>
      <c r="K3029" s="1" t="s">
        <v>210</v>
      </c>
      <c r="L3029" s="1" t="str">
        <f t="shared" si="168"/>
        <v>Vallentunasjön Va2</v>
      </c>
      <c r="M3029" s="1" t="s">
        <v>213</v>
      </c>
      <c r="N3029" s="1">
        <v>3</v>
      </c>
      <c r="O3029" s="1">
        <v>3</v>
      </c>
      <c r="Q3029" s="1">
        <v>16</v>
      </c>
      <c r="R3029" s="1">
        <v>9.1999999999999993</v>
      </c>
      <c r="S3029" s="1">
        <v>93</v>
      </c>
    </row>
    <row r="3030" spans="1:51" x14ac:dyDescent="0.3">
      <c r="A3030" s="1">
        <v>51572</v>
      </c>
      <c r="B3030" s="1" t="s">
        <v>237</v>
      </c>
      <c r="C3030" s="1" t="s">
        <v>209</v>
      </c>
      <c r="D3030" s="2">
        <f t="shared" si="166"/>
        <v>2016</v>
      </c>
      <c r="E3030" s="2">
        <f t="shared" si="167"/>
        <v>5</v>
      </c>
      <c r="F3030" s="3" t="s">
        <v>178</v>
      </c>
      <c r="G3030" s="4">
        <v>42513</v>
      </c>
      <c r="H3030" s="1">
        <v>6600935</v>
      </c>
      <c r="I3030" s="1">
        <v>1626764</v>
      </c>
      <c r="J3030" s="1" t="s">
        <v>191</v>
      </c>
      <c r="K3030" s="1" t="s">
        <v>210</v>
      </c>
      <c r="L3030" s="1" t="str">
        <f t="shared" si="168"/>
        <v>Vallentunasjön Va2</v>
      </c>
      <c r="M3030" s="1" t="s">
        <v>214</v>
      </c>
      <c r="N3030" s="1">
        <v>4</v>
      </c>
      <c r="O3030" s="1">
        <v>4</v>
      </c>
      <c r="Q3030" s="1">
        <v>15.9</v>
      </c>
      <c r="R3030" s="1">
        <v>9</v>
      </c>
      <c r="S3030" s="1">
        <v>91</v>
      </c>
    </row>
    <row r="3031" spans="1:51" x14ac:dyDescent="0.3">
      <c r="A3031" s="1">
        <v>51573</v>
      </c>
      <c r="B3031" s="1" t="s">
        <v>237</v>
      </c>
      <c r="C3031" s="1" t="s">
        <v>209</v>
      </c>
      <c r="D3031" s="2">
        <f t="shared" si="166"/>
        <v>2016</v>
      </c>
      <c r="E3031" s="2">
        <f t="shared" si="167"/>
        <v>5</v>
      </c>
      <c r="F3031" s="3" t="s">
        <v>178</v>
      </c>
      <c r="G3031" s="4">
        <v>42513</v>
      </c>
      <c r="H3031" s="1">
        <v>6600935</v>
      </c>
      <c r="I3031" s="1">
        <v>1626764</v>
      </c>
      <c r="J3031" s="1" t="s">
        <v>191</v>
      </c>
      <c r="K3031" s="1" t="s">
        <v>210</v>
      </c>
      <c r="L3031" s="1" t="str">
        <f t="shared" si="168"/>
        <v>Vallentunasjön Va2</v>
      </c>
      <c r="M3031" s="1" t="s">
        <v>184</v>
      </c>
      <c r="Q3031" s="1">
        <v>15.8</v>
      </c>
      <c r="R3031" s="1">
        <v>8.9</v>
      </c>
      <c r="S3031" s="1">
        <v>90</v>
      </c>
    </row>
    <row r="3032" spans="1:51" x14ac:dyDescent="0.3">
      <c r="A3032" s="1">
        <v>51574</v>
      </c>
      <c r="B3032" s="1" t="s">
        <v>237</v>
      </c>
      <c r="C3032" s="1" t="s">
        <v>209</v>
      </c>
      <c r="D3032" s="2">
        <f t="shared" si="166"/>
        <v>2016</v>
      </c>
      <c r="E3032" s="2">
        <f t="shared" si="167"/>
        <v>5</v>
      </c>
      <c r="F3032" s="3" t="s">
        <v>178</v>
      </c>
      <c r="G3032" s="4">
        <v>42513</v>
      </c>
      <c r="J3032" s="1" t="s">
        <v>191</v>
      </c>
      <c r="K3032" s="1" t="s">
        <v>206</v>
      </c>
      <c r="L3032" s="1" t="str">
        <f t="shared" si="168"/>
        <v>Vallentunasjön Blandprov</v>
      </c>
      <c r="M3032" s="1" t="s">
        <v>177</v>
      </c>
      <c r="N3032" s="1">
        <v>4</v>
      </c>
      <c r="O3032" s="1">
        <v>0</v>
      </c>
      <c r="W3032" s="1">
        <v>1.1837</v>
      </c>
      <c r="Z3032" s="1">
        <v>0</v>
      </c>
      <c r="AB3032" s="1">
        <v>16.03368</v>
      </c>
      <c r="AD3032" s="1">
        <v>2.9</v>
      </c>
      <c r="AG3032" s="1">
        <v>13</v>
      </c>
      <c r="AK3032" s="1">
        <v>62.19</v>
      </c>
      <c r="AL3032" s="1">
        <v>980.22</v>
      </c>
    </row>
    <row r="3033" spans="1:51" x14ac:dyDescent="0.3">
      <c r="A3033" s="1">
        <v>51596</v>
      </c>
      <c r="B3033" s="1" t="s">
        <v>237</v>
      </c>
      <c r="C3033" s="1" t="s">
        <v>209</v>
      </c>
      <c r="D3033" s="2">
        <f t="shared" si="166"/>
        <v>2016</v>
      </c>
      <c r="E3033" s="2">
        <f t="shared" si="167"/>
        <v>6</v>
      </c>
      <c r="F3033" s="2"/>
      <c r="G3033" s="4">
        <v>42522</v>
      </c>
      <c r="H3033" s="1">
        <v>6600935</v>
      </c>
      <c r="I3033" s="1">
        <v>1626764</v>
      </c>
      <c r="J3033" s="1" t="s">
        <v>191</v>
      </c>
      <c r="K3033" s="1" t="s">
        <v>210</v>
      </c>
      <c r="L3033" s="1" t="str">
        <f t="shared" si="168"/>
        <v>Vallentunasjön Va2</v>
      </c>
      <c r="M3033" s="1" t="s">
        <v>177</v>
      </c>
      <c r="N3033" s="1">
        <v>0.5</v>
      </c>
      <c r="O3033" s="1">
        <v>0.5</v>
      </c>
      <c r="P3033" s="1">
        <v>0.9</v>
      </c>
      <c r="Q3033" s="1">
        <v>18.5</v>
      </c>
      <c r="R3033" s="1">
        <v>9.4</v>
      </c>
      <c r="S3033" s="1">
        <v>99</v>
      </c>
    </row>
    <row r="3034" spans="1:51" x14ac:dyDescent="0.3">
      <c r="A3034" s="1">
        <v>51597</v>
      </c>
      <c r="B3034" s="1" t="s">
        <v>237</v>
      </c>
      <c r="C3034" s="1" t="s">
        <v>209</v>
      </c>
      <c r="D3034" s="2">
        <f t="shared" si="166"/>
        <v>2016</v>
      </c>
      <c r="E3034" s="2">
        <f t="shared" si="167"/>
        <v>6</v>
      </c>
      <c r="F3034" s="2"/>
      <c r="G3034" s="4">
        <v>42522</v>
      </c>
      <c r="H3034" s="1">
        <v>6600935</v>
      </c>
      <c r="I3034" s="1">
        <v>1626764</v>
      </c>
      <c r="J3034" s="1" t="s">
        <v>191</v>
      </c>
      <c r="K3034" s="1" t="s">
        <v>210</v>
      </c>
      <c r="L3034" s="1" t="str">
        <f t="shared" si="168"/>
        <v>Vallentunasjön Va2</v>
      </c>
      <c r="M3034" s="1" t="s">
        <v>211</v>
      </c>
      <c r="N3034" s="1">
        <v>1</v>
      </c>
      <c r="O3034" s="1">
        <v>1</v>
      </c>
      <c r="Q3034" s="1">
        <v>18.3</v>
      </c>
      <c r="R3034" s="1">
        <v>9.4</v>
      </c>
      <c r="S3034" s="1">
        <v>98</v>
      </c>
    </row>
    <row r="3035" spans="1:51" x14ac:dyDescent="0.3">
      <c r="A3035" s="1">
        <v>51598</v>
      </c>
      <c r="B3035" s="1" t="s">
        <v>237</v>
      </c>
      <c r="C3035" s="1" t="s">
        <v>209</v>
      </c>
      <c r="D3035" s="2">
        <f t="shared" si="166"/>
        <v>2016</v>
      </c>
      <c r="E3035" s="2">
        <f t="shared" si="167"/>
        <v>6</v>
      </c>
      <c r="F3035" s="2"/>
      <c r="G3035" s="4">
        <v>42522</v>
      </c>
      <c r="H3035" s="1">
        <v>6600935</v>
      </c>
      <c r="I3035" s="1">
        <v>1626764</v>
      </c>
      <c r="J3035" s="1" t="s">
        <v>191</v>
      </c>
      <c r="K3035" s="1" t="s">
        <v>210</v>
      </c>
      <c r="L3035" s="1" t="str">
        <f t="shared" si="168"/>
        <v>Vallentunasjön Va2</v>
      </c>
      <c r="M3035" s="1" t="s">
        <v>212</v>
      </c>
      <c r="N3035" s="1">
        <v>2</v>
      </c>
      <c r="O3035" s="1">
        <v>2</v>
      </c>
      <c r="Q3035" s="1">
        <v>18.100000000000001</v>
      </c>
      <c r="R3035" s="1">
        <v>9.1</v>
      </c>
      <c r="S3035" s="1">
        <v>95</v>
      </c>
    </row>
    <row r="3036" spans="1:51" x14ac:dyDescent="0.3">
      <c r="A3036" s="1">
        <v>51599</v>
      </c>
      <c r="B3036" s="1" t="s">
        <v>237</v>
      </c>
      <c r="C3036" s="1" t="s">
        <v>209</v>
      </c>
      <c r="D3036" s="2">
        <f t="shared" si="166"/>
        <v>2016</v>
      </c>
      <c r="E3036" s="2">
        <f t="shared" si="167"/>
        <v>6</v>
      </c>
      <c r="F3036" s="2"/>
      <c r="G3036" s="4">
        <v>42522</v>
      </c>
      <c r="H3036" s="1">
        <v>6600935</v>
      </c>
      <c r="I3036" s="1">
        <v>1626764</v>
      </c>
      <c r="J3036" s="1" t="s">
        <v>191</v>
      </c>
      <c r="K3036" s="1" t="s">
        <v>210</v>
      </c>
      <c r="L3036" s="1" t="str">
        <f t="shared" si="168"/>
        <v>Vallentunasjön Va2</v>
      </c>
      <c r="M3036" s="1" t="s">
        <v>213</v>
      </c>
      <c r="N3036" s="1">
        <v>3</v>
      </c>
      <c r="O3036" s="1">
        <v>3</v>
      </c>
      <c r="Q3036" s="1">
        <v>16.8</v>
      </c>
      <c r="R3036" s="1">
        <v>6.8</v>
      </c>
      <c r="S3036" s="1">
        <v>70</v>
      </c>
    </row>
    <row r="3037" spans="1:51" x14ac:dyDescent="0.3">
      <c r="A3037" s="1">
        <v>51600</v>
      </c>
      <c r="B3037" s="1" t="s">
        <v>237</v>
      </c>
      <c r="C3037" s="1" t="s">
        <v>209</v>
      </c>
      <c r="D3037" s="2">
        <f t="shared" si="166"/>
        <v>2016</v>
      </c>
      <c r="E3037" s="2">
        <f t="shared" si="167"/>
        <v>6</v>
      </c>
      <c r="F3037" s="2"/>
      <c r="G3037" s="4">
        <v>42522</v>
      </c>
      <c r="H3037" s="1">
        <v>6600935</v>
      </c>
      <c r="I3037" s="1">
        <v>1626764</v>
      </c>
      <c r="J3037" s="1" t="s">
        <v>191</v>
      </c>
      <c r="K3037" s="1" t="s">
        <v>210</v>
      </c>
      <c r="L3037" s="1" t="str">
        <f t="shared" si="168"/>
        <v>Vallentunasjön Va2</v>
      </c>
      <c r="M3037" s="1" t="s">
        <v>214</v>
      </c>
      <c r="N3037" s="1">
        <v>4</v>
      </c>
      <c r="O3037" s="1">
        <v>4</v>
      </c>
      <c r="Q3037" s="1">
        <v>16.5</v>
      </c>
      <c r="R3037" s="1">
        <v>5.7</v>
      </c>
      <c r="S3037" s="1">
        <v>58</v>
      </c>
    </row>
    <row r="3038" spans="1:51" x14ac:dyDescent="0.3">
      <c r="A3038" s="1">
        <v>51601</v>
      </c>
      <c r="B3038" s="1" t="s">
        <v>237</v>
      </c>
      <c r="C3038" s="1" t="s">
        <v>209</v>
      </c>
      <c r="D3038" s="2">
        <f t="shared" si="166"/>
        <v>2016</v>
      </c>
      <c r="E3038" s="2">
        <f t="shared" si="167"/>
        <v>6</v>
      </c>
      <c r="F3038" s="2"/>
      <c r="G3038" s="4">
        <v>42522</v>
      </c>
      <c r="H3038" s="1">
        <v>6600935</v>
      </c>
      <c r="I3038" s="1">
        <v>1626764</v>
      </c>
      <c r="J3038" s="1" t="s">
        <v>191</v>
      </c>
      <c r="K3038" s="1" t="s">
        <v>210</v>
      </c>
      <c r="L3038" s="1" t="str">
        <f t="shared" si="168"/>
        <v>Vallentunasjön Va2</v>
      </c>
      <c r="M3038" s="1" t="s">
        <v>184</v>
      </c>
      <c r="Q3038" s="1">
        <v>16.5</v>
      </c>
      <c r="R3038" s="1">
        <v>5.7</v>
      </c>
      <c r="S3038" s="1">
        <v>57</v>
      </c>
    </row>
    <row r="3039" spans="1:51" x14ac:dyDescent="0.3">
      <c r="A3039" s="1">
        <v>51602</v>
      </c>
      <c r="B3039" s="1" t="s">
        <v>237</v>
      </c>
      <c r="C3039" s="1" t="s">
        <v>209</v>
      </c>
      <c r="D3039" s="2">
        <f t="shared" si="166"/>
        <v>2016</v>
      </c>
      <c r="E3039" s="2">
        <f t="shared" si="167"/>
        <v>6</v>
      </c>
      <c r="F3039" s="2"/>
      <c r="G3039" s="4">
        <v>42522</v>
      </c>
      <c r="J3039" s="1" t="s">
        <v>191</v>
      </c>
      <c r="K3039" s="1" t="s">
        <v>206</v>
      </c>
      <c r="L3039" s="1" t="str">
        <f t="shared" si="168"/>
        <v>Vallentunasjön Blandprov</v>
      </c>
      <c r="M3039" s="1" t="s">
        <v>177</v>
      </c>
      <c r="N3039" s="1">
        <v>4</v>
      </c>
      <c r="O3039" s="1">
        <v>0</v>
      </c>
      <c r="W3039" s="1">
        <v>42.024299999999997</v>
      </c>
      <c r="Z3039" s="1">
        <v>1.4</v>
      </c>
      <c r="AB3039" s="1">
        <v>17.949149999999999</v>
      </c>
      <c r="AD3039" s="1">
        <v>1.98</v>
      </c>
      <c r="AG3039" s="1">
        <v>15.2</v>
      </c>
      <c r="AK3039" s="1">
        <v>54.07</v>
      </c>
      <c r="AL3039" s="1">
        <v>1131.58</v>
      </c>
    </row>
    <row r="3040" spans="1:51" x14ac:dyDescent="0.3">
      <c r="A3040" s="1">
        <v>51831</v>
      </c>
      <c r="B3040" s="1" t="s">
        <v>237</v>
      </c>
      <c r="C3040" s="1" t="s">
        <v>209</v>
      </c>
      <c r="D3040" s="2">
        <f t="shared" si="166"/>
        <v>2016</v>
      </c>
      <c r="E3040" s="2">
        <f t="shared" si="167"/>
        <v>6</v>
      </c>
      <c r="F3040" s="2"/>
      <c r="G3040" s="4">
        <v>42535</v>
      </c>
      <c r="H3040" s="1">
        <v>6600935</v>
      </c>
      <c r="I3040" s="1">
        <v>1626764</v>
      </c>
      <c r="J3040" s="1" t="s">
        <v>191</v>
      </c>
      <c r="K3040" s="1" t="s">
        <v>210</v>
      </c>
      <c r="L3040" s="1" t="str">
        <f t="shared" si="168"/>
        <v>Vallentunasjön Va2</v>
      </c>
      <c r="M3040" s="1" t="s">
        <v>177</v>
      </c>
      <c r="N3040" s="1">
        <v>0.5</v>
      </c>
      <c r="O3040" s="1">
        <v>0.5</v>
      </c>
      <c r="P3040" s="1">
        <v>0.9</v>
      </c>
      <c r="Q3040" s="1">
        <v>18.899999999999999</v>
      </c>
      <c r="R3040" s="1">
        <v>12.1</v>
      </c>
      <c r="S3040" s="1">
        <v>131</v>
      </c>
    </row>
    <row r="3041" spans="1:51" x14ac:dyDescent="0.3">
      <c r="A3041" s="1">
        <v>51832</v>
      </c>
      <c r="B3041" s="1" t="s">
        <v>237</v>
      </c>
      <c r="C3041" s="1" t="s">
        <v>209</v>
      </c>
      <c r="D3041" s="2">
        <f t="shared" si="166"/>
        <v>2016</v>
      </c>
      <c r="E3041" s="2">
        <f t="shared" si="167"/>
        <v>6</v>
      </c>
      <c r="F3041" s="2"/>
      <c r="G3041" s="4">
        <v>42535</v>
      </c>
      <c r="H3041" s="1">
        <v>6600935</v>
      </c>
      <c r="I3041" s="1">
        <v>1626764</v>
      </c>
      <c r="J3041" s="1" t="s">
        <v>191</v>
      </c>
      <c r="K3041" s="1" t="s">
        <v>210</v>
      </c>
      <c r="L3041" s="1" t="str">
        <f t="shared" si="168"/>
        <v>Vallentunasjön Va2</v>
      </c>
      <c r="M3041" s="1" t="s">
        <v>211</v>
      </c>
      <c r="N3041" s="1">
        <v>1</v>
      </c>
      <c r="O3041" s="1">
        <v>1</v>
      </c>
      <c r="Q3041" s="1">
        <v>18.7</v>
      </c>
      <c r="R3041" s="1">
        <v>12.3</v>
      </c>
      <c r="S3041" s="1">
        <v>132</v>
      </c>
    </row>
    <row r="3042" spans="1:51" x14ac:dyDescent="0.3">
      <c r="A3042" s="1">
        <v>51833</v>
      </c>
      <c r="B3042" s="1" t="s">
        <v>237</v>
      </c>
      <c r="C3042" s="1" t="s">
        <v>209</v>
      </c>
      <c r="D3042" s="2">
        <f t="shared" si="166"/>
        <v>2016</v>
      </c>
      <c r="E3042" s="2">
        <f t="shared" si="167"/>
        <v>6</v>
      </c>
      <c r="F3042" s="2"/>
      <c r="G3042" s="4">
        <v>42535</v>
      </c>
      <c r="H3042" s="1">
        <v>6600935</v>
      </c>
      <c r="I3042" s="1">
        <v>1626764</v>
      </c>
      <c r="J3042" s="1" t="s">
        <v>191</v>
      </c>
      <c r="K3042" s="1" t="s">
        <v>210</v>
      </c>
      <c r="L3042" s="1" t="str">
        <f t="shared" si="168"/>
        <v>Vallentunasjön Va2</v>
      </c>
      <c r="M3042" s="1" t="s">
        <v>212</v>
      </c>
      <c r="N3042" s="1">
        <v>2</v>
      </c>
      <c r="O3042" s="1">
        <v>2</v>
      </c>
      <c r="Q3042" s="1">
        <v>18.100000000000001</v>
      </c>
      <c r="R3042" s="1">
        <v>12.3</v>
      </c>
      <c r="S3042" s="1">
        <v>131</v>
      </c>
    </row>
    <row r="3043" spans="1:51" x14ac:dyDescent="0.3">
      <c r="A3043" s="1">
        <v>51834</v>
      </c>
      <c r="B3043" s="1" t="s">
        <v>237</v>
      </c>
      <c r="C3043" s="1" t="s">
        <v>209</v>
      </c>
      <c r="D3043" s="2">
        <f t="shared" si="166"/>
        <v>2016</v>
      </c>
      <c r="E3043" s="2">
        <f t="shared" si="167"/>
        <v>6</v>
      </c>
      <c r="F3043" s="2"/>
      <c r="G3043" s="4">
        <v>42535</v>
      </c>
      <c r="H3043" s="1">
        <v>6600935</v>
      </c>
      <c r="I3043" s="1">
        <v>1626764</v>
      </c>
      <c r="J3043" s="1" t="s">
        <v>191</v>
      </c>
      <c r="K3043" s="1" t="s">
        <v>210</v>
      </c>
      <c r="L3043" s="1" t="str">
        <f t="shared" si="168"/>
        <v>Vallentunasjön Va2</v>
      </c>
      <c r="M3043" s="1" t="s">
        <v>213</v>
      </c>
      <c r="N3043" s="1">
        <v>3</v>
      </c>
      <c r="O3043" s="1">
        <v>3</v>
      </c>
      <c r="Q3043" s="1">
        <v>17.7</v>
      </c>
      <c r="R3043" s="1">
        <v>11.1</v>
      </c>
      <c r="S3043" s="1">
        <v>117</v>
      </c>
    </row>
    <row r="3044" spans="1:51" x14ac:dyDescent="0.3">
      <c r="A3044" s="1">
        <v>51835</v>
      </c>
      <c r="B3044" s="1" t="s">
        <v>237</v>
      </c>
      <c r="C3044" s="1" t="s">
        <v>209</v>
      </c>
      <c r="D3044" s="2">
        <f t="shared" si="166"/>
        <v>2016</v>
      </c>
      <c r="E3044" s="2">
        <f t="shared" si="167"/>
        <v>6</v>
      </c>
      <c r="F3044" s="2"/>
      <c r="G3044" s="4">
        <v>42535</v>
      </c>
      <c r="H3044" s="1">
        <v>6600935</v>
      </c>
      <c r="I3044" s="1">
        <v>1626764</v>
      </c>
      <c r="J3044" s="1" t="s">
        <v>191</v>
      </c>
      <c r="K3044" s="1" t="s">
        <v>210</v>
      </c>
      <c r="L3044" s="1" t="str">
        <f t="shared" si="168"/>
        <v>Vallentunasjön Va2</v>
      </c>
      <c r="M3044" s="1" t="s">
        <v>214</v>
      </c>
      <c r="N3044" s="1">
        <v>4</v>
      </c>
      <c r="O3044" s="1">
        <v>4</v>
      </c>
      <c r="Q3044" s="1">
        <v>16.100000000000001</v>
      </c>
      <c r="R3044" s="1">
        <v>6.4</v>
      </c>
      <c r="S3044" s="1">
        <v>65</v>
      </c>
    </row>
    <row r="3045" spans="1:51" x14ac:dyDescent="0.3">
      <c r="A3045" s="1">
        <v>51836</v>
      </c>
      <c r="B3045" s="1" t="s">
        <v>237</v>
      </c>
      <c r="C3045" s="1" t="s">
        <v>209</v>
      </c>
      <c r="D3045" s="2">
        <f t="shared" si="166"/>
        <v>2016</v>
      </c>
      <c r="E3045" s="2">
        <f t="shared" si="167"/>
        <v>6</v>
      </c>
      <c r="F3045" s="2"/>
      <c r="G3045" s="4">
        <v>42535</v>
      </c>
      <c r="H3045" s="1">
        <v>6600935</v>
      </c>
      <c r="I3045" s="1">
        <v>1626764</v>
      </c>
      <c r="J3045" s="1" t="s">
        <v>191</v>
      </c>
      <c r="K3045" s="1" t="s">
        <v>210</v>
      </c>
      <c r="L3045" s="1" t="str">
        <f t="shared" si="168"/>
        <v>Vallentunasjön Va2</v>
      </c>
      <c r="M3045" s="1" t="s">
        <v>184</v>
      </c>
      <c r="Q3045" s="1">
        <v>16.100000000000001</v>
      </c>
      <c r="R3045" s="1">
        <v>6.2</v>
      </c>
      <c r="S3045" s="1">
        <v>64</v>
      </c>
    </row>
    <row r="3046" spans="1:51" x14ac:dyDescent="0.3">
      <c r="A3046" s="1">
        <v>51837</v>
      </c>
      <c r="B3046" s="1" t="s">
        <v>237</v>
      </c>
      <c r="C3046" s="1" t="s">
        <v>209</v>
      </c>
      <c r="D3046" s="2">
        <f t="shared" si="166"/>
        <v>2016</v>
      </c>
      <c r="E3046" s="2">
        <f t="shared" si="167"/>
        <v>6</v>
      </c>
      <c r="F3046" s="2"/>
      <c r="G3046" s="4">
        <v>42535</v>
      </c>
      <c r="J3046" s="1" t="s">
        <v>191</v>
      </c>
      <c r="K3046" s="1" t="s">
        <v>206</v>
      </c>
      <c r="L3046" s="1" t="str">
        <f t="shared" si="168"/>
        <v>Vallentunasjön Blandprov</v>
      </c>
      <c r="M3046" s="1" t="s">
        <v>177</v>
      </c>
      <c r="N3046" s="1">
        <v>4</v>
      </c>
      <c r="O3046" s="1">
        <v>0</v>
      </c>
      <c r="W3046" s="1">
        <v>3.8045999999999998</v>
      </c>
      <c r="Z3046" s="1">
        <v>1.1100000000000001</v>
      </c>
      <c r="AB3046" s="1">
        <v>45.880560000000003</v>
      </c>
      <c r="AD3046" s="1">
        <v>4.09</v>
      </c>
      <c r="AG3046" s="1">
        <v>19.600000000000001</v>
      </c>
      <c r="AK3046" s="1">
        <v>86.05</v>
      </c>
      <c r="AL3046" s="1">
        <v>1226.28</v>
      </c>
    </row>
    <row r="3047" spans="1:51" x14ac:dyDescent="0.3">
      <c r="D3047" s="2">
        <f t="shared" si="166"/>
        <v>2016</v>
      </c>
      <c r="E3047" s="2">
        <f t="shared" si="167"/>
        <v>6</v>
      </c>
      <c r="F3047" s="3"/>
      <c r="G3047" s="4">
        <v>42536</v>
      </c>
      <c r="H3047" s="1">
        <v>6606238</v>
      </c>
      <c r="I3047" s="1">
        <v>661152</v>
      </c>
      <c r="J3047" s="5" t="s">
        <v>176</v>
      </c>
      <c r="K3047" s="1"/>
      <c r="L3047" s="1" t="str">
        <f t="shared" si="168"/>
        <v xml:space="preserve">Oxundaån </v>
      </c>
      <c r="M3047" s="1" t="s">
        <v>177</v>
      </c>
      <c r="N3047" s="1">
        <v>0.1</v>
      </c>
      <c r="O3047" s="1">
        <v>0.1</v>
      </c>
      <c r="Q3047" s="1">
        <v>17.5</v>
      </c>
      <c r="T3047" s="1">
        <v>47.6</v>
      </c>
      <c r="V3047" s="1">
        <v>2.6480000000000001</v>
      </c>
      <c r="W3047" s="1">
        <v>57</v>
      </c>
      <c r="X3047" s="1">
        <f>W3047 * (1/((10^((0.0901821 + (2729.92 /(273.15 + Q3047)))-AE3047)+1)))</f>
        <v>1.419945590194704</v>
      </c>
      <c r="Y3047" s="1">
        <v>4.2999999999999997E-2</v>
      </c>
      <c r="Z3047" s="1">
        <v>20</v>
      </c>
      <c r="AA3047" s="1">
        <v>2.1</v>
      </c>
      <c r="AD3047" s="1">
        <v>8</v>
      </c>
      <c r="AE3047" s="1">
        <v>7.89</v>
      </c>
      <c r="AI3047" s="1">
        <v>10.9</v>
      </c>
      <c r="AK3047" s="1">
        <v>48.1</v>
      </c>
      <c r="AL3047" s="1">
        <v>803</v>
      </c>
      <c r="AR3047" s="1">
        <v>56</v>
      </c>
      <c r="AT3047" s="1">
        <v>5.4740000000000011</v>
      </c>
      <c r="AU3047" s="1">
        <v>9.0749999999999993</v>
      </c>
      <c r="AV3047" s="1">
        <v>37.577000000000005</v>
      </c>
      <c r="AW3047" s="1">
        <v>27.528000000000002</v>
      </c>
      <c r="AX3047" s="1">
        <v>48.05</v>
      </c>
      <c r="AY3047" s="1">
        <v>1.6</v>
      </c>
    </row>
    <row r="3048" spans="1:51" x14ac:dyDescent="0.3">
      <c r="A3048" s="1">
        <v>52216</v>
      </c>
      <c r="B3048" s="1" t="s">
        <v>237</v>
      </c>
      <c r="C3048" s="1" t="s">
        <v>209</v>
      </c>
      <c r="D3048" s="2">
        <f t="shared" si="166"/>
        <v>2016</v>
      </c>
      <c r="E3048" s="2">
        <f t="shared" si="167"/>
        <v>6</v>
      </c>
      <c r="F3048" s="2"/>
      <c r="G3048" s="4">
        <v>42548</v>
      </c>
      <c r="H3048" s="1">
        <v>6600935</v>
      </c>
      <c r="I3048" s="1">
        <v>1626764</v>
      </c>
      <c r="J3048" s="1" t="s">
        <v>191</v>
      </c>
      <c r="K3048" s="1" t="s">
        <v>210</v>
      </c>
      <c r="L3048" s="1" t="str">
        <f t="shared" si="168"/>
        <v>Vallentunasjön Va2</v>
      </c>
      <c r="M3048" s="1" t="s">
        <v>177</v>
      </c>
      <c r="N3048" s="1">
        <v>0.5</v>
      </c>
      <c r="O3048" s="1">
        <v>0.5</v>
      </c>
      <c r="P3048" s="1">
        <v>1</v>
      </c>
      <c r="Q3048" s="1">
        <v>21.2</v>
      </c>
      <c r="R3048" s="1">
        <v>8.6999999999999993</v>
      </c>
      <c r="S3048" s="1">
        <v>99</v>
      </c>
      <c r="T3048" s="1">
        <v>43.3</v>
      </c>
    </row>
    <row r="3049" spans="1:51" x14ac:dyDescent="0.3">
      <c r="A3049" s="1">
        <v>52217</v>
      </c>
      <c r="B3049" s="1" t="s">
        <v>237</v>
      </c>
      <c r="C3049" s="1" t="s">
        <v>209</v>
      </c>
      <c r="D3049" s="2">
        <f t="shared" si="166"/>
        <v>2016</v>
      </c>
      <c r="E3049" s="2">
        <f t="shared" si="167"/>
        <v>6</v>
      </c>
      <c r="F3049" s="2"/>
      <c r="G3049" s="4">
        <v>42548</v>
      </c>
      <c r="H3049" s="1">
        <v>6600935</v>
      </c>
      <c r="I3049" s="1">
        <v>1626764</v>
      </c>
      <c r="J3049" s="1" t="s">
        <v>191</v>
      </c>
      <c r="K3049" s="1" t="s">
        <v>210</v>
      </c>
      <c r="L3049" s="1" t="str">
        <f t="shared" si="168"/>
        <v>Vallentunasjön Va2</v>
      </c>
      <c r="M3049" s="1" t="s">
        <v>211</v>
      </c>
      <c r="N3049" s="1">
        <v>1</v>
      </c>
      <c r="O3049" s="1">
        <v>1</v>
      </c>
      <c r="Q3049" s="1">
        <v>21.2</v>
      </c>
      <c r="R3049" s="1">
        <v>8.6999999999999993</v>
      </c>
      <c r="S3049" s="1">
        <v>99</v>
      </c>
      <c r="T3049" s="1">
        <v>43.3</v>
      </c>
    </row>
    <row r="3050" spans="1:51" x14ac:dyDescent="0.3">
      <c r="A3050" s="1">
        <v>52218</v>
      </c>
      <c r="B3050" s="1" t="s">
        <v>237</v>
      </c>
      <c r="C3050" s="1" t="s">
        <v>209</v>
      </c>
      <c r="D3050" s="2">
        <f t="shared" si="166"/>
        <v>2016</v>
      </c>
      <c r="E3050" s="2">
        <f t="shared" si="167"/>
        <v>6</v>
      </c>
      <c r="F3050" s="2"/>
      <c r="G3050" s="4">
        <v>42548</v>
      </c>
      <c r="H3050" s="1">
        <v>6600935</v>
      </c>
      <c r="I3050" s="1">
        <v>1626764</v>
      </c>
      <c r="J3050" s="1" t="s">
        <v>191</v>
      </c>
      <c r="K3050" s="1" t="s">
        <v>210</v>
      </c>
      <c r="L3050" s="1" t="str">
        <f t="shared" si="168"/>
        <v>Vallentunasjön Va2</v>
      </c>
      <c r="M3050" s="1" t="s">
        <v>212</v>
      </c>
      <c r="N3050" s="1">
        <v>2</v>
      </c>
      <c r="O3050" s="1">
        <v>2</v>
      </c>
      <c r="Q3050" s="1">
        <v>21.2</v>
      </c>
      <c r="R3050" s="1">
        <v>8.6999999999999993</v>
      </c>
      <c r="S3050" s="1">
        <v>99</v>
      </c>
      <c r="T3050" s="1">
        <v>43.3</v>
      </c>
    </row>
    <row r="3051" spans="1:51" x14ac:dyDescent="0.3">
      <c r="A3051" s="1">
        <v>52219</v>
      </c>
      <c r="B3051" s="1" t="s">
        <v>237</v>
      </c>
      <c r="C3051" s="1" t="s">
        <v>209</v>
      </c>
      <c r="D3051" s="2">
        <f t="shared" si="166"/>
        <v>2016</v>
      </c>
      <c r="E3051" s="2">
        <f t="shared" si="167"/>
        <v>6</v>
      </c>
      <c r="F3051" s="2"/>
      <c r="G3051" s="4">
        <v>42548</v>
      </c>
      <c r="H3051" s="1">
        <v>6600935</v>
      </c>
      <c r="I3051" s="1">
        <v>1626764</v>
      </c>
      <c r="J3051" s="1" t="s">
        <v>191</v>
      </c>
      <c r="K3051" s="1" t="s">
        <v>210</v>
      </c>
      <c r="L3051" s="1" t="str">
        <f t="shared" si="168"/>
        <v>Vallentunasjön Va2</v>
      </c>
      <c r="M3051" s="1" t="s">
        <v>213</v>
      </c>
      <c r="N3051" s="1">
        <v>3</v>
      </c>
      <c r="O3051" s="1">
        <v>3</v>
      </c>
      <c r="Q3051" s="1">
        <v>21.2</v>
      </c>
      <c r="R3051" s="1">
        <v>8.6</v>
      </c>
      <c r="S3051" s="1">
        <v>97</v>
      </c>
      <c r="T3051" s="1">
        <v>43.3</v>
      </c>
    </row>
    <row r="3052" spans="1:51" x14ac:dyDescent="0.3">
      <c r="A3052" s="1">
        <v>52220</v>
      </c>
      <c r="B3052" s="1" t="s">
        <v>237</v>
      </c>
      <c r="C3052" s="1" t="s">
        <v>209</v>
      </c>
      <c r="D3052" s="2">
        <f t="shared" si="166"/>
        <v>2016</v>
      </c>
      <c r="E3052" s="2">
        <f t="shared" si="167"/>
        <v>6</v>
      </c>
      <c r="F3052" s="2"/>
      <c r="G3052" s="4">
        <v>42548</v>
      </c>
      <c r="H3052" s="1">
        <v>6600935</v>
      </c>
      <c r="I3052" s="1">
        <v>1626764</v>
      </c>
      <c r="J3052" s="1" t="s">
        <v>191</v>
      </c>
      <c r="K3052" s="1" t="s">
        <v>210</v>
      </c>
      <c r="L3052" s="1" t="str">
        <f t="shared" si="168"/>
        <v>Vallentunasjön Va2</v>
      </c>
      <c r="M3052" s="1" t="s">
        <v>214</v>
      </c>
      <c r="N3052" s="1">
        <v>4</v>
      </c>
      <c r="O3052" s="1">
        <v>4</v>
      </c>
      <c r="Q3052" s="1">
        <v>21.1</v>
      </c>
      <c r="R3052" s="1">
        <v>8.5</v>
      </c>
      <c r="S3052" s="1">
        <v>96</v>
      </c>
      <c r="T3052" s="1">
        <v>43.4</v>
      </c>
    </row>
    <row r="3053" spans="1:51" x14ac:dyDescent="0.3">
      <c r="A3053" s="1">
        <v>52221</v>
      </c>
      <c r="B3053" s="1" t="s">
        <v>237</v>
      </c>
      <c r="C3053" s="1" t="s">
        <v>209</v>
      </c>
      <c r="D3053" s="2">
        <f t="shared" si="166"/>
        <v>2016</v>
      </c>
      <c r="E3053" s="2">
        <f t="shared" si="167"/>
        <v>6</v>
      </c>
      <c r="F3053" s="2"/>
      <c r="G3053" s="4">
        <v>42548</v>
      </c>
      <c r="H3053" s="1">
        <v>6600935</v>
      </c>
      <c r="I3053" s="1">
        <v>1626764</v>
      </c>
      <c r="J3053" s="1" t="s">
        <v>191</v>
      </c>
      <c r="K3053" s="1" t="s">
        <v>210</v>
      </c>
      <c r="L3053" s="1" t="str">
        <f t="shared" si="168"/>
        <v>Vallentunasjön Va2</v>
      </c>
      <c r="M3053" s="1" t="s">
        <v>184</v>
      </c>
      <c r="Q3053" s="1">
        <v>21</v>
      </c>
      <c r="R3053" s="1">
        <v>6.8</v>
      </c>
      <c r="S3053" s="1">
        <v>76</v>
      </c>
      <c r="T3053" s="1">
        <v>44.1</v>
      </c>
    </row>
    <row r="3054" spans="1:51" x14ac:dyDescent="0.3">
      <c r="A3054" s="1">
        <v>52222</v>
      </c>
      <c r="B3054" s="1" t="s">
        <v>237</v>
      </c>
      <c r="C3054" s="1" t="s">
        <v>209</v>
      </c>
      <c r="D3054" s="2">
        <f t="shared" si="166"/>
        <v>2016</v>
      </c>
      <c r="E3054" s="2">
        <f t="shared" si="167"/>
        <v>6</v>
      </c>
      <c r="F3054" s="2"/>
      <c r="G3054" s="4">
        <v>42548</v>
      </c>
      <c r="J3054" s="1" t="s">
        <v>191</v>
      </c>
      <c r="K3054" s="1" t="s">
        <v>206</v>
      </c>
      <c r="L3054" s="1" t="str">
        <f t="shared" si="168"/>
        <v>Vallentunasjön Blandprov</v>
      </c>
      <c r="M3054" s="1" t="s">
        <v>177</v>
      </c>
      <c r="N3054" s="1">
        <v>4</v>
      </c>
      <c r="O3054" s="1">
        <v>0</v>
      </c>
      <c r="W3054" s="1">
        <v>4.5839999999999996</v>
      </c>
      <c r="Z3054" s="1">
        <v>1.02</v>
      </c>
      <c r="AB3054" s="1">
        <v>35.127675000000004</v>
      </c>
      <c r="AD3054" s="1">
        <v>0</v>
      </c>
      <c r="AG3054" s="1">
        <v>16.5</v>
      </c>
      <c r="AK3054" s="1">
        <v>68.42</v>
      </c>
      <c r="AL3054" s="1">
        <v>1305.43</v>
      </c>
    </row>
    <row r="3055" spans="1:51" x14ac:dyDescent="0.3">
      <c r="A3055" s="1">
        <v>52343</v>
      </c>
      <c r="B3055" s="1" t="s">
        <v>237</v>
      </c>
      <c r="C3055" s="1" t="s">
        <v>209</v>
      </c>
      <c r="D3055" s="2">
        <f t="shared" si="166"/>
        <v>2016</v>
      </c>
      <c r="E3055" s="2">
        <f t="shared" si="167"/>
        <v>7</v>
      </c>
      <c r="F3055" s="3" t="s">
        <v>179</v>
      </c>
      <c r="G3055" s="4">
        <v>42555</v>
      </c>
      <c r="H3055" s="1">
        <v>6600935</v>
      </c>
      <c r="I3055" s="1">
        <v>1626764</v>
      </c>
      <c r="J3055" s="1" t="s">
        <v>191</v>
      </c>
      <c r="K3055" s="1" t="s">
        <v>210</v>
      </c>
      <c r="L3055" s="1" t="str">
        <f t="shared" si="168"/>
        <v>Vallentunasjön Va2</v>
      </c>
      <c r="M3055" s="1" t="s">
        <v>177</v>
      </c>
      <c r="N3055" s="1">
        <v>0.5</v>
      </c>
      <c r="O3055" s="1">
        <v>0.5</v>
      </c>
      <c r="P3055" s="1">
        <v>0.8</v>
      </c>
      <c r="Q3055" s="1">
        <v>20.9</v>
      </c>
      <c r="R3055" s="1">
        <v>8.9</v>
      </c>
      <c r="S3055" s="1">
        <v>101</v>
      </c>
      <c r="T3055" s="1">
        <v>43.4</v>
      </c>
    </row>
    <row r="3056" spans="1:51" x14ac:dyDescent="0.3">
      <c r="A3056" s="1">
        <v>52344</v>
      </c>
      <c r="B3056" s="1" t="s">
        <v>237</v>
      </c>
      <c r="C3056" s="1" t="s">
        <v>209</v>
      </c>
      <c r="D3056" s="2">
        <f t="shared" si="166"/>
        <v>2016</v>
      </c>
      <c r="E3056" s="2">
        <f t="shared" si="167"/>
        <v>7</v>
      </c>
      <c r="F3056" s="3" t="s">
        <v>179</v>
      </c>
      <c r="G3056" s="4">
        <v>42555</v>
      </c>
      <c r="H3056" s="1">
        <v>6600935</v>
      </c>
      <c r="I3056" s="1">
        <v>1626764</v>
      </c>
      <c r="J3056" s="1" t="s">
        <v>191</v>
      </c>
      <c r="K3056" s="1" t="s">
        <v>210</v>
      </c>
      <c r="L3056" s="1" t="str">
        <f t="shared" si="168"/>
        <v>Vallentunasjön Va2</v>
      </c>
      <c r="M3056" s="1" t="s">
        <v>211</v>
      </c>
      <c r="N3056" s="1">
        <v>1</v>
      </c>
      <c r="O3056" s="1">
        <v>1</v>
      </c>
      <c r="Q3056" s="1">
        <v>20.8</v>
      </c>
      <c r="R3056" s="1">
        <v>8.9</v>
      </c>
      <c r="S3056" s="1">
        <v>100</v>
      </c>
      <c r="T3056" s="1">
        <v>43.4</v>
      </c>
    </row>
    <row r="3057" spans="1:51" x14ac:dyDescent="0.3">
      <c r="A3057" s="1">
        <v>52345</v>
      </c>
      <c r="B3057" s="1" t="s">
        <v>237</v>
      </c>
      <c r="C3057" s="1" t="s">
        <v>209</v>
      </c>
      <c r="D3057" s="2">
        <f t="shared" si="166"/>
        <v>2016</v>
      </c>
      <c r="E3057" s="2">
        <f t="shared" si="167"/>
        <v>7</v>
      </c>
      <c r="F3057" s="3" t="s">
        <v>179</v>
      </c>
      <c r="G3057" s="4">
        <v>42555</v>
      </c>
      <c r="H3057" s="1">
        <v>6600935</v>
      </c>
      <c r="I3057" s="1">
        <v>1626764</v>
      </c>
      <c r="J3057" s="1" t="s">
        <v>191</v>
      </c>
      <c r="K3057" s="1" t="s">
        <v>210</v>
      </c>
      <c r="L3057" s="1" t="str">
        <f t="shared" si="168"/>
        <v>Vallentunasjön Va2</v>
      </c>
      <c r="M3057" s="1" t="s">
        <v>212</v>
      </c>
      <c r="N3057" s="1">
        <v>2</v>
      </c>
      <c r="O3057" s="1">
        <v>2</v>
      </c>
      <c r="Q3057" s="1">
        <v>20.8</v>
      </c>
      <c r="R3057" s="1">
        <v>8.9</v>
      </c>
      <c r="S3057" s="1">
        <v>100</v>
      </c>
      <c r="T3057" s="1">
        <v>43.5</v>
      </c>
    </row>
    <row r="3058" spans="1:51" x14ac:dyDescent="0.3">
      <c r="A3058" s="1">
        <v>52346</v>
      </c>
      <c r="B3058" s="1" t="s">
        <v>237</v>
      </c>
      <c r="C3058" s="1" t="s">
        <v>209</v>
      </c>
      <c r="D3058" s="2">
        <f t="shared" si="166"/>
        <v>2016</v>
      </c>
      <c r="E3058" s="2">
        <f t="shared" si="167"/>
        <v>7</v>
      </c>
      <c r="F3058" s="3" t="s">
        <v>179</v>
      </c>
      <c r="G3058" s="4">
        <v>42555</v>
      </c>
      <c r="H3058" s="1">
        <v>6600935</v>
      </c>
      <c r="I3058" s="1">
        <v>1626764</v>
      </c>
      <c r="J3058" s="1" t="s">
        <v>191</v>
      </c>
      <c r="K3058" s="1" t="s">
        <v>210</v>
      </c>
      <c r="L3058" s="1" t="str">
        <f t="shared" si="168"/>
        <v>Vallentunasjön Va2</v>
      </c>
      <c r="M3058" s="1" t="s">
        <v>213</v>
      </c>
      <c r="N3058" s="1">
        <v>3</v>
      </c>
      <c r="O3058" s="1">
        <v>3</v>
      </c>
      <c r="Q3058" s="1">
        <v>20.8</v>
      </c>
      <c r="R3058" s="1">
        <v>8.8000000000000007</v>
      </c>
      <c r="S3058" s="1">
        <v>99</v>
      </c>
      <c r="T3058" s="1">
        <v>43.5</v>
      </c>
    </row>
    <row r="3059" spans="1:51" x14ac:dyDescent="0.3">
      <c r="A3059" s="1">
        <v>52347</v>
      </c>
      <c r="B3059" s="1" t="s">
        <v>237</v>
      </c>
      <c r="C3059" s="1" t="s">
        <v>209</v>
      </c>
      <c r="D3059" s="2">
        <f t="shared" si="166"/>
        <v>2016</v>
      </c>
      <c r="E3059" s="2">
        <f t="shared" si="167"/>
        <v>7</v>
      </c>
      <c r="F3059" s="3" t="s">
        <v>179</v>
      </c>
      <c r="G3059" s="4">
        <v>42555</v>
      </c>
      <c r="H3059" s="1">
        <v>6600935</v>
      </c>
      <c r="I3059" s="1">
        <v>1626764</v>
      </c>
      <c r="J3059" s="1" t="s">
        <v>191</v>
      </c>
      <c r="K3059" s="1" t="s">
        <v>210</v>
      </c>
      <c r="L3059" s="1" t="str">
        <f t="shared" si="168"/>
        <v>Vallentunasjön Va2</v>
      </c>
      <c r="M3059" s="1" t="s">
        <v>214</v>
      </c>
      <c r="N3059" s="1">
        <v>4</v>
      </c>
      <c r="O3059" s="1">
        <v>4</v>
      </c>
      <c r="Q3059" s="1">
        <v>20.5</v>
      </c>
      <c r="R3059" s="1">
        <v>7.6</v>
      </c>
      <c r="S3059" s="1">
        <v>84</v>
      </c>
      <c r="T3059" s="1">
        <v>43.7</v>
      </c>
    </row>
    <row r="3060" spans="1:51" x14ac:dyDescent="0.3">
      <c r="A3060" s="1">
        <v>52348</v>
      </c>
      <c r="B3060" s="1" t="s">
        <v>237</v>
      </c>
      <c r="C3060" s="1" t="s">
        <v>209</v>
      </c>
      <c r="D3060" s="2">
        <f t="shared" si="166"/>
        <v>2016</v>
      </c>
      <c r="E3060" s="2">
        <f t="shared" si="167"/>
        <v>7</v>
      </c>
      <c r="F3060" s="3" t="s">
        <v>179</v>
      </c>
      <c r="G3060" s="4">
        <v>42555</v>
      </c>
      <c r="H3060" s="1">
        <v>6600935</v>
      </c>
      <c r="I3060" s="1">
        <v>1626764</v>
      </c>
      <c r="J3060" s="1" t="s">
        <v>191</v>
      </c>
      <c r="K3060" s="1" t="s">
        <v>210</v>
      </c>
      <c r="L3060" s="1" t="str">
        <f t="shared" si="168"/>
        <v>Vallentunasjön Va2</v>
      </c>
      <c r="M3060" s="1" t="s">
        <v>184</v>
      </c>
      <c r="Q3060" s="1">
        <v>20.5</v>
      </c>
      <c r="R3060" s="1">
        <v>6.3</v>
      </c>
      <c r="S3060" s="1">
        <v>70</v>
      </c>
      <c r="T3060" s="1">
        <v>43.8</v>
      </c>
    </row>
    <row r="3061" spans="1:51" x14ac:dyDescent="0.3">
      <c r="A3061" s="1">
        <v>52349</v>
      </c>
      <c r="B3061" s="1" t="s">
        <v>237</v>
      </c>
      <c r="C3061" s="1" t="s">
        <v>209</v>
      </c>
      <c r="D3061" s="2">
        <f t="shared" si="166"/>
        <v>2016</v>
      </c>
      <c r="E3061" s="2">
        <f t="shared" si="167"/>
        <v>7</v>
      </c>
      <c r="F3061" s="3" t="s">
        <v>179</v>
      </c>
      <c r="G3061" s="4">
        <v>42555</v>
      </c>
      <c r="J3061" s="1" t="s">
        <v>191</v>
      </c>
      <c r="K3061" s="1" t="s">
        <v>206</v>
      </c>
      <c r="L3061" s="1" t="str">
        <f t="shared" si="168"/>
        <v>Vallentunasjön Blandprov</v>
      </c>
      <c r="M3061" s="1" t="s">
        <v>177</v>
      </c>
      <c r="N3061" s="1">
        <v>4</v>
      </c>
      <c r="O3061" s="1">
        <v>0</v>
      </c>
      <c r="W3061" s="1">
        <v>3.774</v>
      </c>
      <c r="Z3061" s="1">
        <v>4.49</v>
      </c>
      <c r="AB3061" s="1">
        <v>25.656300000000002</v>
      </c>
      <c r="AD3061" s="1">
        <v>2.65</v>
      </c>
      <c r="AG3061" s="1">
        <v>18.5</v>
      </c>
      <c r="AK3061" s="1">
        <v>70.010000000000005</v>
      </c>
      <c r="AL3061" s="1">
        <v>1197.96</v>
      </c>
    </row>
    <row r="3062" spans="1:51" x14ac:dyDescent="0.3">
      <c r="D3062" s="2">
        <f t="shared" si="166"/>
        <v>2016</v>
      </c>
      <c r="E3062" s="2">
        <f t="shared" si="167"/>
        <v>7</v>
      </c>
      <c r="F3062" s="3" t="s">
        <v>179</v>
      </c>
      <c r="G3062" s="4">
        <v>42571</v>
      </c>
      <c r="H3062" s="1">
        <v>6606238</v>
      </c>
      <c r="I3062" s="1">
        <v>661152</v>
      </c>
      <c r="J3062" s="5" t="s">
        <v>176</v>
      </c>
      <c r="K3062" s="1"/>
      <c r="L3062" s="1" t="str">
        <f t="shared" si="168"/>
        <v xml:space="preserve">Oxundaån </v>
      </c>
      <c r="M3062" s="1" t="s">
        <v>177</v>
      </c>
      <c r="N3062" s="1">
        <v>0.2</v>
      </c>
      <c r="O3062" s="1">
        <v>0.2</v>
      </c>
      <c r="Q3062" s="1">
        <v>20.7</v>
      </c>
      <c r="T3062" s="1">
        <v>47.6</v>
      </c>
      <c r="V3062" s="1">
        <v>2.673</v>
      </c>
      <c r="W3062" s="1">
        <v>32</v>
      </c>
      <c r="X3062" s="1">
        <f>W3062 * (1/((10^((0.0901821 + (2729.92 /(273.15 + Q3062)))-AE3062)+1)))</f>
        <v>0.89628895166635214</v>
      </c>
      <c r="Y3062" s="1">
        <v>3.9E-2</v>
      </c>
      <c r="Z3062" s="1">
        <v>36</v>
      </c>
      <c r="AA3062" s="1">
        <v>3.6</v>
      </c>
      <c r="AB3062" s="1">
        <v>6.6</v>
      </c>
      <c r="AD3062" s="1">
        <v>4</v>
      </c>
      <c r="AE3062" s="1">
        <v>7.84</v>
      </c>
      <c r="AI3062" s="1">
        <v>10.4</v>
      </c>
      <c r="AK3062" s="1">
        <v>63.4</v>
      </c>
      <c r="AL3062" s="1">
        <v>703</v>
      </c>
      <c r="AR3062" s="1">
        <v>56</v>
      </c>
      <c r="AT3062" s="1">
        <v>5.4740000000000011</v>
      </c>
      <c r="AU3062" s="1">
        <v>9.3170000000000002</v>
      </c>
      <c r="AV3062" s="1">
        <v>38.995000000000005</v>
      </c>
      <c r="AW3062" s="1">
        <v>27.528000000000002</v>
      </c>
      <c r="AX3062" s="1">
        <v>46.608499999999999</v>
      </c>
      <c r="AY3062" s="1">
        <v>1.1000000000000001</v>
      </c>
    </row>
    <row r="3063" spans="1:51" x14ac:dyDescent="0.3">
      <c r="A3063" s="1">
        <v>52764</v>
      </c>
      <c r="B3063" s="1" t="s">
        <v>237</v>
      </c>
      <c r="C3063" s="1" t="s">
        <v>209</v>
      </c>
      <c r="D3063" s="2">
        <f t="shared" si="166"/>
        <v>2016</v>
      </c>
      <c r="E3063" s="2">
        <f t="shared" si="167"/>
        <v>7</v>
      </c>
      <c r="F3063" s="3" t="s">
        <v>179</v>
      </c>
      <c r="G3063" s="4">
        <v>42577</v>
      </c>
      <c r="H3063" s="1">
        <v>6600935</v>
      </c>
      <c r="I3063" s="1">
        <v>1626764</v>
      </c>
      <c r="J3063" s="1" t="s">
        <v>191</v>
      </c>
      <c r="K3063" s="1" t="s">
        <v>210</v>
      </c>
      <c r="L3063" s="1" t="str">
        <f t="shared" si="168"/>
        <v>Vallentunasjön Va2</v>
      </c>
      <c r="M3063" s="1" t="s">
        <v>177</v>
      </c>
      <c r="N3063" s="1">
        <v>0.5</v>
      </c>
      <c r="O3063" s="1">
        <v>0.5</v>
      </c>
      <c r="P3063" s="1">
        <v>0.8</v>
      </c>
      <c r="Q3063" s="1">
        <v>23.3</v>
      </c>
      <c r="R3063" s="1">
        <v>9.9</v>
      </c>
      <c r="S3063" s="1">
        <v>115</v>
      </c>
    </row>
    <row r="3064" spans="1:51" x14ac:dyDescent="0.3">
      <c r="A3064" s="1">
        <v>52765</v>
      </c>
      <c r="B3064" s="1" t="s">
        <v>237</v>
      </c>
      <c r="C3064" s="1" t="s">
        <v>209</v>
      </c>
      <c r="D3064" s="2">
        <f t="shared" si="166"/>
        <v>2016</v>
      </c>
      <c r="E3064" s="2">
        <f t="shared" si="167"/>
        <v>7</v>
      </c>
      <c r="F3064" s="3" t="s">
        <v>179</v>
      </c>
      <c r="G3064" s="4">
        <v>42577</v>
      </c>
      <c r="H3064" s="1">
        <v>6600935</v>
      </c>
      <c r="I3064" s="1">
        <v>1626764</v>
      </c>
      <c r="J3064" s="1" t="s">
        <v>191</v>
      </c>
      <c r="K3064" s="1" t="s">
        <v>210</v>
      </c>
      <c r="L3064" s="1" t="str">
        <f t="shared" si="168"/>
        <v>Vallentunasjön Va2</v>
      </c>
      <c r="M3064" s="1" t="s">
        <v>211</v>
      </c>
      <c r="N3064" s="1">
        <v>1</v>
      </c>
      <c r="O3064" s="1">
        <v>1</v>
      </c>
      <c r="Q3064" s="1">
        <v>23.2</v>
      </c>
      <c r="R3064" s="1">
        <v>10.1</v>
      </c>
      <c r="S3064" s="1">
        <v>117</v>
      </c>
    </row>
    <row r="3065" spans="1:51" x14ac:dyDescent="0.3">
      <c r="A3065" s="1">
        <v>52766</v>
      </c>
      <c r="B3065" s="1" t="s">
        <v>237</v>
      </c>
      <c r="C3065" s="1" t="s">
        <v>209</v>
      </c>
      <c r="D3065" s="2">
        <f t="shared" si="166"/>
        <v>2016</v>
      </c>
      <c r="E3065" s="2">
        <f t="shared" si="167"/>
        <v>7</v>
      </c>
      <c r="F3065" s="3" t="s">
        <v>179</v>
      </c>
      <c r="G3065" s="4">
        <v>42577</v>
      </c>
      <c r="H3065" s="1">
        <v>6600935</v>
      </c>
      <c r="I3065" s="1">
        <v>1626764</v>
      </c>
      <c r="J3065" s="1" t="s">
        <v>191</v>
      </c>
      <c r="K3065" s="1" t="s">
        <v>210</v>
      </c>
      <c r="L3065" s="1" t="str">
        <f t="shared" si="168"/>
        <v>Vallentunasjön Va2</v>
      </c>
      <c r="M3065" s="1" t="s">
        <v>212</v>
      </c>
      <c r="N3065" s="1">
        <v>2</v>
      </c>
      <c r="O3065" s="1">
        <v>2</v>
      </c>
      <c r="Q3065" s="1">
        <v>23.1</v>
      </c>
      <c r="R3065" s="1">
        <v>10</v>
      </c>
      <c r="S3065" s="1">
        <v>116</v>
      </c>
    </row>
    <row r="3066" spans="1:51" x14ac:dyDescent="0.3">
      <c r="A3066" s="1">
        <v>52767</v>
      </c>
      <c r="B3066" s="1" t="s">
        <v>237</v>
      </c>
      <c r="C3066" s="1" t="s">
        <v>209</v>
      </c>
      <c r="D3066" s="2">
        <f t="shared" si="166"/>
        <v>2016</v>
      </c>
      <c r="E3066" s="2">
        <f t="shared" si="167"/>
        <v>7</v>
      </c>
      <c r="F3066" s="3" t="s">
        <v>179</v>
      </c>
      <c r="G3066" s="4">
        <v>42577</v>
      </c>
      <c r="H3066" s="1">
        <v>6600935</v>
      </c>
      <c r="I3066" s="1">
        <v>1626764</v>
      </c>
      <c r="J3066" s="1" t="s">
        <v>191</v>
      </c>
      <c r="K3066" s="1" t="s">
        <v>210</v>
      </c>
      <c r="L3066" s="1" t="str">
        <f t="shared" si="168"/>
        <v>Vallentunasjön Va2</v>
      </c>
      <c r="M3066" s="1" t="s">
        <v>213</v>
      </c>
      <c r="N3066" s="1">
        <v>3</v>
      </c>
      <c r="O3066" s="1">
        <v>3</v>
      </c>
      <c r="Q3066" s="1">
        <v>23</v>
      </c>
      <c r="R3066" s="1">
        <v>9.5</v>
      </c>
      <c r="S3066" s="1">
        <v>110</v>
      </c>
    </row>
    <row r="3067" spans="1:51" x14ac:dyDescent="0.3">
      <c r="A3067" s="1">
        <v>52768</v>
      </c>
      <c r="B3067" s="1" t="s">
        <v>237</v>
      </c>
      <c r="C3067" s="1" t="s">
        <v>209</v>
      </c>
      <c r="D3067" s="2">
        <f t="shared" si="166"/>
        <v>2016</v>
      </c>
      <c r="E3067" s="2">
        <f t="shared" si="167"/>
        <v>7</v>
      </c>
      <c r="F3067" s="3" t="s">
        <v>179</v>
      </c>
      <c r="G3067" s="4">
        <v>42577</v>
      </c>
      <c r="H3067" s="1">
        <v>6600935</v>
      </c>
      <c r="I3067" s="1">
        <v>1626764</v>
      </c>
      <c r="J3067" s="1" t="s">
        <v>191</v>
      </c>
      <c r="K3067" s="1" t="s">
        <v>210</v>
      </c>
      <c r="L3067" s="1" t="str">
        <f t="shared" si="168"/>
        <v>Vallentunasjön Va2</v>
      </c>
      <c r="M3067" s="1" t="s">
        <v>214</v>
      </c>
      <c r="N3067" s="1">
        <v>4</v>
      </c>
      <c r="O3067" s="1">
        <v>4</v>
      </c>
      <c r="Q3067" s="1">
        <v>20.8</v>
      </c>
      <c r="R3067" s="1">
        <v>0.1</v>
      </c>
      <c r="S3067" s="1">
        <v>1</v>
      </c>
    </row>
    <row r="3068" spans="1:51" x14ac:dyDescent="0.3">
      <c r="A3068" s="1">
        <v>52769</v>
      </c>
      <c r="B3068" s="1" t="s">
        <v>237</v>
      </c>
      <c r="C3068" s="1" t="s">
        <v>209</v>
      </c>
      <c r="D3068" s="2">
        <f t="shared" si="166"/>
        <v>2016</v>
      </c>
      <c r="E3068" s="2">
        <f t="shared" si="167"/>
        <v>7</v>
      </c>
      <c r="F3068" s="3" t="s">
        <v>179</v>
      </c>
      <c r="G3068" s="4">
        <v>42577</v>
      </c>
      <c r="H3068" s="1">
        <v>6600935</v>
      </c>
      <c r="I3068" s="1">
        <v>1626764</v>
      </c>
      <c r="J3068" s="1" t="s">
        <v>191</v>
      </c>
      <c r="K3068" s="1" t="s">
        <v>210</v>
      </c>
      <c r="L3068" s="1" t="str">
        <f t="shared" si="168"/>
        <v>Vallentunasjön Va2</v>
      </c>
      <c r="M3068" s="1" t="s">
        <v>184</v>
      </c>
      <c r="Q3068" s="1">
        <v>20.7</v>
      </c>
      <c r="R3068" s="1">
        <v>0.1</v>
      </c>
      <c r="S3068" s="1">
        <v>1</v>
      </c>
    </row>
    <row r="3069" spans="1:51" x14ac:dyDescent="0.3">
      <c r="A3069" s="1">
        <v>52770</v>
      </c>
      <c r="B3069" s="1" t="s">
        <v>237</v>
      </c>
      <c r="C3069" s="1" t="s">
        <v>209</v>
      </c>
      <c r="D3069" s="2">
        <f t="shared" si="166"/>
        <v>2016</v>
      </c>
      <c r="E3069" s="2">
        <f t="shared" si="167"/>
        <v>7</v>
      </c>
      <c r="F3069" s="3" t="s">
        <v>179</v>
      </c>
      <c r="G3069" s="4">
        <v>42577</v>
      </c>
      <c r="J3069" s="1" t="s">
        <v>191</v>
      </c>
      <c r="K3069" s="1" t="s">
        <v>206</v>
      </c>
      <c r="L3069" s="1" t="str">
        <f t="shared" si="168"/>
        <v>Vallentunasjön Blandprov</v>
      </c>
      <c r="M3069" s="1" t="s">
        <v>177</v>
      </c>
      <c r="N3069" s="1">
        <v>4</v>
      </c>
      <c r="O3069" s="1">
        <v>0</v>
      </c>
      <c r="W3069" s="1">
        <v>0</v>
      </c>
      <c r="Z3069" s="1">
        <v>15.82</v>
      </c>
      <c r="AB3069" s="1">
        <v>26.261261999999999</v>
      </c>
      <c r="AD3069" s="1">
        <v>0.4</v>
      </c>
      <c r="AG3069" s="1">
        <v>18</v>
      </c>
      <c r="AK3069" s="1">
        <v>63.03</v>
      </c>
      <c r="AL3069" s="1">
        <v>1148.83</v>
      </c>
    </row>
    <row r="3070" spans="1:51" x14ac:dyDescent="0.3">
      <c r="A3070" s="6">
        <v>52899</v>
      </c>
      <c r="B3070" s="5" t="s">
        <v>238</v>
      </c>
      <c r="C3070" s="5" t="s">
        <v>231</v>
      </c>
      <c r="D3070" s="2">
        <f t="shared" si="166"/>
        <v>2016</v>
      </c>
      <c r="E3070" s="2">
        <f t="shared" si="167"/>
        <v>8</v>
      </c>
      <c r="F3070" s="3" t="s">
        <v>179</v>
      </c>
      <c r="G3070" s="7">
        <v>42583</v>
      </c>
      <c r="H3070" s="6">
        <v>6606035</v>
      </c>
      <c r="I3070" s="6">
        <v>1615620</v>
      </c>
      <c r="J3070" s="5" t="s">
        <v>187</v>
      </c>
      <c r="K3070" s="1"/>
      <c r="L3070" s="1" t="str">
        <f t="shared" si="168"/>
        <v xml:space="preserve">Oxundasjön </v>
      </c>
      <c r="M3070" s="1" t="s">
        <v>177</v>
      </c>
      <c r="N3070" s="6">
        <v>0.5</v>
      </c>
      <c r="O3070" s="6">
        <v>0.5</v>
      </c>
      <c r="P3070" s="6">
        <v>1.9</v>
      </c>
      <c r="Q3070" s="6">
        <v>22.7</v>
      </c>
      <c r="R3070" s="6">
        <v>7.9</v>
      </c>
      <c r="S3070" s="6">
        <v>95</v>
      </c>
      <c r="V3070" s="6">
        <v>2.7145612647999999</v>
      </c>
      <c r="W3070" s="6">
        <v>6.3280000000000003</v>
      </c>
      <c r="X3070" s="1">
        <f>W3070 * (1/((10^((0.0901821 + (2729.92 /(273.15 + Q3070)))-AE3070)+1)))</f>
        <v>0.38582018966567116</v>
      </c>
      <c r="Y3070" s="6">
        <v>5.0999999999999997E-2</v>
      </c>
      <c r="Z3070" s="6">
        <v>33.6</v>
      </c>
      <c r="AA3070" s="6">
        <v>4</v>
      </c>
      <c r="AB3070" s="6">
        <v>11.883599999999999</v>
      </c>
      <c r="AD3070" s="6">
        <v>1.9300000000000002</v>
      </c>
      <c r="AE3070" s="6">
        <v>8.1300000000000008</v>
      </c>
      <c r="AK3070" s="6">
        <v>71.94</v>
      </c>
      <c r="AL3070" s="6">
        <v>725.15</v>
      </c>
      <c r="AM3070" s="6"/>
      <c r="AN3070" s="6"/>
      <c r="AO3070" s="6"/>
      <c r="AP3070" s="6"/>
      <c r="AQ3070" s="6"/>
    </row>
    <row r="3071" spans="1:51" x14ac:dyDescent="0.3">
      <c r="A3071" s="6">
        <v>52900</v>
      </c>
      <c r="B3071" s="5" t="s">
        <v>238</v>
      </c>
      <c r="C3071" s="5" t="s">
        <v>231</v>
      </c>
      <c r="D3071" s="2">
        <f t="shared" si="166"/>
        <v>2016</v>
      </c>
      <c r="E3071" s="2">
        <f t="shared" si="167"/>
        <v>8</v>
      </c>
      <c r="F3071" s="3" t="s">
        <v>179</v>
      </c>
      <c r="G3071" s="7">
        <v>42583</v>
      </c>
      <c r="H3071" s="6">
        <v>6606035</v>
      </c>
      <c r="I3071" s="6">
        <v>1615620</v>
      </c>
      <c r="J3071" s="5" t="s">
        <v>187</v>
      </c>
      <c r="K3071" s="1"/>
      <c r="L3071" s="1" t="str">
        <f t="shared" si="168"/>
        <v xml:space="preserve">Oxundasjön </v>
      </c>
      <c r="M3071" s="5" t="s">
        <v>211</v>
      </c>
      <c r="N3071" s="6">
        <v>1</v>
      </c>
      <c r="O3071" s="6">
        <v>1</v>
      </c>
      <c r="Q3071" s="6">
        <v>22.6</v>
      </c>
      <c r="R3071" s="6">
        <v>8</v>
      </c>
      <c r="S3071" s="6">
        <v>96</v>
      </c>
    </row>
    <row r="3072" spans="1:51" x14ac:dyDescent="0.3">
      <c r="A3072" s="6">
        <v>52901</v>
      </c>
      <c r="B3072" s="5" t="s">
        <v>238</v>
      </c>
      <c r="C3072" s="5" t="s">
        <v>231</v>
      </c>
      <c r="D3072" s="2">
        <f t="shared" si="166"/>
        <v>2016</v>
      </c>
      <c r="E3072" s="2">
        <f t="shared" si="167"/>
        <v>8</v>
      </c>
      <c r="F3072" s="3" t="s">
        <v>179</v>
      </c>
      <c r="G3072" s="7">
        <v>42583</v>
      </c>
      <c r="H3072" s="6">
        <v>6606035</v>
      </c>
      <c r="I3072" s="6">
        <v>1615620</v>
      </c>
      <c r="J3072" s="5" t="s">
        <v>187</v>
      </c>
      <c r="K3072" s="1"/>
      <c r="L3072" s="1" t="str">
        <f t="shared" si="168"/>
        <v xml:space="preserve">Oxundasjön </v>
      </c>
      <c r="M3072" s="5" t="s">
        <v>212</v>
      </c>
      <c r="N3072" s="6">
        <v>2</v>
      </c>
      <c r="O3072" s="6">
        <v>2</v>
      </c>
      <c r="Q3072" s="6">
        <v>22.5</v>
      </c>
      <c r="R3072" s="6">
        <v>7.9</v>
      </c>
      <c r="S3072" s="6">
        <v>95</v>
      </c>
    </row>
    <row r="3073" spans="1:113" x14ac:dyDescent="0.3">
      <c r="A3073" s="6">
        <v>52902</v>
      </c>
      <c r="B3073" s="5" t="s">
        <v>238</v>
      </c>
      <c r="C3073" s="5" t="s">
        <v>231</v>
      </c>
      <c r="D3073" s="2">
        <f t="shared" si="166"/>
        <v>2016</v>
      </c>
      <c r="E3073" s="2">
        <f t="shared" si="167"/>
        <v>8</v>
      </c>
      <c r="F3073" s="3" t="s">
        <v>179</v>
      </c>
      <c r="G3073" s="7">
        <v>42583</v>
      </c>
      <c r="H3073" s="6">
        <v>6606035</v>
      </c>
      <c r="I3073" s="6">
        <v>1615620</v>
      </c>
      <c r="J3073" s="5" t="s">
        <v>187</v>
      </c>
      <c r="K3073" s="1"/>
      <c r="L3073" s="1" t="str">
        <f t="shared" si="168"/>
        <v xml:space="preserve">Oxundasjön </v>
      </c>
      <c r="M3073" s="5" t="s">
        <v>213</v>
      </c>
      <c r="N3073" s="6">
        <v>3</v>
      </c>
      <c r="O3073" s="6">
        <v>3</v>
      </c>
      <c r="Q3073" s="6">
        <v>22.5</v>
      </c>
      <c r="R3073" s="6">
        <v>7.9</v>
      </c>
      <c r="S3073" s="6">
        <v>94</v>
      </c>
    </row>
    <row r="3074" spans="1:113" x14ac:dyDescent="0.3">
      <c r="A3074" s="6">
        <v>52903</v>
      </c>
      <c r="B3074" s="5" t="s">
        <v>238</v>
      </c>
      <c r="C3074" s="5" t="s">
        <v>231</v>
      </c>
      <c r="D3074" s="2">
        <f t="shared" ref="D3074:D3137" si="169">YEAR(G3074)</f>
        <v>2016</v>
      </c>
      <c r="E3074" s="2">
        <f t="shared" ref="E3074:E3137" si="170">MONTH(G3074)</f>
        <v>8</v>
      </c>
      <c r="F3074" s="3" t="s">
        <v>179</v>
      </c>
      <c r="G3074" s="7">
        <v>42583</v>
      </c>
      <c r="H3074" s="6">
        <v>6606035</v>
      </c>
      <c r="I3074" s="6">
        <v>1615620</v>
      </c>
      <c r="J3074" s="5" t="s">
        <v>187</v>
      </c>
      <c r="K3074" s="1"/>
      <c r="L3074" s="1" t="str">
        <f t="shared" ref="L3074:L3137" si="171">CONCATENATE(J3074," ",K3074)</f>
        <v xml:space="preserve">Oxundasjön </v>
      </c>
      <c r="M3074" s="5" t="s">
        <v>214</v>
      </c>
      <c r="N3074" s="6">
        <v>4</v>
      </c>
      <c r="O3074" s="6">
        <v>4</v>
      </c>
      <c r="Q3074" s="6">
        <v>22.4</v>
      </c>
      <c r="R3074" s="6">
        <v>7.6</v>
      </c>
      <c r="S3074" s="6">
        <v>91</v>
      </c>
    </row>
    <row r="3075" spans="1:113" x14ac:dyDescent="0.3">
      <c r="A3075" s="6">
        <v>52904</v>
      </c>
      <c r="B3075" s="5" t="s">
        <v>238</v>
      </c>
      <c r="C3075" s="5" t="s">
        <v>231</v>
      </c>
      <c r="D3075" s="2">
        <f t="shared" si="169"/>
        <v>2016</v>
      </c>
      <c r="E3075" s="2">
        <f t="shared" si="170"/>
        <v>8</v>
      </c>
      <c r="F3075" s="3" t="s">
        <v>179</v>
      </c>
      <c r="G3075" s="7">
        <v>42583</v>
      </c>
      <c r="H3075" s="6">
        <v>6606035</v>
      </c>
      <c r="I3075" s="6">
        <v>1615620</v>
      </c>
      <c r="J3075" s="5" t="s">
        <v>187</v>
      </c>
      <c r="K3075" s="1"/>
      <c r="L3075" s="1" t="str">
        <f t="shared" si="171"/>
        <v xml:space="preserve">Oxundasjön </v>
      </c>
      <c r="M3075" s="5" t="s">
        <v>217</v>
      </c>
      <c r="N3075" s="6">
        <v>5</v>
      </c>
      <c r="O3075" s="6">
        <v>5</v>
      </c>
      <c r="Q3075" s="6">
        <v>19.5</v>
      </c>
      <c r="R3075" s="6">
        <v>0.2</v>
      </c>
      <c r="S3075" s="6">
        <v>1</v>
      </c>
    </row>
    <row r="3076" spans="1:113" x14ac:dyDescent="0.3">
      <c r="A3076" s="6">
        <v>52905</v>
      </c>
      <c r="B3076" s="5" t="s">
        <v>238</v>
      </c>
      <c r="C3076" s="5" t="s">
        <v>231</v>
      </c>
      <c r="D3076" s="2">
        <f t="shared" si="169"/>
        <v>2016</v>
      </c>
      <c r="E3076" s="2">
        <f t="shared" si="170"/>
        <v>8</v>
      </c>
      <c r="F3076" s="3" t="s">
        <v>179</v>
      </c>
      <c r="G3076" s="7">
        <v>42583</v>
      </c>
      <c r="H3076" s="6">
        <v>6606035</v>
      </c>
      <c r="I3076" s="6">
        <v>1615620</v>
      </c>
      <c r="J3076" s="5" t="s">
        <v>187</v>
      </c>
      <c r="K3076" s="1"/>
      <c r="L3076" s="1" t="str">
        <f t="shared" si="171"/>
        <v xml:space="preserve">Oxundasjön </v>
      </c>
      <c r="M3076" s="1" t="s">
        <v>184</v>
      </c>
      <c r="Q3076" s="6">
        <v>19.3</v>
      </c>
      <c r="R3076" s="6">
        <v>0.2</v>
      </c>
      <c r="S3076" s="6">
        <v>1</v>
      </c>
      <c r="V3076" s="6">
        <v>2.6757818181999999</v>
      </c>
      <c r="W3076" s="6">
        <v>23.380600000000001</v>
      </c>
      <c r="X3076" s="1">
        <f>W3076 * (1/((10^((0.0901821 + (2729.92 /(273.15 + Q3076)))-AE3076)+1)))</f>
        <v>0.79257551782238922</v>
      </c>
      <c r="Y3076" s="6">
        <v>4.7E-2</v>
      </c>
      <c r="Z3076" s="6">
        <v>60.31</v>
      </c>
      <c r="AA3076" s="6">
        <v>5.5</v>
      </c>
      <c r="AD3076" s="6">
        <v>3.05</v>
      </c>
      <c r="AE3076" s="6">
        <v>7.97</v>
      </c>
      <c r="AK3076" s="6">
        <v>101.9</v>
      </c>
      <c r="AL3076" s="6">
        <v>713.18</v>
      </c>
      <c r="AM3076" s="6"/>
      <c r="AN3076" s="6"/>
      <c r="AO3076" s="6"/>
      <c r="AP3076" s="6"/>
      <c r="AQ3076" s="6"/>
    </row>
    <row r="3077" spans="1:113" x14ac:dyDescent="0.3">
      <c r="A3077" s="6">
        <v>52906</v>
      </c>
      <c r="B3077" s="5" t="s">
        <v>238</v>
      </c>
      <c r="C3077" s="5" t="s">
        <v>231</v>
      </c>
      <c r="D3077" s="2">
        <f t="shared" si="169"/>
        <v>2016</v>
      </c>
      <c r="E3077" s="2">
        <f t="shared" si="170"/>
        <v>8</v>
      </c>
      <c r="F3077" s="3" t="s">
        <v>179</v>
      </c>
      <c r="G3077" s="7">
        <v>42583</v>
      </c>
      <c r="H3077" s="6">
        <v>6606035</v>
      </c>
      <c r="I3077" s="6">
        <v>1615620</v>
      </c>
      <c r="J3077" s="5" t="s">
        <v>187</v>
      </c>
      <c r="K3077" s="1"/>
      <c r="L3077" s="1" t="str">
        <f t="shared" si="171"/>
        <v xml:space="preserve">Oxundasjön </v>
      </c>
      <c r="M3077" s="5" t="s">
        <v>240</v>
      </c>
      <c r="N3077" s="6">
        <v>2</v>
      </c>
      <c r="O3077" s="6">
        <v>0</v>
      </c>
      <c r="X3077" s="6">
        <v>0</v>
      </c>
      <c r="AE3077" s="6">
        <v>7.3</v>
      </c>
      <c r="AJ3077" s="6">
        <v>9.81</v>
      </c>
      <c r="BQ3077" s="6">
        <v>3.14</v>
      </c>
      <c r="BR3077" s="6">
        <v>3.0599999999999898E-3</v>
      </c>
      <c r="BS3077" s="6">
        <v>7.3700000000000002E-2</v>
      </c>
      <c r="BT3077" s="6">
        <v>0.122</v>
      </c>
      <c r="BU3077" s="6">
        <v>1.91</v>
      </c>
      <c r="BV3077" s="6">
        <v>1.21</v>
      </c>
      <c r="BW3077" s="6">
        <v>4.16</v>
      </c>
      <c r="BX3077" s="6">
        <v>5.0000000000000001E-3</v>
      </c>
      <c r="BY3077" s="6">
        <v>2.89</v>
      </c>
      <c r="BZ3077" s="6">
        <v>56.8</v>
      </c>
      <c r="CA3077" s="6">
        <v>8.9</v>
      </c>
      <c r="CC3077" s="6">
        <v>1.82E-3</v>
      </c>
      <c r="CD3077" s="6">
        <v>5.36</v>
      </c>
      <c r="CE3077" s="6">
        <v>29.1</v>
      </c>
      <c r="CF3077" s="6">
        <v>0.72</v>
      </c>
      <c r="CG3077" s="6">
        <v>1.1399999999999899</v>
      </c>
      <c r="CH3077" s="6">
        <v>16.3</v>
      </c>
      <c r="CI3077" s="6">
        <v>1E-3</v>
      </c>
      <c r="CJ3077" s="6">
        <v>1.59</v>
      </c>
      <c r="CK3077" s="6">
        <v>49.6</v>
      </c>
      <c r="CL3077" s="6">
        <v>0.71799999999999897</v>
      </c>
      <c r="CM3077" s="6">
        <v>139</v>
      </c>
      <c r="CN3077" s="6">
        <v>16.7</v>
      </c>
      <c r="CO3077" s="6">
        <v>142</v>
      </c>
      <c r="CP3077" s="22">
        <v>4.1999999999999902E-3</v>
      </c>
      <c r="CQ3077" s="6">
        <v>5.0000000000000001E-4</v>
      </c>
      <c r="CR3077" s="6">
        <v>5.0000000000000001E-4</v>
      </c>
      <c r="CS3077" s="6">
        <v>5.0000000000000001E-4</v>
      </c>
      <c r="CT3077" s="6">
        <v>5.0000000000000001E-4</v>
      </c>
      <c r="CU3077" s="6">
        <v>5.0000000000000001E-4</v>
      </c>
      <c r="CV3077" s="6">
        <v>5.0000000000000001E-4</v>
      </c>
      <c r="CW3077" s="6">
        <v>5.0000000000000001E-4</v>
      </c>
      <c r="CX3077" s="6">
        <v>5.0000000000000001E-4</v>
      </c>
      <c r="CY3077" s="6">
        <v>5.0000000000000001E-4</v>
      </c>
      <c r="CZ3077" s="6">
        <v>5.0000000000000001E-4</v>
      </c>
      <c r="DA3077" s="6">
        <v>5.0000000000000001E-4</v>
      </c>
      <c r="DB3077" s="6">
        <v>5.0000000000000001E-4</v>
      </c>
      <c r="DC3077" s="6">
        <v>5.0000000000000001E-4</v>
      </c>
      <c r="DD3077" s="6">
        <v>5.0000000000000001E-4</v>
      </c>
      <c r="DE3077" s="6">
        <v>5.0000000000000001E-4</v>
      </c>
      <c r="DF3077" s="6">
        <v>5.0000000000000001E-4</v>
      </c>
      <c r="DG3077" s="6">
        <v>5.0000000000000001E-4</v>
      </c>
      <c r="DH3077" s="6">
        <v>5</v>
      </c>
      <c r="DI3077" s="6">
        <v>5</v>
      </c>
    </row>
    <row r="3078" spans="1:113" x14ac:dyDescent="0.3">
      <c r="A3078" s="6">
        <v>52939</v>
      </c>
      <c r="B3078" s="5" t="s">
        <v>238</v>
      </c>
      <c r="C3078" s="5" t="s">
        <v>231</v>
      </c>
      <c r="D3078" s="2">
        <f t="shared" si="169"/>
        <v>2016</v>
      </c>
      <c r="E3078" s="2">
        <f t="shared" si="170"/>
        <v>8</v>
      </c>
      <c r="F3078" s="3" t="s">
        <v>179</v>
      </c>
      <c r="G3078" s="7">
        <v>42584</v>
      </c>
      <c r="H3078" s="6">
        <v>6599695</v>
      </c>
      <c r="I3078" s="6">
        <v>1617290</v>
      </c>
      <c r="J3078" s="5" t="s">
        <v>182</v>
      </c>
      <c r="K3078" s="1"/>
      <c r="L3078" s="1" t="str">
        <f t="shared" si="171"/>
        <v xml:space="preserve">Edssjön </v>
      </c>
      <c r="M3078" s="1" t="s">
        <v>177</v>
      </c>
      <c r="N3078" s="6">
        <v>0.5</v>
      </c>
      <c r="O3078" s="6">
        <v>0.5</v>
      </c>
      <c r="P3078" s="6">
        <v>0.8</v>
      </c>
      <c r="Q3078" s="6">
        <v>21.8</v>
      </c>
      <c r="R3078" s="6">
        <v>10.4</v>
      </c>
      <c r="S3078" s="6">
        <v>122</v>
      </c>
      <c r="V3078" s="6">
        <v>2.3849359683999998</v>
      </c>
      <c r="W3078" s="6">
        <v>32.747900000000001</v>
      </c>
      <c r="X3078" s="1">
        <f>W3078 * (1/((10^((0.0901821 + (2729.92 /(273.15 + Q3078)))-AE3078)+1)))</f>
        <v>5.4921374812865889</v>
      </c>
      <c r="Y3078" s="6">
        <v>6.8000000000000005E-2</v>
      </c>
      <c r="Z3078" s="6">
        <v>2.5099999999999998</v>
      </c>
      <c r="AA3078" s="6">
        <v>13.3</v>
      </c>
      <c r="AB3078" s="6">
        <v>50.656320000000001</v>
      </c>
      <c r="AD3078" s="6">
        <v>0</v>
      </c>
      <c r="AE3078" s="6">
        <v>8.65</v>
      </c>
      <c r="AK3078" s="6">
        <v>108.56</v>
      </c>
      <c r="AL3078" s="6">
        <v>1409.74</v>
      </c>
      <c r="AM3078" s="6"/>
      <c r="AN3078" s="6"/>
      <c r="AO3078" s="6"/>
      <c r="AP3078" s="6"/>
      <c r="AQ3078" s="6"/>
    </row>
    <row r="3079" spans="1:113" x14ac:dyDescent="0.3">
      <c r="A3079" s="6">
        <v>52940</v>
      </c>
      <c r="B3079" s="5" t="s">
        <v>238</v>
      </c>
      <c r="C3079" s="5" t="s">
        <v>231</v>
      </c>
      <c r="D3079" s="2">
        <f t="shared" si="169"/>
        <v>2016</v>
      </c>
      <c r="E3079" s="2">
        <f t="shared" si="170"/>
        <v>8</v>
      </c>
      <c r="F3079" s="3" t="s">
        <v>179</v>
      </c>
      <c r="G3079" s="7">
        <v>42584</v>
      </c>
      <c r="H3079" s="6">
        <v>6599695</v>
      </c>
      <c r="I3079" s="6">
        <v>1617290</v>
      </c>
      <c r="J3079" s="5" t="s">
        <v>182</v>
      </c>
      <c r="K3079" s="1"/>
      <c r="L3079" s="1" t="str">
        <f t="shared" si="171"/>
        <v xml:space="preserve">Edssjön </v>
      </c>
      <c r="M3079" s="5" t="s">
        <v>211</v>
      </c>
      <c r="N3079" s="6">
        <v>1</v>
      </c>
      <c r="O3079" s="6">
        <v>1</v>
      </c>
      <c r="Q3079" s="6">
        <v>21.8</v>
      </c>
      <c r="R3079" s="6">
        <v>10.8</v>
      </c>
      <c r="S3079" s="6">
        <v>126</v>
      </c>
    </row>
    <row r="3080" spans="1:113" x14ac:dyDescent="0.3">
      <c r="A3080" s="6">
        <v>52941</v>
      </c>
      <c r="B3080" s="5" t="s">
        <v>238</v>
      </c>
      <c r="C3080" s="5" t="s">
        <v>231</v>
      </c>
      <c r="D3080" s="2">
        <f t="shared" si="169"/>
        <v>2016</v>
      </c>
      <c r="E3080" s="2">
        <f t="shared" si="170"/>
        <v>8</v>
      </c>
      <c r="F3080" s="3" t="s">
        <v>179</v>
      </c>
      <c r="G3080" s="7">
        <v>42584</v>
      </c>
      <c r="H3080" s="6">
        <v>6599695</v>
      </c>
      <c r="I3080" s="6">
        <v>1617290</v>
      </c>
      <c r="J3080" s="5" t="s">
        <v>182</v>
      </c>
      <c r="K3080" s="1"/>
      <c r="L3080" s="1" t="str">
        <f t="shared" si="171"/>
        <v xml:space="preserve">Edssjön </v>
      </c>
      <c r="M3080" s="5" t="s">
        <v>212</v>
      </c>
      <c r="N3080" s="6">
        <v>2</v>
      </c>
      <c r="O3080" s="6">
        <v>2</v>
      </c>
      <c r="Q3080" s="6">
        <v>21.8</v>
      </c>
      <c r="R3080" s="6">
        <v>10.7</v>
      </c>
      <c r="S3080" s="6">
        <v>126</v>
      </c>
    </row>
    <row r="3081" spans="1:113" x14ac:dyDescent="0.3">
      <c r="A3081" s="6">
        <v>52942</v>
      </c>
      <c r="B3081" s="5" t="s">
        <v>238</v>
      </c>
      <c r="C3081" s="5" t="s">
        <v>231</v>
      </c>
      <c r="D3081" s="2">
        <f t="shared" si="169"/>
        <v>2016</v>
      </c>
      <c r="E3081" s="2">
        <f t="shared" si="170"/>
        <v>8</v>
      </c>
      <c r="F3081" s="3" t="s">
        <v>179</v>
      </c>
      <c r="G3081" s="7">
        <v>42584</v>
      </c>
      <c r="H3081" s="6">
        <v>6599695</v>
      </c>
      <c r="I3081" s="6">
        <v>1617290</v>
      </c>
      <c r="J3081" s="5" t="s">
        <v>182</v>
      </c>
      <c r="K3081" s="1"/>
      <c r="L3081" s="1" t="str">
        <f t="shared" si="171"/>
        <v xml:space="preserve">Edssjön </v>
      </c>
      <c r="M3081" s="5" t="s">
        <v>213</v>
      </c>
      <c r="N3081" s="6">
        <v>3</v>
      </c>
      <c r="O3081" s="6">
        <v>3</v>
      </c>
      <c r="Q3081" s="6">
        <v>21.4</v>
      </c>
      <c r="R3081" s="6">
        <v>9.5</v>
      </c>
      <c r="S3081" s="6">
        <v>111</v>
      </c>
    </row>
    <row r="3082" spans="1:113" x14ac:dyDescent="0.3">
      <c r="A3082" s="6">
        <v>52943</v>
      </c>
      <c r="B3082" s="5" t="s">
        <v>238</v>
      </c>
      <c r="C3082" s="5" t="s">
        <v>231</v>
      </c>
      <c r="D3082" s="2">
        <f t="shared" si="169"/>
        <v>2016</v>
      </c>
      <c r="E3082" s="2">
        <f t="shared" si="170"/>
        <v>8</v>
      </c>
      <c r="F3082" s="3" t="s">
        <v>179</v>
      </c>
      <c r="G3082" s="7">
        <v>42584</v>
      </c>
      <c r="H3082" s="6">
        <v>6599695</v>
      </c>
      <c r="I3082" s="6">
        <v>1617290</v>
      </c>
      <c r="J3082" s="5" t="s">
        <v>182</v>
      </c>
      <c r="K3082" s="1"/>
      <c r="L3082" s="1" t="str">
        <f t="shared" si="171"/>
        <v xml:space="preserve">Edssjön </v>
      </c>
      <c r="M3082" s="5" t="s">
        <v>214</v>
      </c>
      <c r="N3082" s="6">
        <v>4</v>
      </c>
      <c r="O3082" s="6">
        <v>4</v>
      </c>
      <c r="Q3082" s="6">
        <v>20.399999999999999</v>
      </c>
      <c r="R3082" s="6">
        <v>1.5</v>
      </c>
      <c r="S3082" s="6">
        <v>20</v>
      </c>
    </row>
    <row r="3083" spans="1:113" x14ac:dyDescent="0.3">
      <c r="A3083" s="6">
        <v>52944</v>
      </c>
      <c r="B3083" s="5" t="s">
        <v>238</v>
      </c>
      <c r="C3083" s="5" t="s">
        <v>231</v>
      </c>
      <c r="D3083" s="2">
        <f t="shared" si="169"/>
        <v>2016</v>
      </c>
      <c r="E3083" s="2">
        <f t="shared" si="170"/>
        <v>8</v>
      </c>
      <c r="F3083" s="3" t="s">
        <v>179</v>
      </c>
      <c r="G3083" s="7">
        <v>42584</v>
      </c>
      <c r="H3083" s="6">
        <v>6599695</v>
      </c>
      <c r="I3083" s="6">
        <v>1617290</v>
      </c>
      <c r="J3083" s="5" t="s">
        <v>182</v>
      </c>
      <c r="K3083" s="1"/>
      <c r="L3083" s="1" t="str">
        <f t="shared" si="171"/>
        <v xml:space="preserve">Edssjön </v>
      </c>
      <c r="M3083" s="1" t="s">
        <v>184</v>
      </c>
      <c r="Q3083" s="6">
        <v>19.899999999999999</v>
      </c>
      <c r="R3083" s="6">
        <v>0.2</v>
      </c>
      <c r="S3083" s="6">
        <v>1</v>
      </c>
      <c r="V3083" s="6">
        <v>2.4237154150000002</v>
      </c>
      <c r="W3083" s="6">
        <v>146.9727</v>
      </c>
      <c r="X3083" s="1">
        <f>W3083 * (1/((10^((0.0901821 + (2729.92 /(273.15 + Q3083)))-AE3083)+1)))</f>
        <v>12.395027387815164</v>
      </c>
      <c r="Y3083" s="6">
        <v>6.3E-2</v>
      </c>
      <c r="Z3083" s="6">
        <v>24.77</v>
      </c>
      <c r="AA3083" s="6">
        <v>10.3</v>
      </c>
      <c r="AD3083" s="6">
        <v>2.12</v>
      </c>
      <c r="AE3083" s="6">
        <v>8.3699999999999992</v>
      </c>
      <c r="AK3083" s="6">
        <v>122.33</v>
      </c>
      <c r="AL3083" s="6">
        <v>1381.64</v>
      </c>
      <c r="AM3083" s="6"/>
      <c r="AN3083" s="6"/>
      <c r="AO3083" s="6"/>
      <c r="AP3083" s="6"/>
      <c r="AQ3083" s="6"/>
    </row>
    <row r="3084" spans="1:113" x14ac:dyDescent="0.3">
      <c r="A3084" s="6">
        <v>52945</v>
      </c>
      <c r="B3084" s="5" t="s">
        <v>238</v>
      </c>
      <c r="C3084" s="5" t="s">
        <v>231</v>
      </c>
      <c r="D3084" s="2">
        <f t="shared" si="169"/>
        <v>2016</v>
      </c>
      <c r="E3084" s="2">
        <f t="shared" si="170"/>
        <v>8</v>
      </c>
      <c r="F3084" s="3" t="s">
        <v>179</v>
      </c>
      <c r="G3084" s="7">
        <v>42584</v>
      </c>
      <c r="H3084" s="6">
        <v>6599695</v>
      </c>
      <c r="I3084" s="6">
        <v>1617290</v>
      </c>
      <c r="J3084" s="5" t="s">
        <v>182</v>
      </c>
      <c r="K3084" s="1"/>
      <c r="L3084" s="1" t="str">
        <f t="shared" si="171"/>
        <v xml:space="preserve">Edssjön </v>
      </c>
      <c r="M3084" s="5" t="s">
        <v>241</v>
      </c>
      <c r="N3084" s="6">
        <v>2</v>
      </c>
      <c r="O3084" s="6">
        <v>0</v>
      </c>
      <c r="X3084" s="6">
        <v>0</v>
      </c>
      <c r="AE3084" s="6">
        <v>8.8000000000000007</v>
      </c>
      <c r="AJ3084" s="6">
        <v>13.2</v>
      </c>
      <c r="BQ3084" s="6">
        <v>6.83</v>
      </c>
      <c r="BR3084" s="6">
        <v>8.7399999999999908E-3</v>
      </c>
      <c r="BS3084" s="6">
        <v>0.16</v>
      </c>
      <c r="BT3084" s="6">
        <v>6.7500000000000004E-2</v>
      </c>
      <c r="BU3084" s="6">
        <v>2.09</v>
      </c>
      <c r="BV3084" s="6">
        <v>1.21</v>
      </c>
      <c r="BW3084" s="6">
        <v>1.71</v>
      </c>
      <c r="BX3084" s="6">
        <v>1.7899999999999899E-2</v>
      </c>
      <c r="BY3084" s="6">
        <v>3.07</v>
      </c>
      <c r="BZ3084" s="6">
        <v>44.1</v>
      </c>
      <c r="CA3084" s="6">
        <v>7.52</v>
      </c>
      <c r="CC3084" s="6">
        <v>3.2699999999999899E-3</v>
      </c>
      <c r="CD3084" s="6">
        <v>5.59</v>
      </c>
      <c r="CE3084" s="6">
        <v>31.4</v>
      </c>
      <c r="CF3084" s="6">
        <v>0.96699999999999897</v>
      </c>
      <c r="CG3084" s="6">
        <v>1.89</v>
      </c>
      <c r="CH3084" s="6">
        <v>14.4</v>
      </c>
      <c r="CI3084" s="6">
        <v>1E-3</v>
      </c>
      <c r="CJ3084" s="6">
        <v>1.76</v>
      </c>
      <c r="CK3084" s="6">
        <v>51.9</v>
      </c>
      <c r="CL3084" s="6">
        <v>1.0900000000000001</v>
      </c>
      <c r="CM3084" s="6">
        <v>122</v>
      </c>
      <c r="CN3084" s="6">
        <v>15.3</v>
      </c>
      <c r="CO3084" s="6">
        <v>110</v>
      </c>
      <c r="CP3084" s="22">
        <v>4.1000000000000003E-3</v>
      </c>
      <c r="CQ3084" s="6">
        <v>5.0000000000000001E-4</v>
      </c>
      <c r="CR3084" s="6">
        <v>5.0000000000000001E-4</v>
      </c>
      <c r="CS3084" s="6">
        <v>5.0000000000000001E-4</v>
      </c>
      <c r="CT3084" s="6">
        <v>5.0000000000000001E-4</v>
      </c>
      <c r="CU3084" s="6">
        <v>5.0000000000000001E-4</v>
      </c>
      <c r="CV3084" s="6">
        <v>5.0000000000000001E-4</v>
      </c>
      <c r="CW3084" s="6">
        <v>5.0000000000000001E-4</v>
      </c>
      <c r="CX3084" s="6">
        <v>5.0000000000000001E-4</v>
      </c>
      <c r="CY3084" s="6">
        <v>5.0000000000000001E-4</v>
      </c>
      <c r="CZ3084" s="6">
        <v>5.0000000000000001E-4</v>
      </c>
      <c r="DA3084" s="6">
        <v>5.0000000000000001E-4</v>
      </c>
      <c r="DB3084" s="6">
        <v>5.0000000000000001E-4</v>
      </c>
      <c r="DC3084" s="6">
        <v>5.0000000000000001E-4</v>
      </c>
      <c r="DD3084" s="6">
        <v>5.0000000000000001E-4</v>
      </c>
      <c r="DE3084" s="6">
        <v>5.0000000000000001E-4</v>
      </c>
      <c r="DF3084" s="6">
        <v>5.0000000000000001E-4</v>
      </c>
      <c r="DG3084" s="6">
        <v>5.0000000000000001E-4</v>
      </c>
      <c r="DH3084" s="6">
        <v>5</v>
      </c>
      <c r="DI3084" s="6">
        <v>5</v>
      </c>
    </row>
    <row r="3085" spans="1:113" x14ac:dyDescent="0.3">
      <c r="D3085" s="2">
        <f t="shared" si="169"/>
        <v>2016</v>
      </c>
      <c r="E3085" s="2">
        <f t="shared" si="170"/>
        <v>8</v>
      </c>
      <c r="F3085" s="3" t="s">
        <v>179</v>
      </c>
      <c r="G3085" s="4">
        <v>42591</v>
      </c>
      <c r="H3085" s="1">
        <v>6606238</v>
      </c>
      <c r="I3085" s="1">
        <v>661152</v>
      </c>
      <c r="J3085" s="5" t="s">
        <v>176</v>
      </c>
      <c r="K3085" s="1"/>
      <c r="L3085" s="1" t="str">
        <f t="shared" si="171"/>
        <v xml:space="preserve">Oxundaån </v>
      </c>
      <c r="M3085" s="1" t="s">
        <v>177</v>
      </c>
      <c r="N3085" s="1">
        <v>0.1</v>
      </c>
      <c r="O3085" s="1">
        <v>0.1</v>
      </c>
      <c r="Q3085" s="1">
        <v>19.100000000000001</v>
      </c>
      <c r="T3085" s="1">
        <v>40.200000000000003</v>
      </c>
      <c r="V3085" s="1">
        <v>2.3809999999999998</v>
      </c>
      <c r="W3085" s="1">
        <v>54</v>
      </c>
      <c r="X3085" s="1">
        <f>W3085 * (1/((10^((0.0901821 + (2729.92 /(273.15 + Q3085)))-AE3085)+1)))</f>
        <v>0.80290140738753535</v>
      </c>
      <c r="Y3085" s="1">
        <v>5.8000000000000003E-2</v>
      </c>
      <c r="Z3085" s="1">
        <v>38</v>
      </c>
      <c r="AA3085" s="1">
        <v>2</v>
      </c>
      <c r="AB3085" s="1">
        <v>5.8</v>
      </c>
      <c r="AD3085" s="1">
        <v>13</v>
      </c>
      <c r="AE3085" s="1">
        <v>7.61</v>
      </c>
      <c r="AI3085" s="1">
        <v>11.4</v>
      </c>
      <c r="AK3085" s="1">
        <v>70.900000000000006</v>
      </c>
      <c r="AL3085" s="1">
        <v>737</v>
      </c>
      <c r="AR3085" s="1">
        <v>50</v>
      </c>
      <c r="AT3085" s="1">
        <v>4.3010000000000002</v>
      </c>
      <c r="AU3085" s="1">
        <v>8.1070000000000011</v>
      </c>
      <c r="AV3085" s="1">
        <v>28.005500000000005</v>
      </c>
      <c r="AW3085" s="1">
        <v>20.875400000000003</v>
      </c>
      <c r="AX3085" s="1">
        <v>36.9985</v>
      </c>
      <c r="AY3085" s="1">
        <v>1.1000000000000001</v>
      </c>
    </row>
    <row r="3086" spans="1:113" x14ac:dyDescent="0.3">
      <c r="A3086" s="1">
        <v>53314</v>
      </c>
      <c r="B3086" s="1" t="s">
        <v>237</v>
      </c>
      <c r="C3086" s="1" t="s">
        <v>209</v>
      </c>
      <c r="D3086" s="2">
        <f t="shared" si="169"/>
        <v>2016</v>
      </c>
      <c r="E3086" s="2">
        <f t="shared" si="170"/>
        <v>8</v>
      </c>
      <c r="F3086" s="3" t="s">
        <v>179</v>
      </c>
      <c r="G3086" s="4">
        <v>42600</v>
      </c>
      <c r="H3086" s="1">
        <v>6600935</v>
      </c>
      <c r="I3086" s="1">
        <v>1626764</v>
      </c>
      <c r="J3086" s="1" t="s">
        <v>191</v>
      </c>
      <c r="K3086" s="1" t="s">
        <v>210</v>
      </c>
      <c r="L3086" s="1" t="str">
        <f t="shared" si="171"/>
        <v>Vallentunasjön Va2</v>
      </c>
      <c r="M3086" s="1" t="s">
        <v>177</v>
      </c>
      <c r="N3086" s="1">
        <v>0.5</v>
      </c>
      <c r="O3086" s="1">
        <v>0.5</v>
      </c>
      <c r="P3086" s="1">
        <v>0.6</v>
      </c>
      <c r="Q3086" s="1">
        <v>16.100000000000001</v>
      </c>
      <c r="R3086" s="1">
        <v>10.3</v>
      </c>
      <c r="S3086" s="1">
        <v>102</v>
      </c>
    </row>
    <row r="3087" spans="1:113" x14ac:dyDescent="0.3">
      <c r="A3087" s="1">
        <v>53315</v>
      </c>
      <c r="B3087" s="1" t="s">
        <v>237</v>
      </c>
      <c r="C3087" s="1" t="s">
        <v>209</v>
      </c>
      <c r="D3087" s="2">
        <f t="shared" si="169"/>
        <v>2016</v>
      </c>
      <c r="E3087" s="2">
        <f t="shared" si="170"/>
        <v>8</v>
      </c>
      <c r="F3087" s="3" t="s">
        <v>179</v>
      </c>
      <c r="G3087" s="4">
        <v>42600</v>
      </c>
      <c r="H3087" s="1">
        <v>6600935</v>
      </c>
      <c r="I3087" s="1">
        <v>1626764</v>
      </c>
      <c r="J3087" s="1" t="s">
        <v>191</v>
      </c>
      <c r="K3087" s="1" t="s">
        <v>210</v>
      </c>
      <c r="L3087" s="1" t="str">
        <f t="shared" si="171"/>
        <v>Vallentunasjön Va2</v>
      </c>
      <c r="M3087" s="1" t="s">
        <v>211</v>
      </c>
      <c r="N3087" s="1">
        <v>1</v>
      </c>
      <c r="O3087" s="1">
        <v>1</v>
      </c>
      <c r="Q3087" s="1">
        <v>16.100000000000001</v>
      </c>
      <c r="R3087" s="1">
        <v>10.199999999999999</v>
      </c>
      <c r="S3087" s="1">
        <v>101</v>
      </c>
    </row>
    <row r="3088" spans="1:113" x14ac:dyDescent="0.3">
      <c r="A3088" s="1">
        <v>53316</v>
      </c>
      <c r="B3088" s="1" t="s">
        <v>237</v>
      </c>
      <c r="C3088" s="1" t="s">
        <v>209</v>
      </c>
      <c r="D3088" s="2">
        <f t="shared" si="169"/>
        <v>2016</v>
      </c>
      <c r="E3088" s="2">
        <f t="shared" si="170"/>
        <v>8</v>
      </c>
      <c r="F3088" s="3" t="s">
        <v>179</v>
      </c>
      <c r="G3088" s="4">
        <v>42600</v>
      </c>
      <c r="H3088" s="1">
        <v>6600935</v>
      </c>
      <c r="I3088" s="1">
        <v>1626764</v>
      </c>
      <c r="J3088" s="1" t="s">
        <v>191</v>
      </c>
      <c r="K3088" s="1" t="s">
        <v>210</v>
      </c>
      <c r="L3088" s="1" t="str">
        <f t="shared" si="171"/>
        <v>Vallentunasjön Va2</v>
      </c>
      <c r="M3088" s="1" t="s">
        <v>212</v>
      </c>
      <c r="N3088" s="1">
        <v>2</v>
      </c>
      <c r="O3088" s="1">
        <v>2</v>
      </c>
      <c r="Q3088" s="1">
        <v>16.100000000000001</v>
      </c>
      <c r="R3088" s="1">
        <v>10.1</v>
      </c>
      <c r="S3088" s="1">
        <v>100</v>
      </c>
    </row>
    <row r="3089" spans="1:93" x14ac:dyDescent="0.3">
      <c r="A3089" s="1">
        <v>53317</v>
      </c>
      <c r="B3089" s="1" t="s">
        <v>237</v>
      </c>
      <c r="C3089" s="1" t="s">
        <v>209</v>
      </c>
      <c r="D3089" s="2">
        <f t="shared" si="169"/>
        <v>2016</v>
      </c>
      <c r="E3089" s="2">
        <f t="shared" si="170"/>
        <v>8</v>
      </c>
      <c r="F3089" s="3" t="s">
        <v>179</v>
      </c>
      <c r="G3089" s="4">
        <v>42600</v>
      </c>
      <c r="H3089" s="1">
        <v>6600935</v>
      </c>
      <c r="I3089" s="1">
        <v>1626764</v>
      </c>
      <c r="J3089" s="1" t="s">
        <v>191</v>
      </c>
      <c r="K3089" s="1" t="s">
        <v>210</v>
      </c>
      <c r="L3089" s="1" t="str">
        <f t="shared" si="171"/>
        <v>Vallentunasjön Va2</v>
      </c>
      <c r="M3089" s="1" t="s">
        <v>213</v>
      </c>
      <c r="N3089" s="1">
        <v>3</v>
      </c>
      <c r="O3089" s="1">
        <v>3</v>
      </c>
      <c r="Q3089" s="1">
        <v>16.100000000000001</v>
      </c>
      <c r="R3089" s="1">
        <v>10</v>
      </c>
      <c r="S3089" s="1">
        <v>99</v>
      </c>
    </row>
    <row r="3090" spans="1:93" x14ac:dyDescent="0.3">
      <c r="A3090" s="1">
        <v>53318</v>
      </c>
      <c r="B3090" s="1" t="s">
        <v>237</v>
      </c>
      <c r="C3090" s="1" t="s">
        <v>209</v>
      </c>
      <c r="D3090" s="2">
        <f t="shared" si="169"/>
        <v>2016</v>
      </c>
      <c r="E3090" s="2">
        <f t="shared" si="170"/>
        <v>8</v>
      </c>
      <c r="F3090" s="3" t="s">
        <v>179</v>
      </c>
      <c r="G3090" s="4">
        <v>42600</v>
      </c>
      <c r="H3090" s="1">
        <v>6600935</v>
      </c>
      <c r="I3090" s="1">
        <v>1626764</v>
      </c>
      <c r="J3090" s="1" t="s">
        <v>191</v>
      </c>
      <c r="K3090" s="1" t="s">
        <v>210</v>
      </c>
      <c r="L3090" s="1" t="str">
        <f t="shared" si="171"/>
        <v>Vallentunasjön Va2</v>
      </c>
      <c r="M3090" s="1" t="s">
        <v>214</v>
      </c>
      <c r="N3090" s="1">
        <v>4</v>
      </c>
      <c r="O3090" s="1">
        <v>4</v>
      </c>
      <c r="Q3090" s="1">
        <v>16.100000000000001</v>
      </c>
      <c r="R3090" s="1">
        <v>9.8000000000000007</v>
      </c>
      <c r="S3090" s="1">
        <v>98</v>
      </c>
    </row>
    <row r="3091" spans="1:93" x14ac:dyDescent="0.3">
      <c r="A3091" s="1">
        <v>53319</v>
      </c>
      <c r="B3091" s="1" t="s">
        <v>237</v>
      </c>
      <c r="C3091" s="1" t="s">
        <v>209</v>
      </c>
      <c r="D3091" s="2">
        <f t="shared" si="169"/>
        <v>2016</v>
      </c>
      <c r="E3091" s="2">
        <f t="shared" si="170"/>
        <v>8</v>
      </c>
      <c r="F3091" s="3" t="s">
        <v>179</v>
      </c>
      <c r="G3091" s="4">
        <v>42600</v>
      </c>
      <c r="H3091" s="1">
        <v>6600935</v>
      </c>
      <c r="I3091" s="1">
        <v>1626764</v>
      </c>
      <c r="J3091" s="1" t="s">
        <v>191</v>
      </c>
      <c r="K3091" s="1" t="s">
        <v>210</v>
      </c>
      <c r="L3091" s="1" t="str">
        <f t="shared" si="171"/>
        <v>Vallentunasjön Va2</v>
      </c>
      <c r="M3091" s="1" t="s">
        <v>184</v>
      </c>
      <c r="Q3091" s="1">
        <v>16.100000000000001</v>
      </c>
    </row>
    <row r="3092" spans="1:93" x14ac:dyDescent="0.3">
      <c r="A3092" s="1">
        <v>53320</v>
      </c>
      <c r="B3092" s="1" t="s">
        <v>237</v>
      </c>
      <c r="C3092" s="1" t="s">
        <v>209</v>
      </c>
      <c r="D3092" s="2">
        <f t="shared" si="169"/>
        <v>2016</v>
      </c>
      <c r="E3092" s="2">
        <f t="shared" si="170"/>
        <v>8</v>
      </c>
      <c r="F3092" s="3" t="s">
        <v>179</v>
      </c>
      <c r="G3092" s="4">
        <v>42600</v>
      </c>
      <c r="J3092" s="1" t="s">
        <v>191</v>
      </c>
      <c r="K3092" s="1" t="s">
        <v>206</v>
      </c>
      <c r="L3092" s="1" t="str">
        <f t="shared" si="171"/>
        <v>Vallentunasjön Blandprov</v>
      </c>
      <c r="M3092" s="1" t="s">
        <v>177</v>
      </c>
      <c r="N3092" s="1">
        <v>4</v>
      </c>
      <c r="O3092" s="1">
        <v>0</v>
      </c>
      <c r="W3092" s="1">
        <v>6.5656999999999996</v>
      </c>
      <c r="Z3092" s="1">
        <v>2.39</v>
      </c>
      <c r="AB3092" s="1">
        <v>41.60745</v>
      </c>
      <c r="AD3092" s="1">
        <v>0</v>
      </c>
      <c r="AG3092" s="1">
        <v>21.5</v>
      </c>
      <c r="AK3092" s="1">
        <v>60.3</v>
      </c>
      <c r="AL3092" s="1">
        <v>1465.49</v>
      </c>
    </row>
    <row r="3093" spans="1:93" x14ac:dyDescent="0.3">
      <c r="D3093" s="2">
        <f t="shared" si="169"/>
        <v>2016</v>
      </c>
      <c r="E3093" s="2">
        <f t="shared" si="170"/>
        <v>8</v>
      </c>
      <c r="F3093" s="3" t="s">
        <v>179</v>
      </c>
      <c r="G3093" s="4">
        <v>42600</v>
      </c>
      <c r="J3093" s="1" t="s">
        <v>181</v>
      </c>
      <c r="K3093" s="1"/>
      <c r="L3093" s="1" t="str">
        <f t="shared" si="171"/>
        <v xml:space="preserve">Fysingen </v>
      </c>
      <c r="M3093" s="1" t="s">
        <v>177</v>
      </c>
      <c r="N3093" s="1">
        <v>0.5</v>
      </c>
      <c r="O3093" s="1">
        <v>0.5</v>
      </c>
      <c r="P3093" s="1">
        <v>1.4</v>
      </c>
      <c r="Q3093" s="1">
        <v>15.7</v>
      </c>
      <c r="R3093" s="1">
        <v>10.28</v>
      </c>
      <c r="V3093" s="1">
        <v>2.5979999999999999</v>
      </c>
      <c r="W3093" s="1">
        <v>14</v>
      </c>
      <c r="X3093" s="1">
        <f>W3093 * (1/((10^((0.0901821 + (2729.92 /(273.15 + Q3093)))-AE3093)+1)))</f>
        <v>0.58404223738883199</v>
      </c>
      <c r="Y3093" s="1">
        <v>3.9E-2</v>
      </c>
      <c r="Z3093" s="1">
        <v>0.5</v>
      </c>
      <c r="AA3093" s="1">
        <v>5.3</v>
      </c>
      <c r="AB3093" s="1">
        <v>22</v>
      </c>
      <c r="AC3093" s="1">
        <v>53.5</v>
      </c>
      <c r="AD3093" s="1">
        <v>4</v>
      </c>
      <c r="AE3093" s="1">
        <v>8.18</v>
      </c>
      <c r="AI3093" s="1">
        <v>11.6</v>
      </c>
      <c r="AK3093" s="1">
        <v>30.4</v>
      </c>
      <c r="AL3093" s="1">
        <v>678</v>
      </c>
      <c r="AR3093" s="1">
        <v>58</v>
      </c>
      <c r="AS3093" s="1">
        <v>0.17</v>
      </c>
      <c r="AT3093" s="1">
        <v>6.2560000000000002</v>
      </c>
      <c r="AU3093" s="1">
        <v>11.010999999999999</v>
      </c>
      <c r="AV3093" s="1">
        <v>42.54</v>
      </c>
      <c r="AW3093" s="1">
        <v>29.822000000000003</v>
      </c>
      <c r="AX3093" s="1">
        <v>72.074999999999989</v>
      </c>
      <c r="AY3093" s="1">
        <v>0.61</v>
      </c>
      <c r="AZ3093" s="1">
        <v>180</v>
      </c>
    </row>
    <row r="3094" spans="1:93" x14ac:dyDescent="0.3">
      <c r="A3094" s="6">
        <v>53368</v>
      </c>
      <c r="B3094" s="5" t="s">
        <v>238</v>
      </c>
      <c r="C3094" s="5" t="s">
        <v>231</v>
      </c>
      <c r="D3094" s="2">
        <f t="shared" si="169"/>
        <v>2016</v>
      </c>
      <c r="E3094" s="2">
        <f t="shared" si="170"/>
        <v>8</v>
      </c>
      <c r="F3094" s="3" t="s">
        <v>179</v>
      </c>
      <c r="G3094" s="7">
        <v>42604</v>
      </c>
      <c r="H3094" s="6">
        <v>6595400</v>
      </c>
      <c r="I3094" s="6">
        <v>1624045</v>
      </c>
      <c r="J3094" s="5" t="s">
        <v>183</v>
      </c>
      <c r="K3094" s="1"/>
      <c r="L3094" s="1" t="str">
        <f t="shared" si="171"/>
        <v xml:space="preserve">Fjäturen </v>
      </c>
      <c r="M3094" s="1" t="s">
        <v>177</v>
      </c>
      <c r="N3094" s="6">
        <v>0.5</v>
      </c>
      <c r="O3094" s="6">
        <v>0.5</v>
      </c>
      <c r="P3094" s="6">
        <v>4</v>
      </c>
      <c r="Q3094" s="6">
        <v>20.3</v>
      </c>
      <c r="R3094" s="6">
        <v>11</v>
      </c>
      <c r="S3094" s="6">
        <v>126</v>
      </c>
      <c r="V3094" s="6">
        <v>2.0503874999999998</v>
      </c>
      <c r="W3094" s="6">
        <v>3.7363</v>
      </c>
      <c r="X3094" s="1">
        <f>W3094 * (1/((10^((0.0901821 + (2729.92 /(273.15 + Q3094)))-AE3094)+1)))</f>
        <v>0.35933461099141734</v>
      </c>
      <c r="Y3094" s="6">
        <v>4.8000000000000001E-2</v>
      </c>
      <c r="Z3094" s="6">
        <v>1.08</v>
      </c>
      <c r="AA3094" s="6">
        <v>3.2</v>
      </c>
      <c r="AB3094" s="6">
        <v>16.602187499999999</v>
      </c>
      <c r="AD3094" s="6">
        <v>0.69</v>
      </c>
      <c r="AE3094" s="6">
        <v>8.42</v>
      </c>
      <c r="AK3094" s="6">
        <v>27.6</v>
      </c>
      <c r="AL3094" s="6">
        <v>829.19</v>
      </c>
      <c r="AM3094" s="6"/>
      <c r="AN3094" s="6"/>
      <c r="AO3094" s="6"/>
      <c r="AP3094" s="6"/>
      <c r="AQ3094" s="6"/>
    </row>
    <row r="3095" spans="1:93" x14ac:dyDescent="0.3">
      <c r="A3095" s="6">
        <v>53369</v>
      </c>
      <c r="B3095" s="5" t="s">
        <v>238</v>
      </c>
      <c r="C3095" s="5" t="s">
        <v>231</v>
      </c>
      <c r="D3095" s="2">
        <f t="shared" si="169"/>
        <v>2016</v>
      </c>
      <c r="E3095" s="2">
        <f t="shared" si="170"/>
        <v>8</v>
      </c>
      <c r="F3095" s="3" t="s">
        <v>179</v>
      </c>
      <c r="G3095" s="7">
        <v>42604</v>
      </c>
      <c r="H3095" s="6">
        <v>6595400</v>
      </c>
      <c r="I3095" s="6">
        <v>1624045</v>
      </c>
      <c r="J3095" s="5" t="s">
        <v>183</v>
      </c>
      <c r="K3095" s="1"/>
      <c r="L3095" s="1" t="str">
        <f t="shared" si="171"/>
        <v xml:space="preserve">Fjäturen </v>
      </c>
      <c r="M3095" s="5" t="s">
        <v>211</v>
      </c>
      <c r="N3095" s="6">
        <v>1</v>
      </c>
      <c r="O3095" s="6">
        <v>1</v>
      </c>
      <c r="Q3095" s="6">
        <v>19.3</v>
      </c>
      <c r="R3095" s="6">
        <v>11.8</v>
      </c>
      <c r="S3095" s="6">
        <v>132</v>
      </c>
    </row>
    <row r="3096" spans="1:93" x14ac:dyDescent="0.3">
      <c r="A3096" s="6">
        <v>53370</v>
      </c>
      <c r="B3096" s="5" t="s">
        <v>238</v>
      </c>
      <c r="C3096" s="5" t="s">
        <v>231</v>
      </c>
      <c r="D3096" s="2">
        <f t="shared" si="169"/>
        <v>2016</v>
      </c>
      <c r="E3096" s="2">
        <f t="shared" si="170"/>
        <v>8</v>
      </c>
      <c r="F3096" s="3" t="s">
        <v>179</v>
      </c>
      <c r="G3096" s="7">
        <v>42604</v>
      </c>
      <c r="H3096" s="6">
        <v>6595400</v>
      </c>
      <c r="I3096" s="6">
        <v>1624045</v>
      </c>
      <c r="J3096" s="5" t="s">
        <v>183</v>
      </c>
      <c r="K3096" s="1"/>
      <c r="L3096" s="1" t="str">
        <f t="shared" si="171"/>
        <v xml:space="preserve">Fjäturen </v>
      </c>
      <c r="M3096" s="5" t="s">
        <v>212</v>
      </c>
      <c r="N3096" s="6">
        <v>2</v>
      </c>
      <c r="O3096" s="6">
        <v>2</v>
      </c>
      <c r="Q3096" s="6">
        <v>19.100000000000001</v>
      </c>
      <c r="R3096" s="6">
        <v>11.3</v>
      </c>
      <c r="S3096" s="6">
        <v>126</v>
      </c>
    </row>
    <row r="3097" spans="1:93" x14ac:dyDescent="0.3">
      <c r="A3097" s="6">
        <v>53371</v>
      </c>
      <c r="B3097" s="5" t="s">
        <v>238</v>
      </c>
      <c r="C3097" s="5" t="s">
        <v>231</v>
      </c>
      <c r="D3097" s="2">
        <f t="shared" si="169"/>
        <v>2016</v>
      </c>
      <c r="E3097" s="2">
        <f t="shared" si="170"/>
        <v>8</v>
      </c>
      <c r="F3097" s="3" t="s">
        <v>179</v>
      </c>
      <c r="G3097" s="7">
        <v>42604</v>
      </c>
      <c r="H3097" s="6">
        <v>6595400</v>
      </c>
      <c r="I3097" s="6">
        <v>1624045</v>
      </c>
      <c r="J3097" s="5" t="s">
        <v>183</v>
      </c>
      <c r="K3097" s="1"/>
      <c r="L3097" s="1" t="str">
        <f t="shared" si="171"/>
        <v xml:space="preserve">Fjäturen </v>
      </c>
      <c r="M3097" s="5" t="s">
        <v>213</v>
      </c>
      <c r="N3097" s="6">
        <v>3</v>
      </c>
      <c r="O3097" s="6">
        <v>3</v>
      </c>
      <c r="Q3097" s="6">
        <v>17.7</v>
      </c>
      <c r="R3097" s="6">
        <v>9.6</v>
      </c>
      <c r="S3097" s="6">
        <v>103</v>
      </c>
    </row>
    <row r="3098" spans="1:93" x14ac:dyDescent="0.3">
      <c r="A3098" s="6">
        <v>53372</v>
      </c>
      <c r="B3098" s="5" t="s">
        <v>238</v>
      </c>
      <c r="C3098" s="5" t="s">
        <v>231</v>
      </c>
      <c r="D3098" s="2">
        <f t="shared" si="169"/>
        <v>2016</v>
      </c>
      <c r="E3098" s="2">
        <f t="shared" si="170"/>
        <v>8</v>
      </c>
      <c r="F3098" s="3" t="s">
        <v>179</v>
      </c>
      <c r="G3098" s="7">
        <v>42604</v>
      </c>
      <c r="H3098" s="6">
        <v>6595400</v>
      </c>
      <c r="I3098" s="6">
        <v>1624045</v>
      </c>
      <c r="J3098" s="5" t="s">
        <v>183</v>
      </c>
      <c r="K3098" s="1"/>
      <c r="L3098" s="1" t="str">
        <f t="shared" si="171"/>
        <v xml:space="preserve">Fjäturen </v>
      </c>
      <c r="M3098" s="5" t="s">
        <v>214</v>
      </c>
      <c r="N3098" s="6">
        <v>4</v>
      </c>
      <c r="O3098" s="6">
        <v>4</v>
      </c>
      <c r="Q3098" s="6">
        <v>17.100000000000001</v>
      </c>
      <c r="R3098" s="6">
        <v>7.2</v>
      </c>
      <c r="S3098" s="6">
        <v>76</v>
      </c>
    </row>
    <row r="3099" spans="1:93" x14ac:dyDescent="0.3">
      <c r="A3099" s="6">
        <v>53373</v>
      </c>
      <c r="B3099" s="5" t="s">
        <v>238</v>
      </c>
      <c r="C3099" s="5" t="s">
        <v>231</v>
      </c>
      <c r="D3099" s="2">
        <f t="shared" si="169"/>
        <v>2016</v>
      </c>
      <c r="E3099" s="2">
        <f t="shared" si="170"/>
        <v>8</v>
      </c>
      <c r="F3099" s="3" t="s">
        <v>179</v>
      </c>
      <c r="G3099" s="7">
        <v>42604</v>
      </c>
      <c r="H3099" s="6">
        <v>6595400</v>
      </c>
      <c r="I3099" s="6">
        <v>1624045</v>
      </c>
      <c r="J3099" s="5" t="s">
        <v>183</v>
      </c>
      <c r="K3099" s="1"/>
      <c r="L3099" s="1" t="str">
        <f t="shared" si="171"/>
        <v xml:space="preserve">Fjäturen </v>
      </c>
      <c r="M3099" s="5" t="s">
        <v>217</v>
      </c>
      <c r="N3099" s="6">
        <v>5</v>
      </c>
      <c r="O3099" s="6">
        <v>5</v>
      </c>
      <c r="Q3099" s="6">
        <v>16.8</v>
      </c>
      <c r="R3099" s="6">
        <v>6.8</v>
      </c>
      <c r="S3099" s="6">
        <v>72</v>
      </c>
    </row>
    <row r="3100" spans="1:93" x14ac:dyDescent="0.3">
      <c r="A3100" s="6">
        <v>53374</v>
      </c>
      <c r="B3100" s="5" t="s">
        <v>238</v>
      </c>
      <c r="C3100" s="5" t="s">
        <v>231</v>
      </c>
      <c r="D3100" s="2">
        <f t="shared" si="169"/>
        <v>2016</v>
      </c>
      <c r="E3100" s="2">
        <f t="shared" si="170"/>
        <v>8</v>
      </c>
      <c r="F3100" s="3" t="s">
        <v>179</v>
      </c>
      <c r="G3100" s="7">
        <v>42604</v>
      </c>
      <c r="H3100" s="6">
        <v>6595400</v>
      </c>
      <c r="I3100" s="6">
        <v>1624045</v>
      </c>
      <c r="J3100" s="5" t="s">
        <v>183</v>
      </c>
      <c r="K3100" s="1"/>
      <c r="L3100" s="1" t="str">
        <f t="shared" si="171"/>
        <v xml:space="preserve">Fjäturen </v>
      </c>
      <c r="M3100" s="5" t="s">
        <v>218</v>
      </c>
      <c r="N3100" s="6">
        <v>6</v>
      </c>
      <c r="O3100" s="6">
        <v>6</v>
      </c>
      <c r="Q3100" s="6">
        <v>16.399999999999999</v>
      </c>
      <c r="R3100" s="6">
        <v>3</v>
      </c>
      <c r="S3100" s="6">
        <v>31</v>
      </c>
    </row>
    <row r="3101" spans="1:93" x14ac:dyDescent="0.3">
      <c r="A3101" s="6">
        <v>53375</v>
      </c>
      <c r="B3101" s="5" t="s">
        <v>238</v>
      </c>
      <c r="C3101" s="5" t="s">
        <v>231</v>
      </c>
      <c r="D3101" s="2">
        <f t="shared" si="169"/>
        <v>2016</v>
      </c>
      <c r="E3101" s="2">
        <f t="shared" si="170"/>
        <v>8</v>
      </c>
      <c r="F3101" s="3" t="s">
        <v>179</v>
      </c>
      <c r="G3101" s="7">
        <v>42604</v>
      </c>
      <c r="H3101" s="6">
        <v>6595400</v>
      </c>
      <c r="I3101" s="6">
        <v>1624045</v>
      </c>
      <c r="J3101" s="5" t="s">
        <v>183</v>
      </c>
      <c r="K3101" s="1"/>
      <c r="L3101" s="1" t="str">
        <f t="shared" si="171"/>
        <v xml:space="preserve">Fjäturen </v>
      </c>
      <c r="M3101" s="5" t="s">
        <v>219</v>
      </c>
      <c r="N3101" s="6">
        <v>7</v>
      </c>
      <c r="O3101" s="6">
        <v>7</v>
      </c>
      <c r="Q3101" s="6">
        <v>15.6</v>
      </c>
      <c r="R3101" s="6">
        <v>0.3</v>
      </c>
      <c r="S3101" s="6">
        <v>3</v>
      </c>
    </row>
    <row r="3102" spans="1:93" x14ac:dyDescent="0.3">
      <c r="A3102" s="6">
        <v>53376</v>
      </c>
      <c r="B3102" s="5" t="s">
        <v>238</v>
      </c>
      <c r="C3102" s="5" t="s">
        <v>231</v>
      </c>
      <c r="D3102" s="2">
        <f t="shared" si="169"/>
        <v>2016</v>
      </c>
      <c r="E3102" s="2">
        <f t="shared" si="170"/>
        <v>8</v>
      </c>
      <c r="F3102" s="3" t="s">
        <v>179</v>
      </c>
      <c r="G3102" s="7">
        <v>42604</v>
      </c>
      <c r="H3102" s="6">
        <v>6595400</v>
      </c>
      <c r="I3102" s="6">
        <v>1624045</v>
      </c>
      <c r="J3102" s="5" t="s">
        <v>183</v>
      </c>
      <c r="K3102" s="1"/>
      <c r="L3102" s="1" t="str">
        <f t="shared" si="171"/>
        <v xml:space="preserve">Fjäturen </v>
      </c>
      <c r="M3102" s="5" t="s">
        <v>220</v>
      </c>
      <c r="N3102" s="6">
        <v>8</v>
      </c>
      <c r="O3102" s="6">
        <v>8</v>
      </c>
      <c r="Q3102" s="6">
        <v>12.3</v>
      </c>
      <c r="R3102" s="6">
        <v>0.1</v>
      </c>
      <c r="S3102" s="6">
        <v>1</v>
      </c>
    </row>
    <row r="3103" spans="1:93" x14ac:dyDescent="0.3">
      <c r="A3103" s="6">
        <v>53377</v>
      </c>
      <c r="B3103" s="5" t="s">
        <v>238</v>
      </c>
      <c r="C3103" s="5" t="s">
        <v>231</v>
      </c>
      <c r="D3103" s="2">
        <f t="shared" si="169"/>
        <v>2016</v>
      </c>
      <c r="E3103" s="2">
        <f t="shared" si="170"/>
        <v>8</v>
      </c>
      <c r="F3103" s="3" t="s">
        <v>179</v>
      </c>
      <c r="G3103" s="7">
        <v>42604</v>
      </c>
      <c r="H3103" s="6">
        <v>6595400</v>
      </c>
      <c r="I3103" s="6">
        <v>1624045</v>
      </c>
      <c r="J3103" s="5" t="s">
        <v>183</v>
      </c>
      <c r="K3103" s="1"/>
      <c r="L3103" s="1" t="str">
        <f t="shared" si="171"/>
        <v xml:space="preserve">Fjäturen </v>
      </c>
      <c r="M3103" s="1" t="s">
        <v>184</v>
      </c>
      <c r="N3103" s="6">
        <v>9</v>
      </c>
      <c r="O3103" s="6">
        <v>9</v>
      </c>
      <c r="Q3103" s="6">
        <v>12.3</v>
      </c>
      <c r="R3103" s="6">
        <v>0.1</v>
      </c>
      <c r="S3103" s="6">
        <v>1</v>
      </c>
      <c r="V3103" s="6">
        <v>2.2995000000000001</v>
      </c>
      <c r="W3103" s="6">
        <v>346.12599999999998</v>
      </c>
      <c r="X3103" s="1">
        <f>W3103 * (1/((10^((0.0901821 + (2729.92 /(273.15 + Q3103)))-AE3103)+1)))</f>
        <v>2.7669423433481222</v>
      </c>
      <c r="Y3103" s="6">
        <v>5.8999999999999997E-2</v>
      </c>
      <c r="Z3103" s="6">
        <v>30.02</v>
      </c>
      <c r="AA3103" s="6">
        <v>6.1</v>
      </c>
      <c r="AD3103" s="6">
        <v>1.18</v>
      </c>
      <c r="AE3103" s="6">
        <v>7.5600000000000005</v>
      </c>
      <c r="AK3103" s="6">
        <v>72.790000000000006</v>
      </c>
      <c r="AL3103" s="6">
        <v>1079.8699999999999</v>
      </c>
      <c r="AM3103" s="6"/>
      <c r="AN3103" s="6"/>
      <c r="AO3103" s="6"/>
      <c r="AP3103" s="6"/>
      <c r="AQ3103" s="6"/>
    </row>
    <row r="3104" spans="1:93" x14ac:dyDescent="0.3">
      <c r="A3104" s="6">
        <v>53378</v>
      </c>
      <c r="B3104" s="5" t="s">
        <v>238</v>
      </c>
      <c r="C3104" s="5" t="s">
        <v>231</v>
      </c>
      <c r="D3104" s="2">
        <f t="shared" si="169"/>
        <v>2016</v>
      </c>
      <c r="E3104" s="2">
        <f t="shared" si="170"/>
        <v>8</v>
      </c>
      <c r="F3104" s="3" t="s">
        <v>179</v>
      </c>
      <c r="G3104" s="7">
        <v>42604</v>
      </c>
      <c r="H3104" s="6">
        <v>6595400</v>
      </c>
      <c r="I3104" s="6">
        <v>1624045</v>
      </c>
      <c r="J3104" s="5" t="s">
        <v>183</v>
      </c>
      <c r="K3104" s="1"/>
      <c r="L3104" s="1" t="str">
        <f t="shared" si="171"/>
        <v xml:space="preserve">Fjäturen </v>
      </c>
      <c r="M3104" s="5" t="s">
        <v>228</v>
      </c>
      <c r="N3104" s="6">
        <v>4</v>
      </c>
      <c r="O3104" s="6">
        <v>0</v>
      </c>
      <c r="X3104" s="6">
        <v>0</v>
      </c>
      <c r="AE3104" s="6">
        <v>7.5</v>
      </c>
      <c r="AJ3104" s="6">
        <v>10.6</v>
      </c>
      <c r="BQ3104" s="6">
        <v>5.9</v>
      </c>
      <c r="BR3104" s="6">
        <v>1E-3</v>
      </c>
      <c r="BS3104" s="6">
        <v>3.6999999999999901E-2</v>
      </c>
      <c r="BT3104" s="6">
        <v>6.3E-2</v>
      </c>
      <c r="BU3104" s="6">
        <v>0.64800000000000002</v>
      </c>
      <c r="BV3104" s="6">
        <v>1.93</v>
      </c>
      <c r="BW3104" s="6">
        <v>1.1100000000000001</v>
      </c>
      <c r="BX3104" s="6">
        <v>1.7999999999999901E-2</v>
      </c>
      <c r="BY3104" s="6">
        <v>1.37</v>
      </c>
      <c r="BZ3104" s="6">
        <v>40.5</v>
      </c>
      <c r="CA3104" s="6">
        <v>5.17</v>
      </c>
      <c r="CC3104" s="6">
        <v>5.4999999999999901E-3</v>
      </c>
      <c r="CD3104" s="6">
        <v>2.69</v>
      </c>
      <c r="CE3104" s="6">
        <v>21.6</v>
      </c>
      <c r="CF3104" s="6">
        <v>0.61299999999999899</v>
      </c>
      <c r="CG3104" s="6">
        <v>0.80500000000000005</v>
      </c>
      <c r="CH3104" s="6">
        <v>15.8</v>
      </c>
      <c r="CI3104" s="6">
        <v>1E-3</v>
      </c>
      <c r="CJ3104" s="6">
        <v>0.98199999999999898</v>
      </c>
      <c r="CK3104" s="6">
        <v>23.8</v>
      </c>
      <c r="CL3104" s="6">
        <v>0.33400000000000002</v>
      </c>
      <c r="CM3104" s="6">
        <v>85.6</v>
      </c>
      <c r="CN3104" s="6">
        <v>5.63</v>
      </c>
      <c r="CO3104" s="6">
        <v>101</v>
      </c>
    </row>
    <row r="3105" spans="1:93" x14ac:dyDescent="0.3">
      <c r="A3105" s="6">
        <v>53379</v>
      </c>
      <c r="B3105" s="5" t="s">
        <v>238</v>
      </c>
      <c r="C3105" s="5" t="s">
        <v>231</v>
      </c>
      <c r="D3105" s="2">
        <f t="shared" si="169"/>
        <v>2016</v>
      </c>
      <c r="E3105" s="2">
        <f t="shared" si="170"/>
        <v>8</v>
      </c>
      <c r="F3105" s="3" t="s">
        <v>179</v>
      </c>
      <c r="G3105" s="7">
        <v>42604</v>
      </c>
      <c r="H3105" s="6">
        <v>6593820</v>
      </c>
      <c r="I3105" s="6">
        <v>1619360</v>
      </c>
      <c r="J3105" s="5" t="s">
        <v>188</v>
      </c>
      <c r="K3105" s="1"/>
      <c r="L3105" s="1" t="str">
        <f t="shared" si="171"/>
        <v xml:space="preserve">Ravalen </v>
      </c>
      <c r="M3105" s="1" t="s">
        <v>177</v>
      </c>
      <c r="N3105" s="6">
        <v>0.5</v>
      </c>
      <c r="O3105" s="6">
        <v>0.5</v>
      </c>
      <c r="P3105" s="6">
        <v>1.3</v>
      </c>
      <c r="Q3105" s="6">
        <v>20.6</v>
      </c>
      <c r="R3105" s="6">
        <v>11.3</v>
      </c>
      <c r="S3105" s="6">
        <v>129</v>
      </c>
      <c r="V3105" s="6">
        <v>1.9077333334</v>
      </c>
      <c r="W3105" s="6">
        <v>11.372199999999999</v>
      </c>
      <c r="X3105" s="1">
        <f>W3105 * (1/((10^((0.0901821 + (2729.92 /(273.15 + Q3105)))-AE3105)+1)))</f>
        <v>1.575920755565013</v>
      </c>
      <c r="Y3105" s="6">
        <v>5.8000000000000003E-2</v>
      </c>
      <c r="Z3105" s="6">
        <v>0.04</v>
      </c>
      <c r="AA3105" s="6">
        <v>1.17</v>
      </c>
      <c r="AB3105" s="6">
        <v>3.4817399999999998</v>
      </c>
      <c r="AD3105" s="6">
        <v>1.46</v>
      </c>
      <c r="AE3105" s="6">
        <v>8.59</v>
      </c>
      <c r="AK3105" s="6">
        <v>21.98</v>
      </c>
      <c r="AL3105" s="6">
        <v>924.34</v>
      </c>
      <c r="AM3105" s="6"/>
      <c r="AN3105" s="6"/>
      <c r="AO3105" s="6"/>
      <c r="AP3105" s="6"/>
      <c r="AQ3105" s="6"/>
    </row>
    <row r="3106" spans="1:93" x14ac:dyDescent="0.3">
      <c r="A3106" s="6">
        <v>53380</v>
      </c>
      <c r="B3106" s="5" t="s">
        <v>238</v>
      </c>
      <c r="C3106" s="5" t="s">
        <v>231</v>
      </c>
      <c r="D3106" s="2">
        <f t="shared" si="169"/>
        <v>2016</v>
      </c>
      <c r="E3106" s="2">
        <f t="shared" si="170"/>
        <v>8</v>
      </c>
      <c r="F3106" s="3" t="s">
        <v>179</v>
      </c>
      <c r="G3106" s="7">
        <v>42604</v>
      </c>
      <c r="H3106" s="6">
        <v>6593820</v>
      </c>
      <c r="I3106" s="6">
        <v>1619360</v>
      </c>
      <c r="J3106" s="5" t="s">
        <v>188</v>
      </c>
      <c r="K3106" s="1"/>
      <c r="L3106" s="1" t="str">
        <f t="shared" si="171"/>
        <v xml:space="preserve">Ravalen </v>
      </c>
      <c r="M3106" s="5" t="s">
        <v>211</v>
      </c>
      <c r="N3106" s="6">
        <v>1</v>
      </c>
      <c r="O3106" s="6">
        <v>1</v>
      </c>
      <c r="Q3106" s="6">
        <v>20.100000000000001</v>
      </c>
      <c r="R3106" s="6">
        <v>11.7</v>
      </c>
      <c r="S3106" s="6">
        <v>134</v>
      </c>
    </row>
    <row r="3107" spans="1:93" x14ac:dyDescent="0.3">
      <c r="A3107" s="6">
        <v>53381</v>
      </c>
      <c r="B3107" s="5" t="s">
        <v>238</v>
      </c>
      <c r="C3107" s="5" t="s">
        <v>231</v>
      </c>
      <c r="D3107" s="2">
        <f t="shared" si="169"/>
        <v>2016</v>
      </c>
      <c r="E3107" s="2">
        <f t="shared" si="170"/>
        <v>8</v>
      </c>
      <c r="F3107" s="3" t="s">
        <v>179</v>
      </c>
      <c r="G3107" s="7">
        <v>42604</v>
      </c>
      <c r="H3107" s="6">
        <v>6593820</v>
      </c>
      <c r="I3107" s="6">
        <v>1619360</v>
      </c>
      <c r="J3107" s="5" t="s">
        <v>188</v>
      </c>
      <c r="K3107" s="1"/>
      <c r="L3107" s="1" t="str">
        <f t="shared" si="171"/>
        <v xml:space="preserve">Ravalen </v>
      </c>
      <c r="M3107" s="1" t="s">
        <v>184</v>
      </c>
      <c r="N3107" s="6">
        <v>2</v>
      </c>
      <c r="O3107" s="6">
        <v>2</v>
      </c>
      <c r="Q3107" s="6">
        <v>20</v>
      </c>
      <c r="R3107" s="6">
        <v>11.9</v>
      </c>
      <c r="S3107" s="6">
        <v>136</v>
      </c>
      <c r="V3107" s="6">
        <v>1.9077333334</v>
      </c>
      <c r="W3107" s="6">
        <v>9.8116000000000003</v>
      </c>
      <c r="X3107" s="1">
        <f>W3107 * (1/((10^((0.0901821 + (2729.92 /(273.15 + Q3107)))-AE3107)+1)))</f>
        <v>1.3091680074597793</v>
      </c>
      <c r="Y3107" s="6">
        <v>0.06</v>
      </c>
      <c r="Z3107" s="6">
        <v>0</v>
      </c>
      <c r="AA3107" s="6">
        <v>1.1299999999999999</v>
      </c>
      <c r="AD3107" s="6">
        <v>1.25</v>
      </c>
      <c r="AE3107" s="6">
        <v>8.59</v>
      </c>
      <c r="AK3107" s="6">
        <v>21.6</v>
      </c>
      <c r="AL3107" s="6">
        <v>923.08</v>
      </c>
      <c r="AM3107" s="6"/>
      <c r="AN3107" s="6"/>
      <c r="AO3107" s="6"/>
      <c r="AP3107" s="6"/>
      <c r="AQ3107" s="6"/>
    </row>
    <row r="3108" spans="1:93" x14ac:dyDescent="0.3">
      <c r="A3108" s="6">
        <v>53382</v>
      </c>
      <c r="B3108" s="5" t="s">
        <v>238</v>
      </c>
      <c r="C3108" s="5" t="s">
        <v>231</v>
      </c>
      <c r="D3108" s="2">
        <f t="shared" si="169"/>
        <v>2016</v>
      </c>
      <c r="E3108" s="2">
        <f t="shared" si="170"/>
        <v>8</v>
      </c>
      <c r="F3108" s="3" t="s">
        <v>179</v>
      </c>
      <c r="G3108" s="7">
        <v>42604</v>
      </c>
      <c r="H3108" s="6">
        <v>6593820</v>
      </c>
      <c r="I3108" s="6">
        <v>1619360</v>
      </c>
      <c r="J3108" s="5" t="s">
        <v>188</v>
      </c>
      <c r="K3108" s="1"/>
      <c r="L3108" s="1" t="str">
        <f t="shared" si="171"/>
        <v xml:space="preserve">Ravalen </v>
      </c>
      <c r="M3108" s="5" t="s">
        <v>242</v>
      </c>
      <c r="N3108" s="6">
        <v>1</v>
      </c>
      <c r="O3108" s="6">
        <v>0</v>
      </c>
      <c r="X3108" s="6">
        <v>0</v>
      </c>
      <c r="AE3108" s="6">
        <v>7.6</v>
      </c>
      <c r="AJ3108" s="6">
        <v>10.7</v>
      </c>
      <c r="BQ3108" s="6">
        <v>2.1</v>
      </c>
      <c r="BR3108" s="6">
        <v>1E-3</v>
      </c>
      <c r="BS3108" s="6">
        <v>4.1200000000000001E-2</v>
      </c>
      <c r="BT3108" s="6">
        <v>3.2500000000000001E-2</v>
      </c>
      <c r="BU3108" s="6">
        <v>0.20200000000000001</v>
      </c>
      <c r="BV3108" s="6">
        <v>0.63700000000000001</v>
      </c>
      <c r="BW3108" s="6">
        <v>0.23300000000000001</v>
      </c>
      <c r="BX3108" s="6">
        <v>5.0000000000000001E-3</v>
      </c>
      <c r="BY3108" s="6">
        <v>0.89500000000000002</v>
      </c>
      <c r="BZ3108" s="6">
        <v>30.7</v>
      </c>
      <c r="CA3108" s="6">
        <v>6.26</v>
      </c>
      <c r="CC3108" s="6">
        <v>2.1900000000000001E-3</v>
      </c>
      <c r="CD3108" s="6">
        <v>4.66</v>
      </c>
      <c r="CE3108" s="6">
        <v>51.7</v>
      </c>
      <c r="CF3108" s="6">
        <v>0.105</v>
      </c>
      <c r="CG3108" s="6">
        <v>0.56699999999999895</v>
      </c>
      <c r="CH3108" s="6">
        <v>15</v>
      </c>
      <c r="CI3108" s="6">
        <v>1E-3</v>
      </c>
      <c r="CJ3108" s="6">
        <v>0.73499999999999899</v>
      </c>
      <c r="CK3108" s="6">
        <v>18.2</v>
      </c>
      <c r="CL3108" s="6">
        <v>0.32900000000000001</v>
      </c>
      <c r="CM3108" s="6">
        <v>91</v>
      </c>
      <c r="CN3108" s="6">
        <v>2</v>
      </c>
      <c r="CO3108" s="6">
        <v>74.900000000000006</v>
      </c>
    </row>
    <row r="3109" spans="1:93" x14ac:dyDescent="0.3">
      <c r="A3109" s="6">
        <v>53383</v>
      </c>
      <c r="B3109" s="5" t="s">
        <v>238</v>
      </c>
      <c r="C3109" s="5" t="s">
        <v>231</v>
      </c>
      <c r="D3109" s="2">
        <f t="shared" si="169"/>
        <v>2016</v>
      </c>
      <c r="E3109" s="2">
        <f t="shared" si="170"/>
        <v>8</v>
      </c>
      <c r="F3109" s="3" t="s">
        <v>179</v>
      </c>
      <c r="G3109" s="7">
        <v>42604</v>
      </c>
      <c r="H3109" s="6">
        <v>6594420</v>
      </c>
      <c r="I3109" s="6">
        <v>1615795</v>
      </c>
      <c r="J3109" s="5" t="s">
        <v>193</v>
      </c>
      <c r="K3109" s="1"/>
      <c r="L3109" s="1" t="str">
        <f t="shared" si="171"/>
        <v xml:space="preserve">Översjön </v>
      </c>
      <c r="M3109" s="1" t="s">
        <v>177</v>
      </c>
      <c r="N3109" s="6">
        <v>0.5</v>
      </c>
      <c r="O3109" s="6">
        <v>0.5</v>
      </c>
      <c r="P3109" s="6">
        <v>2.8</v>
      </c>
      <c r="Q3109" s="6">
        <v>19.899999999999999</v>
      </c>
      <c r="R3109" s="6">
        <v>10</v>
      </c>
      <c r="S3109" s="6">
        <v>113</v>
      </c>
      <c r="V3109" s="6">
        <v>2.0883277107999998</v>
      </c>
      <c r="W3109" s="6">
        <v>3.0994999999999999</v>
      </c>
      <c r="X3109" s="1">
        <f>W3109 * (1/((10^((0.0901821 + (2729.92 /(273.15 + Q3109)))-AE3109)+1)))</f>
        <v>0.1980989788809927</v>
      </c>
      <c r="Y3109" s="6">
        <v>5.2999999999999999E-2</v>
      </c>
      <c r="Z3109" s="6">
        <v>1.35</v>
      </c>
      <c r="AA3109" s="6">
        <v>2.5</v>
      </c>
      <c r="AB3109" s="6">
        <v>9.3718125000000008</v>
      </c>
      <c r="AD3109" s="6">
        <v>0.54</v>
      </c>
      <c r="AE3109" s="6">
        <v>8.24</v>
      </c>
      <c r="AK3109" s="6">
        <v>28.83</v>
      </c>
      <c r="AL3109" s="6">
        <v>974.92</v>
      </c>
      <c r="AM3109" s="6"/>
      <c r="AN3109" s="6"/>
      <c r="AO3109" s="6"/>
      <c r="AP3109" s="6"/>
      <c r="AQ3109" s="6"/>
    </row>
    <row r="3110" spans="1:93" x14ac:dyDescent="0.3">
      <c r="A3110" s="6">
        <v>53384</v>
      </c>
      <c r="B3110" s="5" t="s">
        <v>238</v>
      </c>
      <c r="C3110" s="5" t="s">
        <v>231</v>
      </c>
      <c r="D3110" s="2">
        <f t="shared" si="169"/>
        <v>2016</v>
      </c>
      <c r="E3110" s="2">
        <f t="shared" si="170"/>
        <v>8</v>
      </c>
      <c r="F3110" s="3" t="s">
        <v>179</v>
      </c>
      <c r="G3110" s="7">
        <v>42604</v>
      </c>
      <c r="H3110" s="6">
        <v>6594420</v>
      </c>
      <c r="I3110" s="6">
        <v>1615795</v>
      </c>
      <c r="J3110" s="5" t="s">
        <v>193</v>
      </c>
      <c r="K3110" s="1"/>
      <c r="L3110" s="1" t="str">
        <f t="shared" si="171"/>
        <v xml:space="preserve">Översjön </v>
      </c>
      <c r="M3110" s="5" t="s">
        <v>211</v>
      </c>
      <c r="N3110" s="6">
        <v>1</v>
      </c>
      <c r="O3110" s="6">
        <v>1</v>
      </c>
      <c r="Q3110" s="6">
        <v>19.5</v>
      </c>
      <c r="R3110" s="6">
        <v>10.3</v>
      </c>
      <c r="S3110" s="6">
        <v>116</v>
      </c>
    </row>
    <row r="3111" spans="1:93" x14ac:dyDescent="0.3">
      <c r="A3111" s="6">
        <v>53385</v>
      </c>
      <c r="B3111" s="5" t="s">
        <v>238</v>
      </c>
      <c r="C3111" s="5" t="s">
        <v>231</v>
      </c>
      <c r="D3111" s="2">
        <f t="shared" si="169"/>
        <v>2016</v>
      </c>
      <c r="E3111" s="2">
        <f t="shared" si="170"/>
        <v>8</v>
      </c>
      <c r="F3111" s="3" t="s">
        <v>179</v>
      </c>
      <c r="G3111" s="7">
        <v>42604</v>
      </c>
      <c r="H3111" s="6">
        <v>6594420</v>
      </c>
      <c r="I3111" s="6">
        <v>1615795</v>
      </c>
      <c r="J3111" s="5" t="s">
        <v>193</v>
      </c>
      <c r="K3111" s="1"/>
      <c r="L3111" s="1" t="str">
        <f t="shared" si="171"/>
        <v xml:space="preserve">Översjön </v>
      </c>
      <c r="M3111" s="5" t="s">
        <v>212</v>
      </c>
      <c r="N3111" s="6">
        <v>2</v>
      </c>
      <c r="O3111" s="6">
        <v>2</v>
      </c>
      <c r="Q3111" s="6">
        <v>18.899999999999999</v>
      </c>
      <c r="R3111" s="6">
        <v>10.7</v>
      </c>
      <c r="S3111" s="6">
        <v>119</v>
      </c>
    </row>
    <row r="3112" spans="1:93" x14ac:dyDescent="0.3">
      <c r="A3112" s="6">
        <v>53386</v>
      </c>
      <c r="B3112" s="5" t="s">
        <v>238</v>
      </c>
      <c r="C3112" s="5" t="s">
        <v>231</v>
      </c>
      <c r="D3112" s="2">
        <f t="shared" si="169"/>
        <v>2016</v>
      </c>
      <c r="E3112" s="2">
        <f t="shared" si="170"/>
        <v>8</v>
      </c>
      <c r="F3112" s="3" t="s">
        <v>179</v>
      </c>
      <c r="G3112" s="7">
        <v>42604</v>
      </c>
      <c r="H3112" s="6">
        <v>6594420</v>
      </c>
      <c r="I3112" s="6">
        <v>1615795</v>
      </c>
      <c r="J3112" s="5" t="s">
        <v>193</v>
      </c>
      <c r="K3112" s="1"/>
      <c r="L3112" s="1" t="str">
        <f t="shared" si="171"/>
        <v xml:space="preserve">Översjön </v>
      </c>
      <c r="M3112" s="5" t="s">
        <v>213</v>
      </c>
      <c r="N3112" s="6">
        <v>3</v>
      </c>
      <c r="O3112" s="6">
        <v>3</v>
      </c>
      <c r="Q3112" s="6">
        <v>17.100000000000001</v>
      </c>
      <c r="R3112" s="6">
        <v>7.9</v>
      </c>
      <c r="S3112" s="6">
        <v>73</v>
      </c>
    </row>
    <row r="3113" spans="1:93" x14ac:dyDescent="0.3">
      <c r="A3113" s="6">
        <v>53387</v>
      </c>
      <c r="B3113" s="5" t="s">
        <v>238</v>
      </c>
      <c r="C3113" s="5" t="s">
        <v>231</v>
      </c>
      <c r="D3113" s="2">
        <f t="shared" si="169"/>
        <v>2016</v>
      </c>
      <c r="E3113" s="2">
        <f t="shared" si="170"/>
        <v>8</v>
      </c>
      <c r="F3113" s="3" t="s">
        <v>179</v>
      </c>
      <c r="G3113" s="7">
        <v>42604</v>
      </c>
      <c r="H3113" s="6">
        <v>6594420</v>
      </c>
      <c r="I3113" s="6">
        <v>1615795</v>
      </c>
      <c r="J3113" s="5" t="s">
        <v>193</v>
      </c>
      <c r="K3113" s="1"/>
      <c r="L3113" s="1" t="str">
        <f t="shared" si="171"/>
        <v xml:space="preserve">Översjön </v>
      </c>
      <c r="M3113" s="1" t="s">
        <v>184</v>
      </c>
      <c r="N3113" s="6">
        <v>4</v>
      </c>
      <c r="O3113" s="6">
        <v>4</v>
      </c>
      <c r="Q3113" s="6">
        <v>17</v>
      </c>
      <c r="R3113" s="6">
        <v>5.6</v>
      </c>
      <c r="S3113" s="6">
        <v>60</v>
      </c>
      <c r="V3113" s="6">
        <v>2.0292240964000001</v>
      </c>
      <c r="W3113" s="6">
        <v>62.088799999999999</v>
      </c>
      <c r="X3113" s="1">
        <f>W3113 * (1/((10^((0.0901821 + (2729.92 /(273.15 + Q3113)))-AE3113)+1)))</f>
        <v>1.3327741487159528</v>
      </c>
      <c r="Y3113" s="6">
        <v>5.3999999999999999E-2</v>
      </c>
      <c r="Z3113" s="6">
        <v>0.39</v>
      </c>
      <c r="AA3113" s="6">
        <v>3.7</v>
      </c>
      <c r="AD3113" s="6">
        <v>0.32</v>
      </c>
      <c r="AE3113" s="6">
        <v>7.84</v>
      </c>
      <c r="AK3113" s="6">
        <v>41.87</v>
      </c>
      <c r="AL3113" s="6">
        <v>1072.3699999999999</v>
      </c>
      <c r="AM3113" s="6"/>
      <c r="AN3113" s="6"/>
      <c r="AO3113" s="6"/>
      <c r="AP3113" s="6"/>
      <c r="AQ3113" s="6"/>
    </row>
    <row r="3114" spans="1:93" x14ac:dyDescent="0.3">
      <c r="A3114" s="6">
        <v>53388</v>
      </c>
      <c r="B3114" s="5" t="s">
        <v>238</v>
      </c>
      <c r="C3114" s="5" t="s">
        <v>231</v>
      </c>
      <c r="D3114" s="2">
        <f t="shared" si="169"/>
        <v>2016</v>
      </c>
      <c r="E3114" s="2">
        <f t="shared" si="170"/>
        <v>8</v>
      </c>
      <c r="F3114" s="3" t="s">
        <v>179</v>
      </c>
      <c r="G3114" s="7">
        <v>42604</v>
      </c>
      <c r="H3114" s="6">
        <v>6594420</v>
      </c>
      <c r="I3114" s="6">
        <v>1615795</v>
      </c>
      <c r="J3114" s="5" t="s">
        <v>193</v>
      </c>
      <c r="K3114" s="1"/>
      <c r="L3114" s="1" t="str">
        <f t="shared" si="171"/>
        <v xml:space="preserve">Översjön </v>
      </c>
      <c r="M3114" s="5" t="s">
        <v>225</v>
      </c>
      <c r="N3114" s="6">
        <v>2</v>
      </c>
      <c r="O3114" s="6">
        <v>0</v>
      </c>
      <c r="X3114" s="6">
        <v>0</v>
      </c>
      <c r="AE3114" s="6">
        <v>7.5</v>
      </c>
      <c r="AJ3114" s="6">
        <v>12.4</v>
      </c>
      <c r="AR3114" s="6">
        <v>37.299999999999898</v>
      </c>
      <c r="AS3114" s="6">
        <v>2.63E-2</v>
      </c>
      <c r="AT3114" s="6">
        <v>3.44</v>
      </c>
      <c r="AU3114" s="6">
        <v>4.3499999999999899</v>
      </c>
      <c r="AW3114" s="6">
        <v>42.5</v>
      </c>
      <c r="AY3114" s="6">
        <v>1.22</v>
      </c>
      <c r="AZ3114" s="6">
        <v>18.2</v>
      </c>
      <c r="BA3114" s="6">
        <v>1.0900000000000001</v>
      </c>
      <c r="BB3114" s="6">
        <v>17.2</v>
      </c>
      <c r="BC3114" s="6">
        <v>0.01</v>
      </c>
      <c r="BD3114" s="6">
        <v>4.2799999999999901E-2</v>
      </c>
      <c r="BE3114" s="6">
        <v>0.113</v>
      </c>
      <c r="BF3114" s="6">
        <v>0.94399999999999895</v>
      </c>
      <c r="BG3114" s="6">
        <v>1E-3</v>
      </c>
      <c r="BH3114" s="6">
        <v>37.700000000000003</v>
      </c>
      <c r="BI3114" s="6">
        <v>0.91500000000000004</v>
      </c>
      <c r="BJ3114" s="6">
        <v>0.45</v>
      </c>
      <c r="BK3114" s="6">
        <v>32.6</v>
      </c>
      <c r="BL3114" s="6">
        <v>0.216</v>
      </c>
      <c r="BM3114" s="6">
        <v>82.7</v>
      </c>
      <c r="BN3114" s="6">
        <v>0.59699999999999898</v>
      </c>
      <c r="BO3114" s="6">
        <v>5.4</v>
      </c>
      <c r="BQ3114" s="6">
        <v>3.82</v>
      </c>
      <c r="BR3114" s="6">
        <v>3.0599999999999898E-3</v>
      </c>
      <c r="BS3114" s="6">
        <v>3.54999999999999E-2</v>
      </c>
      <c r="BT3114" s="6">
        <v>6.13E-2</v>
      </c>
      <c r="BU3114" s="6">
        <v>0.41599999999999898</v>
      </c>
      <c r="BV3114" s="6">
        <v>1.65</v>
      </c>
      <c r="BW3114" s="6">
        <v>0.34100000000000003</v>
      </c>
      <c r="BX3114" s="6">
        <v>2.7099999999999898E-2</v>
      </c>
      <c r="BY3114" s="6">
        <v>3.72</v>
      </c>
      <c r="BZ3114" s="6">
        <v>38.299999999999898</v>
      </c>
      <c r="CA3114" s="6">
        <v>4.46</v>
      </c>
      <c r="CC3114" s="6">
        <v>7.0899999999999904E-3</v>
      </c>
      <c r="CD3114" s="6">
        <v>3.48</v>
      </c>
      <c r="CE3114" s="6">
        <v>42.3</v>
      </c>
      <c r="CF3114" s="6">
        <v>1.1599999999999899</v>
      </c>
      <c r="CG3114" s="6">
        <v>1.01</v>
      </c>
      <c r="CH3114" s="6">
        <v>15.2</v>
      </c>
      <c r="CI3114" s="6">
        <v>1E-3</v>
      </c>
      <c r="CJ3114" s="6">
        <v>0.88600000000000001</v>
      </c>
      <c r="CK3114" s="6">
        <v>13.3</v>
      </c>
      <c r="CL3114" s="6">
        <v>0.45800000000000002</v>
      </c>
      <c r="CM3114" s="6">
        <v>84.3</v>
      </c>
      <c r="CN3114" s="6">
        <v>2.46</v>
      </c>
      <c r="CO3114" s="6">
        <v>93.9</v>
      </c>
    </row>
    <row r="3115" spans="1:93" x14ac:dyDescent="0.3">
      <c r="A3115" s="6">
        <v>53389</v>
      </c>
      <c r="B3115" s="5" t="s">
        <v>238</v>
      </c>
      <c r="C3115" s="5" t="s">
        <v>231</v>
      </c>
      <c r="D3115" s="2">
        <f t="shared" si="169"/>
        <v>2016</v>
      </c>
      <c r="E3115" s="2">
        <f t="shared" si="170"/>
        <v>8</v>
      </c>
      <c r="F3115" s="3" t="s">
        <v>179</v>
      </c>
      <c r="G3115" s="7">
        <v>42604</v>
      </c>
      <c r="H3115" s="6">
        <v>6593820</v>
      </c>
      <c r="I3115" s="6">
        <v>1624215</v>
      </c>
      <c r="J3115" s="5" t="s">
        <v>189</v>
      </c>
      <c r="K3115" s="1"/>
      <c r="L3115" s="1" t="str">
        <f t="shared" si="171"/>
        <v xml:space="preserve">Rösjön </v>
      </c>
      <c r="M3115" s="1" t="s">
        <v>177</v>
      </c>
      <c r="N3115" s="6">
        <v>0.5</v>
      </c>
      <c r="O3115" s="6">
        <v>0.5</v>
      </c>
      <c r="P3115" s="6">
        <v>5.2</v>
      </c>
      <c r="Q3115" s="6">
        <v>20.100000000000001</v>
      </c>
      <c r="R3115" s="6">
        <v>9.9</v>
      </c>
      <c r="S3115" s="6">
        <v>111</v>
      </c>
      <c r="V3115" s="6">
        <v>1.6943036143999999</v>
      </c>
      <c r="W3115" s="6">
        <v>3.5954000000000002</v>
      </c>
      <c r="X3115" s="1">
        <f>W3115 * (1/((10^((0.0901821 + (2729.92 /(273.15 + Q3115)))-AE3115)+1)))</f>
        <v>0.23802759353672381</v>
      </c>
      <c r="Y3115" s="6">
        <v>2.8000000000000001E-2</v>
      </c>
      <c r="Z3115" s="6">
        <v>0.16</v>
      </c>
      <c r="AA3115" s="6">
        <v>1.75</v>
      </c>
      <c r="AB3115" s="6">
        <v>7.3125900000000001</v>
      </c>
      <c r="AD3115" s="6">
        <v>2.44</v>
      </c>
      <c r="AE3115" s="6">
        <v>8.25</v>
      </c>
      <c r="AK3115" s="6">
        <v>17.48</v>
      </c>
      <c r="AL3115" s="6">
        <v>626.67999999999995</v>
      </c>
      <c r="AM3115" s="6"/>
      <c r="AN3115" s="6"/>
      <c r="AO3115" s="6"/>
      <c r="AP3115" s="6"/>
      <c r="AQ3115" s="6"/>
    </row>
    <row r="3116" spans="1:93" x14ac:dyDescent="0.3">
      <c r="A3116" s="6">
        <v>53390</v>
      </c>
      <c r="B3116" s="5" t="s">
        <v>238</v>
      </c>
      <c r="C3116" s="5" t="s">
        <v>231</v>
      </c>
      <c r="D3116" s="2">
        <f t="shared" si="169"/>
        <v>2016</v>
      </c>
      <c r="E3116" s="2">
        <f t="shared" si="170"/>
        <v>8</v>
      </c>
      <c r="F3116" s="3" t="s">
        <v>179</v>
      </c>
      <c r="G3116" s="7">
        <v>42604</v>
      </c>
      <c r="H3116" s="6">
        <v>6593820</v>
      </c>
      <c r="I3116" s="6">
        <v>1624215</v>
      </c>
      <c r="J3116" s="5" t="s">
        <v>189</v>
      </c>
      <c r="K3116" s="1"/>
      <c r="L3116" s="1" t="str">
        <f t="shared" si="171"/>
        <v xml:space="preserve">Rösjön </v>
      </c>
      <c r="M3116" s="5" t="s">
        <v>211</v>
      </c>
      <c r="N3116" s="6">
        <v>1</v>
      </c>
      <c r="O3116" s="6">
        <v>1</v>
      </c>
      <c r="Q3116" s="6">
        <v>20</v>
      </c>
      <c r="R3116" s="6">
        <v>10.1</v>
      </c>
      <c r="S3116" s="6">
        <v>114</v>
      </c>
    </row>
    <row r="3117" spans="1:93" x14ac:dyDescent="0.3">
      <c r="A3117" s="6">
        <v>53391</v>
      </c>
      <c r="B3117" s="5" t="s">
        <v>238</v>
      </c>
      <c r="C3117" s="5" t="s">
        <v>231</v>
      </c>
      <c r="D3117" s="2">
        <f t="shared" si="169"/>
        <v>2016</v>
      </c>
      <c r="E3117" s="2">
        <f t="shared" si="170"/>
        <v>8</v>
      </c>
      <c r="F3117" s="3" t="s">
        <v>179</v>
      </c>
      <c r="G3117" s="7">
        <v>42604</v>
      </c>
      <c r="H3117" s="6">
        <v>6593820</v>
      </c>
      <c r="I3117" s="6">
        <v>1624215</v>
      </c>
      <c r="J3117" s="5" t="s">
        <v>189</v>
      </c>
      <c r="K3117" s="1"/>
      <c r="L3117" s="1" t="str">
        <f t="shared" si="171"/>
        <v xml:space="preserve">Rösjön </v>
      </c>
      <c r="M3117" s="5" t="s">
        <v>212</v>
      </c>
      <c r="N3117" s="6">
        <v>2</v>
      </c>
      <c r="O3117" s="6">
        <v>2</v>
      </c>
      <c r="Q3117" s="6">
        <v>19.2</v>
      </c>
      <c r="R3117" s="6">
        <v>10.7</v>
      </c>
      <c r="S3117" s="6">
        <v>118</v>
      </c>
    </row>
    <row r="3118" spans="1:93" x14ac:dyDescent="0.3">
      <c r="A3118" s="6">
        <v>53392</v>
      </c>
      <c r="B3118" s="5" t="s">
        <v>238</v>
      </c>
      <c r="C3118" s="5" t="s">
        <v>231</v>
      </c>
      <c r="D3118" s="2">
        <f t="shared" si="169"/>
        <v>2016</v>
      </c>
      <c r="E3118" s="2">
        <f t="shared" si="170"/>
        <v>8</v>
      </c>
      <c r="F3118" s="3" t="s">
        <v>179</v>
      </c>
      <c r="G3118" s="7">
        <v>42604</v>
      </c>
      <c r="H3118" s="6">
        <v>6593820</v>
      </c>
      <c r="I3118" s="6">
        <v>1624215</v>
      </c>
      <c r="J3118" s="5" t="s">
        <v>189</v>
      </c>
      <c r="K3118" s="1"/>
      <c r="L3118" s="1" t="str">
        <f t="shared" si="171"/>
        <v xml:space="preserve">Rösjön </v>
      </c>
      <c r="M3118" s="5" t="s">
        <v>213</v>
      </c>
      <c r="N3118" s="6">
        <v>3</v>
      </c>
      <c r="O3118" s="6">
        <v>3</v>
      </c>
      <c r="Q3118" s="6">
        <v>18.3</v>
      </c>
      <c r="R3118" s="6">
        <v>10.8</v>
      </c>
      <c r="S3118" s="6">
        <v>118</v>
      </c>
    </row>
    <row r="3119" spans="1:93" x14ac:dyDescent="0.3">
      <c r="A3119" s="6">
        <v>53393</v>
      </c>
      <c r="B3119" s="5" t="s">
        <v>238</v>
      </c>
      <c r="C3119" s="5" t="s">
        <v>231</v>
      </c>
      <c r="D3119" s="2">
        <f t="shared" si="169"/>
        <v>2016</v>
      </c>
      <c r="E3119" s="2">
        <f t="shared" si="170"/>
        <v>8</v>
      </c>
      <c r="F3119" s="3" t="s">
        <v>179</v>
      </c>
      <c r="G3119" s="7">
        <v>42604</v>
      </c>
      <c r="H3119" s="6">
        <v>6593820</v>
      </c>
      <c r="I3119" s="6">
        <v>1624215</v>
      </c>
      <c r="J3119" s="5" t="s">
        <v>189</v>
      </c>
      <c r="K3119" s="1"/>
      <c r="L3119" s="1" t="str">
        <f t="shared" si="171"/>
        <v xml:space="preserve">Rösjön </v>
      </c>
      <c r="M3119" s="5" t="s">
        <v>214</v>
      </c>
      <c r="N3119" s="6">
        <v>4</v>
      </c>
      <c r="O3119" s="6">
        <v>4</v>
      </c>
      <c r="Q3119" s="6">
        <v>17.7</v>
      </c>
      <c r="R3119" s="6">
        <v>9.1999999999999993</v>
      </c>
      <c r="S3119" s="6">
        <v>99</v>
      </c>
    </row>
    <row r="3120" spans="1:93" x14ac:dyDescent="0.3">
      <c r="A3120" s="6">
        <v>53394</v>
      </c>
      <c r="B3120" s="5" t="s">
        <v>238</v>
      </c>
      <c r="C3120" s="5" t="s">
        <v>231</v>
      </c>
      <c r="D3120" s="2">
        <f t="shared" si="169"/>
        <v>2016</v>
      </c>
      <c r="E3120" s="2">
        <f t="shared" si="170"/>
        <v>8</v>
      </c>
      <c r="F3120" s="3" t="s">
        <v>179</v>
      </c>
      <c r="G3120" s="7">
        <v>42604</v>
      </c>
      <c r="H3120" s="6">
        <v>6593820</v>
      </c>
      <c r="I3120" s="6">
        <v>1624215</v>
      </c>
      <c r="J3120" s="5" t="s">
        <v>189</v>
      </c>
      <c r="K3120" s="1"/>
      <c r="L3120" s="1" t="str">
        <f t="shared" si="171"/>
        <v xml:space="preserve">Rösjön </v>
      </c>
      <c r="M3120" s="5" t="s">
        <v>217</v>
      </c>
      <c r="N3120" s="6">
        <v>5</v>
      </c>
      <c r="O3120" s="6">
        <v>5</v>
      </c>
      <c r="Q3120" s="6">
        <v>17.399999999999999</v>
      </c>
      <c r="R3120" s="6">
        <v>7.8</v>
      </c>
      <c r="S3120" s="6">
        <v>83</v>
      </c>
    </row>
    <row r="3121" spans="1:93" x14ac:dyDescent="0.3">
      <c r="A3121" s="6">
        <v>53395</v>
      </c>
      <c r="B3121" s="5" t="s">
        <v>238</v>
      </c>
      <c r="C3121" s="5" t="s">
        <v>231</v>
      </c>
      <c r="D3121" s="2">
        <f t="shared" si="169"/>
        <v>2016</v>
      </c>
      <c r="E3121" s="2">
        <f t="shared" si="170"/>
        <v>8</v>
      </c>
      <c r="F3121" s="3" t="s">
        <v>179</v>
      </c>
      <c r="G3121" s="7">
        <v>42604</v>
      </c>
      <c r="H3121" s="6">
        <v>6593820</v>
      </c>
      <c r="I3121" s="6">
        <v>1624215</v>
      </c>
      <c r="J3121" s="5" t="s">
        <v>189</v>
      </c>
      <c r="K3121" s="1"/>
      <c r="L3121" s="1" t="str">
        <f t="shared" si="171"/>
        <v xml:space="preserve">Rösjön </v>
      </c>
      <c r="M3121" s="5" t="s">
        <v>218</v>
      </c>
      <c r="N3121" s="6">
        <v>6</v>
      </c>
      <c r="O3121" s="6">
        <v>6</v>
      </c>
      <c r="Q3121" s="6">
        <v>17.3</v>
      </c>
      <c r="R3121" s="6">
        <v>6.4</v>
      </c>
      <c r="S3121" s="6">
        <v>69</v>
      </c>
    </row>
    <row r="3122" spans="1:93" x14ac:dyDescent="0.3">
      <c r="A3122" s="6">
        <v>53396</v>
      </c>
      <c r="B3122" s="5" t="s">
        <v>238</v>
      </c>
      <c r="C3122" s="5" t="s">
        <v>231</v>
      </c>
      <c r="D3122" s="2">
        <f t="shared" si="169"/>
        <v>2016</v>
      </c>
      <c r="E3122" s="2">
        <f t="shared" si="170"/>
        <v>8</v>
      </c>
      <c r="F3122" s="3" t="s">
        <v>179</v>
      </c>
      <c r="G3122" s="7">
        <v>42604</v>
      </c>
      <c r="H3122" s="6">
        <v>6593820</v>
      </c>
      <c r="I3122" s="6">
        <v>1624215</v>
      </c>
      <c r="J3122" s="5" t="s">
        <v>189</v>
      </c>
      <c r="K3122" s="1"/>
      <c r="L3122" s="1" t="str">
        <f t="shared" si="171"/>
        <v xml:space="preserve">Rösjön </v>
      </c>
      <c r="M3122" s="1" t="s">
        <v>184</v>
      </c>
      <c r="N3122" s="6">
        <v>7</v>
      </c>
      <c r="O3122" s="6">
        <v>7</v>
      </c>
      <c r="Q3122" s="6">
        <v>17.3</v>
      </c>
      <c r="R3122" s="6">
        <v>5.5</v>
      </c>
      <c r="S3122" s="6">
        <v>60</v>
      </c>
      <c r="V3122" s="6">
        <v>1.7140048192999999</v>
      </c>
      <c r="W3122" s="6">
        <v>9.5450999999999997</v>
      </c>
      <c r="X3122" s="1">
        <f>W3122 * (1/((10^((0.0901821 + (2729.92 /(273.15 + Q3122)))-AE3122)+1)))</f>
        <v>0.2094261364507379</v>
      </c>
      <c r="Y3122" s="6">
        <v>3.1E-2</v>
      </c>
      <c r="Z3122" s="6">
        <v>0.91</v>
      </c>
      <c r="AA3122" s="6">
        <v>2.1</v>
      </c>
      <c r="AD3122" s="6">
        <v>0.85</v>
      </c>
      <c r="AE3122" s="6">
        <v>7.84</v>
      </c>
      <c r="AK3122" s="6">
        <v>21.5</v>
      </c>
      <c r="AL3122" s="6">
        <v>601.98</v>
      </c>
      <c r="AM3122" s="6"/>
      <c r="AN3122" s="6"/>
      <c r="AO3122" s="6"/>
      <c r="AP3122" s="6"/>
      <c r="AQ3122" s="6"/>
    </row>
    <row r="3123" spans="1:93" x14ac:dyDescent="0.3">
      <c r="A3123" s="6">
        <v>53397</v>
      </c>
      <c r="B3123" s="5" t="s">
        <v>238</v>
      </c>
      <c r="C3123" s="5" t="s">
        <v>231</v>
      </c>
      <c r="D3123" s="2">
        <f t="shared" si="169"/>
        <v>2016</v>
      </c>
      <c r="E3123" s="2">
        <f t="shared" si="170"/>
        <v>8</v>
      </c>
      <c r="F3123" s="3" t="s">
        <v>179</v>
      </c>
      <c r="G3123" s="7">
        <v>42604</v>
      </c>
      <c r="H3123" s="6">
        <v>6593820</v>
      </c>
      <c r="I3123" s="6">
        <v>1624215</v>
      </c>
      <c r="J3123" s="5" t="s">
        <v>189</v>
      </c>
      <c r="K3123" s="1"/>
      <c r="L3123" s="1" t="str">
        <f t="shared" si="171"/>
        <v xml:space="preserve">Rösjön </v>
      </c>
      <c r="M3123" s="5" t="s">
        <v>225</v>
      </c>
      <c r="N3123" s="6">
        <v>2</v>
      </c>
      <c r="O3123" s="6">
        <v>0</v>
      </c>
      <c r="X3123" s="6">
        <v>0</v>
      </c>
      <c r="AE3123" s="6">
        <v>7.4</v>
      </c>
      <c r="AI3123" s="6">
        <v>7.68</v>
      </c>
      <c r="AJ3123" s="6">
        <v>7.6</v>
      </c>
      <c r="AR3123" s="6">
        <v>29.9</v>
      </c>
      <c r="AS3123" s="6">
        <v>3.5099999999999902E-2</v>
      </c>
      <c r="AT3123" s="6">
        <v>1.96</v>
      </c>
      <c r="AU3123" s="6">
        <v>4.05</v>
      </c>
      <c r="AW3123" s="6">
        <v>14.1</v>
      </c>
      <c r="AY3123" s="6">
        <v>0.78700000000000003</v>
      </c>
      <c r="AZ3123" s="6">
        <v>9.92</v>
      </c>
      <c r="BA3123" s="6">
        <v>1.07</v>
      </c>
      <c r="BB3123" s="6">
        <v>16.100000000000001</v>
      </c>
      <c r="BC3123" s="6">
        <v>3.5400000000000002E-3</v>
      </c>
      <c r="BD3123" s="6">
        <v>1.49E-2</v>
      </c>
      <c r="BE3123" s="6">
        <v>7.2999999999999898E-2</v>
      </c>
      <c r="BF3123" s="6">
        <v>0.80100000000000005</v>
      </c>
      <c r="BG3123" s="6">
        <v>1E-3</v>
      </c>
      <c r="BH3123" s="6">
        <v>21</v>
      </c>
      <c r="BI3123" s="6">
        <v>0.58699999999999897</v>
      </c>
      <c r="BJ3123" s="6">
        <v>0.40699999999999897</v>
      </c>
      <c r="BK3123" s="6">
        <v>12.9</v>
      </c>
      <c r="BL3123" s="6">
        <v>0.158</v>
      </c>
      <c r="BM3123" s="6">
        <v>69.2</v>
      </c>
      <c r="BN3123" s="6">
        <v>0.40200000000000002</v>
      </c>
      <c r="BO3123" s="6">
        <v>0.873</v>
      </c>
      <c r="BQ3123" s="6">
        <v>1.99</v>
      </c>
      <c r="BR3123" s="6">
        <v>1E-3</v>
      </c>
      <c r="BS3123" s="6">
        <v>1.38999999999999E-2</v>
      </c>
      <c r="BT3123" s="6">
        <v>3.2000000000000001E-2</v>
      </c>
      <c r="BU3123" s="6">
        <v>0.58599999999999897</v>
      </c>
      <c r="BV3123" s="6">
        <v>0.19400000000000001</v>
      </c>
      <c r="BW3123" s="6">
        <v>0.35499999999999898</v>
      </c>
      <c r="BX3123" s="6">
        <v>5.0000000000000001E-3</v>
      </c>
      <c r="BY3123" s="6">
        <v>1.1499999999999899</v>
      </c>
      <c r="BZ3123" s="6">
        <v>31</v>
      </c>
      <c r="CA3123" s="6">
        <v>4.0999999999999899</v>
      </c>
      <c r="CC3123" s="6">
        <v>3.29E-3</v>
      </c>
      <c r="CD3123" s="6">
        <v>1.92</v>
      </c>
      <c r="CE3123" s="6">
        <v>14.6</v>
      </c>
      <c r="CF3123" s="6">
        <v>0.76800000000000002</v>
      </c>
      <c r="CG3123" s="6">
        <v>1.01</v>
      </c>
      <c r="CH3123" s="6">
        <v>16.100000000000001</v>
      </c>
      <c r="CI3123" s="6">
        <v>1E-3</v>
      </c>
      <c r="CJ3123" s="6">
        <v>0.70899999999999896</v>
      </c>
      <c r="CK3123" s="6">
        <v>9.51</v>
      </c>
      <c r="CL3123" s="6">
        <v>0.313</v>
      </c>
      <c r="CM3123" s="6">
        <v>66.7</v>
      </c>
      <c r="CN3123" s="6">
        <v>3.46</v>
      </c>
    </row>
    <row r="3124" spans="1:93" x14ac:dyDescent="0.3">
      <c r="A3124" s="6">
        <v>53398</v>
      </c>
      <c r="B3124" s="5" t="s">
        <v>238</v>
      </c>
      <c r="C3124" s="5" t="s">
        <v>231</v>
      </c>
      <c r="D3124" s="2">
        <f t="shared" si="169"/>
        <v>2016</v>
      </c>
      <c r="E3124" s="2">
        <f t="shared" si="170"/>
        <v>8</v>
      </c>
      <c r="F3124" s="3" t="s">
        <v>179</v>
      </c>
      <c r="G3124" s="7">
        <v>42604</v>
      </c>
      <c r="H3124" s="6">
        <v>6594980</v>
      </c>
      <c r="I3124" s="6">
        <v>1622960</v>
      </c>
      <c r="J3124" s="5" t="s">
        <v>192</v>
      </c>
      <c r="K3124" s="1"/>
      <c r="L3124" s="1" t="str">
        <f t="shared" si="171"/>
        <v xml:space="preserve">Väsjön </v>
      </c>
      <c r="M3124" s="1" t="s">
        <v>177</v>
      </c>
      <c r="N3124" s="6">
        <v>0.5</v>
      </c>
      <c r="O3124" s="6">
        <v>0.5</v>
      </c>
      <c r="P3124" s="6">
        <v>2.5</v>
      </c>
      <c r="Q3124" s="6">
        <v>19.600000000000001</v>
      </c>
      <c r="R3124" s="6">
        <v>8.8000000000000007</v>
      </c>
      <c r="S3124" s="6">
        <v>99</v>
      </c>
      <c r="V3124" s="6">
        <v>3.2309975902999999</v>
      </c>
      <c r="W3124" s="6">
        <v>5.6012000000000004</v>
      </c>
      <c r="X3124" s="1">
        <f>W3124 * (1/((10^((0.0901821 + (2729.92 /(273.15 + Q3124)))-AE3124)+1)))</f>
        <v>0.21670705265137016</v>
      </c>
      <c r="Y3124" s="6">
        <v>6.3E-2</v>
      </c>
      <c r="Z3124" s="6">
        <v>0</v>
      </c>
      <c r="AA3124" s="6">
        <v>0.88</v>
      </c>
      <c r="AB3124" s="6">
        <v>4.2137099999999998</v>
      </c>
      <c r="AD3124" s="6">
        <v>0.41</v>
      </c>
      <c r="AE3124" s="6">
        <v>8.02</v>
      </c>
      <c r="AK3124" s="6">
        <v>19.32</v>
      </c>
      <c r="AL3124" s="6">
        <v>812.59</v>
      </c>
      <c r="AM3124" s="6"/>
      <c r="AN3124" s="6"/>
      <c r="AO3124" s="6"/>
      <c r="AP3124" s="6"/>
      <c r="AQ3124" s="6"/>
    </row>
    <row r="3125" spans="1:93" x14ac:dyDescent="0.3">
      <c r="A3125" s="6">
        <v>53399</v>
      </c>
      <c r="B3125" s="5" t="s">
        <v>238</v>
      </c>
      <c r="C3125" s="5" t="s">
        <v>231</v>
      </c>
      <c r="D3125" s="2">
        <f t="shared" si="169"/>
        <v>2016</v>
      </c>
      <c r="E3125" s="2">
        <f t="shared" si="170"/>
        <v>8</v>
      </c>
      <c r="F3125" s="3" t="s">
        <v>179</v>
      </c>
      <c r="G3125" s="7">
        <v>42604</v>
      </c>
      <c r="H3125" s="6">
        <v>6594980</v>
      </c>
      <c r="I3125" s="6">
        <v>1622960</v>
      </c>
      <c r="J3125" s="5" t="s">
        <v>192</v>
      </c>
      <c r="K3125" s="1"/>
      <c r="L3125" s="1" t="str">
        <f t="shared" si="171"/>
        <v xml:space="preserve">Väsjön </v>
      </c>
      <c r="M3125" s="5" t="s">
        <v>211</v>
      </c>
      <c r="N3125" s="6">
        <v>1</v>
      </c>
      <c r="O3125" s="6">
        <v>1</v>
      </c>
      <c r="Q3125" s="6">
        <v>17.899999999999999</v>
      </c>
      <c r="R3125" s="6">
        <v>8</v>
      </c>
      <c r="S3125" s="6">
        <v>87</v>
      </c>
    </row>
    <row r="3126" spans="1:93" x14ac:dyDescent="0.3">
      <c r="A3126" s="6">
        <v>53400</v>
      </c>
      <c r="B3126" s="5" t="s">
        <v>238</v>
      </c>
      <c r="C3126" s="5" t="s">
        <v>231</v>
      </c>
      <c r="D3126" s="2">
        <f t="shared" si="169"/>
        <v>2016</v>
      </c>
      <c r="E3126" s="2">
        <f t="shared" si="170"/>
        <v>8</v>
      </c>
      <c r="F3126" s="3" t="s">
        <v>179</v>
      </c>
      <c r="G3126" s="7">
        <v>42604</v>
      </c>
      <c r="H3126" s="6">
        <v>6594980</v>
      </c>
      <c r="I3126" s="6">
        <v>1622960</v>
      </c>
      <c r="J3126" s="5" t="s">
        <v>192</v>
      </c>
      <c r="K3126" s="1"/>
      <c r="L3126" s="1" t="str">
        <f t="shared" si="171"/>
        <v xml:space="preserve">Väsjön </v>
      </c>
      <c r="M3126" s="5" t="s">
        <v>212</v>
      </c>
      <c r="N3126" s="6">
        <v>2</v>
      </c>
      <c r="O3126" s="6">
        <v>2</v>
      </c>
      <c r="Q3126" s="6">
        <v>17.399999999999999</v>
      </c>
      <c r="R3126" s="6">
        <v>9.6</v>
      </c>
      <c r="S3126" s="6">
        <v>105</v>
      </c>
    </row>
    <row r="3127" spans="1:93" x14ac:dyDescent="0.3">
      <c r="A3127" s="6">
        <v>53401</v>
      </c>
      <c r="B3127" s="5" t="s">
        <v>238</v>
      </c>
      <c r="C3127" s="5" t="s">
        <v>231</v>
      </c>
      <c r="D3127" s="2">
        <f t="shared" si="169"/>
        <v>2016</v>
      </c>
      <c r="E3127" s="2">
        <f t="shared" si="170"/>
        <v>8</v>
      </c>
      <c r="F3127" s="3" t="s">
        <v>179</v>
      </c>
      <c r="G3127" s="7">
        <v>42604</v>
      </c>
      <c r="H3127" s="6">
        <v>6594980</v>
      </c>
      <c r="I3127" s="6">
        <v>1622960</v>
      </c>
      <c r="J3127" s="5" t="s">
        <v>192</v>
      </c>
      <c r="K3127" s="1"/>
      <c r="L3127" s="1" t="str">
        <f t="shared" si="171"/>
        <v xml:space="preserve">Väsjön </v>
      </c>
      <c r="M3127" s="1" t="s">
        <v>184</v>
      </c>
      <c r="N3127" s="6">
        <v>2.5</v>
      </c>
      <c r="O3127" s="6">
        <v>2.5</v>
      </c>
      <c r="Q3127" s="6">
        <v>17.2</v>
      </c>
      <c r="R3127" s="6">
        <v>9.1999999999999993</v>
      </c>
      <c r="S3127" s="6">
        <v>97</v>
      </c>
      <c r="V3127" s="6">
        <v>3.3492048192000001</v>
      </c>
      <c r="W3127" s="6">
        <v>2.6572</v>
      </c>
      <c r="X3127" s="1">
        <f>W3127 * (1/((10^((0.0901821 + (2729.92 /(273.15 + Q3127)))-AE3127)+1)))</f>
        <v>8.2854284994954286E-2</v>
      </c>
      <c r="Y3127" s="6">
        <v>6.8000000000000005E-2</v>
      </c>
      <c r="Z3127" s="6">
        <v>0</v>
      </c>
      <c r="AA3127" s="6">
        <v>1</v>
      </c>
      <c r="AD3127" s="6">
        <v>3.62</v>
      </c>
      <c r="AE3127" s="6">
        <v>8</v>
      </c>
      <c r="AK3127" s="6">
        <v>17.86</v>
      </c>
      <c r="AL3127" s="6">
        <v>729.82</v>
      </c>
      <c r="AM3127" s="6"/>
      <c r="AN3127" s="6"/>
      <c r="AO3127" s="6"/>
      <c r="AP3127" s="6"/>
      <c r="AQ3127" s="6"/>
    </row>
    <row r="3128" spans="1:93" x14ac:dyDescent="0.3">
      <c r="A3128" s="6">
        <v>53402</v>
      </c>
      <c r="B3128" s="5" t="s">
        <v>238</v>
      </c>
      <c r="C3128" s="5" t="s">
        <v>231</v>
      </c>
      <c r="D3128" s="2">
        <f t="shared" si="169"/>
        <v>2016</v>
      </c>
      <c r="E3128" s="2">
        <f t="shared" si="170"/>
        <v>8</v>
      </c>
      <c r="F3128" s="3" t="s">
        <v>179</v>
      </c>
      <c r="G3128" s="7">
        <v>42604</v>
      </c>
      <c r="H3128" s="6">
        <v>6594980</v>
      </c>
      <c r="I3128" s="6">
        <v>1622960</v>
      </c>
      <c r="J3128" s="5" t="s">
        <v>192</v>
      </c>
      <c r="K3128" s="1"/>
      <c r="L3128" s="1" t="str">
        <f t="shared" si="171"/>
        <v xml:space="preserve">Väsjön </v>
      </c>
      <c r="M3128" s="5" t="s">
        <v>242</v>
      </c>
      <c r="N3128" s="6">
        <v>1</v>
      </c>
      <c r="O3128" s="6">
        <v>0</v>
      </c>
      <c r="X3128" s="6">
        <v>0</v>
      </c>
      <c r="AE3128" s="6">
        <v>7.6</v>
      </c>
      <c r="AI3128" s="6">
        <v>12.6</v>
      </c>
      <c r="AJ3128" s="6">
        <v>12.3</v>
      </c>
      <c r="AR3128" s="6">
        <v>57.2</v>
      </c>
      <c r="AS3128" s="6">
        <v>1.1900000000000001E-2</v>
      </c>
      <c r="AT3128" s="6">
        <v>3.21</v>
      </c>
      <c r="AU3128" s="6">
        <v>7.9</v>
      </c>
      <c r="AW3128" s="6">
        <v>35.700000000000003</v>
      </c>
      <c r="AY3128" s="6">
        <v>0.31</v>
      </c>
      <c r="AZ3128" s="6">
        <v>5.14</v>
      </c>
      <c r="BA3128" s="6">
        <v>0.59299999999999897</v>
      </c>
      <c r="BB3128" s="6">
        <v>31</v>
      </c>
      <c r="BC3128" s="6">
        <v>6.2199999999999903E-3</v>
      </c>
      <c r="BD3128" s="6">
        <v>3.15E-2</v>
      </c>
      <c r="BE3128" s="6">
        <v>0.11700000000000001</v>
      </c>
      <c r="BF3128" s="6">
        <v>0.45100000000000001</v>
      </c>
      <c r="BG3128" s="6">
        <v>1E-3</v>
      </c>
      <c r="BH3128" s="6">
        <v>31.4</v>
      </c>
      <c r="BI3128" s="6">
        <v>0.66600000000000004</v>
      </c>
      <c r="BJ3128" s="6">
        <v>0.28899999999999898</v>
      </c>
      <c r="BK3128" s="6">
        <v>14.4</v>
      </c>
      <c r="BL3128" s="6">
        <v>0.14499999999999899</v>
      </c>
      <c r="BM3128" s="6">
        <v>129</v>
      </c>
      <c r="BN3128" s="6">
        <v>0.25700000000000001</v>
      </c>
      <c r="BO3128" s="6">
        <v>4.37</v>
      </c>
      <c r="BQ3128" s="6">
        <v>1.33</v>
      </c>
      <c r="BR3128" s="6">
        <v>2.3500000000000001E-3</v>
      </c>
      <c r="BS3128" s="6">
        <v>2.4799999999999899E-2</v>
      </c>
      <c r="BT3128" s="6">
        <v>3.6400000000000002E-2</v>
      </c>
      <c r="BU3128" s="6">
        <v>0.29499999999999899</v>
      </c>
      <c r="BV3128" s="6">
        <v>0.32300000000000001</v>
      </c>
      <c r="BW3128" s="6">
        <v>0.27100000000000002</v>
      </c>
      <c r="BX3128" s="6">
        <v>5.0000000000000001E-3</v>
      </c>
      <c r="BY3128" s="6">
        <v>3.73</v>
      </c>
      <c r="BZ3128" s="6">
        <v>56</v>
      </c>
      <c r="CA3128" s="6">
        <v>7.59</v>
      </c>
      <c r="CC3128" s="6">
        <v>1.82E-3</v>
      </c>
      <c r="CD3128" s="6">
        <v>3.05</v>
      </c>
      <c r="CE3128" s="6">
        <v>34.700000000000003</v>
      </c>
      <c r="CF3128" s="6">
        <v>0.28899999999999898</v>
      </c>
      <c r="CG3128" s="6">
        <v>0.46300000000000002</v>
      </c>
      <c r="CH3128" s="6">
        <v>30.2</v>
      </c>
      <c r="CI3128" s="6">
        <v>1E-3</v>
      </c>
      <c r="CJ3128" s="6">
        <v>0.72199999999999898</v>
      </c>
      <c r="CK3128" s="6">
        <v>12.4</v>
      </c>
      <c r="CL3128" s="6">
        <v>0.29399999999999898</v>
      </c>
      <c r="CM3128" s="6">
        <v>118</v>
      </c>
      <c r="CN3128" s="6">
        <v>3.68</v>
      </c>
    </row>
    <row r="3129" spans="1:93" x14ac:dyDescent="0.3">
      <c r="A3129" s="6">
        <v>53403</v>
      </c>
      <c r="B3129" s="5" t="s">
        <v>238</v>
      </c>
      <c r="C3129" s="5" t="s">
        <v>231</v>
      </c>
      <c r="D3129" s="2">
        <f t="shared" si="169"/>
        <v>2016</v>
      </c>
      <c r="E3129" s="2">
        <f t="shared" si="170"/>
        <v>8</v>
      </c>
      <c r="F3129" s="3" t="s">
        <v>179</v>
      </c>
      <c r="G3129" s="7">
        <v>42604</v>
      </c>
      <c r="H3129" s="6">
        <v>6595470</v>
      </c>
      <c r="I3129" s="6">
        <v>1622370</v>
      </c>
      <c r="J3129" s="5" t="s">
        <v>190</v>
      </c>
      <c r="K3129" s="1"/>
      <c r="L3129" s="1" t="str">
        <f t="shared" si="171"/>
        <v xml:space="preserve">Snuggan </v>
      </c>
      <c r="M3129" s="1" t="s">
        <v>177</v>
      </c>
      <c r="N3129" s="6">
        <v>0.5</v>
      </c>
      <c r="O3129" s="6">
        <v>0.5</v>
      </c>
      <c r="P3129" s="6">
        <v>0.9</v>
      </c>
      <c r="Q3129" s="6">
        <v>23.7</v>
      </c>
      <c r="R3129" s="6">
        <v>9.4</v>
      </c>
      <c r="S3129" s="6">
        <v>112</v>
      </c>
      <c r="V3129" s="6">
        <v>6.1081400777999999E-2</v>
      </c>
      <c r="W3129" s="6">
        <v>0.30280000000000001</v>
      </c>
      <c r="X3129" s="1">
        <f>W3129 * (1/((10^((0.0901821 + (2729.92 /(273.15 + Q3129)))-AE3129)+1)))</f>
        <v>3.9274953067068184E-4</v>
      </c>
      <c r="Y3129" s="6">
        <v>0.52200000000000002</v>
      </c>
      <c r="Z3129" s="6">
        <v>1.62</v>
      </c>
      <c r="AA3129" s="6">
        <v>3.6</v>
      </c>
      <c r="AB3129" s="6">
        <v>17.743680000000001</v>
      </c>
      <c r="AD3129" s="6">
        <v>0</v>
      </c>
      <c r="AE3129" s="6">
        <v>6.4</v>
      </c>
      <c r="AI3129" s="6">
        <v>25.91</v>
      </c>
      <c r="AK3129" s="6">
        <v>27.54</v>
      </c>
      <c r="AL3129" s="6">
        <v>1079.45</v>
      </c>
      <c r="AM3129" s="6"/>
      <c r="AN3129" s="6"/>
      <c r="AO3129" s="6"/>
      <c r="AP3129" s="6"/>
      <c r="AQ3129" s="6"/>
    </row>
    <row r="3130" spans="1:93" x14ac:dyDescent="0.3">
      <c r="A3130" s="6">
        <v>53404</v>
      </c>
      <c r="B3130" s="5" t="s">
        <v>238</v>
      </c>
      <c r="C3130" s="5" t="s">
        <v>231</v>
      </c>
      <c r="D3130" s="2">
        <f t="shared" si="169"/>
        <v>2016</v>
      </c>
      <c r="E3130" s="2">
        <f t="shared" si="170"/>
        <v>8</v>
      </c>
      <c r="F3130" s="3" t="s">
        <v>179</v>
      </c>
      <c r="G3130" s="7">
        <v>42604</v>
      </c>
      <c r="H3130" s="6">
        <v>6595470</v>
      </c>
      <c r="I3130" s="6">
        <v>1622370</v>
      </c>
      <c r="J3130" s="5" t="s">
        <v>190</v>
      </c>
      <c r="K3130" s="1"/>
      <c r="L3130" s="1" t="str">
        <f t="shared" si="171"/>
        <v xml:space="preserve">Snuggan </v>
      </c>
      <c r="M3130" s="5" t="s">
        <v>211</v>
      </c>
      <c r="N3130" s="6">
        <v>1</v>
      </c>
      <c r="O3130" s="6">
        <v>1</v>
      </c>
      <c r="Q3130" s="6">
        <v>16.8</v>
      </c>
      <c r="R3130" s="6">
        <v>8</v>
      </c>
      <c r="S3130" s="6">
        <v>87</v>
      </c>
    </row>
    <row r="3131" spans="1:93" x14ac:dyDescent="0.3">
      <c r="A3131" s="6">
        <v>53405</v>
      </c>
      <c r="B3131" s="5" t="s">
        <v>238</v>
      </c>
      <c r="C3131" s="5" t="s">
        <v>231</v>
      </c>
      <c r="D3131" s="2">
        <f t="shared" si="169"/>
        <v>2016</v>
      </c>
      <c r="E3131" s="2">
        <f t="shared" si="170"/>
        <v>8</v>
      </c>
      <c r="F3131" s="3" t="s">
        <v>179</v>
      </c>
      <c r="G3131" s="7">
        <v>42604</v>
      </c>
      <c r="H3131" s="6">
        <v>6595470</v>
      </c>
      <c r="I3131" s="6">
        <v>1622370</v>
      </c>
      <c r="J3131" s="5" t="s">
        <v>190</v>
      </c>
      <c r="K3131" s="1"/>
      <c r="L3131" s="1" t="str">
        <f t="shared" si="171"/>
        <v xml:space="preserve">Snuggan </v>
      </c>
      <c r="M3131" s="5" t="s">
        <v>212</v>
      </c>
      <c r="N3131" s="6">
        <v>2</v>
      </c>
      <c r="O3131" s="6">
        <v>2</v>
      </c>
      <c r="Q3131" s="6">
        <v>14.2</v>
      </c>
      <c r="R3131" s="6">
        <v>1.1000000000000001</v>
      </c>
      <c r="S3131" s="6">
        <v>9</v>
      </c>
    </row>
    <row r="3132" spans="1:93" x14ac:dyDescent="0.3">
      <c r="A3132" s="6">
        <v>53406</v>
      </c>
      <c r="B3132" s="5" t="s">
        <v>238</v>
      </c>
      <c r="C3132" s="5" t="s">
        <v>231</v>
      </c>
      <c r="D3132" s="2">
        <f t="shared" si="169"/>
        <v>2016</v>
      </c>
      <c r="E3132" s="2">
        <f t="shared" si="170"/>
        <v>8</v>
      </c>
      <c r="F3132" s="3" t="s">
        <v>179</v>
      </c>
      <c r="G3132" s="7">
        <v>42604</v>
      </c>
      <c r="H3132" s="6">
        <v>6595470</v>
      </c>
      <c r="I3132" s="6">
        <v>1622370</v>
      </c>
      <c r="J3132" s="5" t="s">
        <v>190</v>
      </c>
      <c r="K3132" s="1"/>
      <c r="L3132" s="1" t="str">
        <f t="shared" si="171"/>
        <v xml:space="preserve">Snuggan </v>
      </c>
      <c r="M3132" s="1" t="s">
        <v>184</v>
      </c>
      <c r="N3132" s="6">
        <v>3</v>
      </c>
      <c r="O3132" s="6">
        <v>3</v>
      </c>
      <c r="Q3132" s="6">
        <v>13.3</v>
      </c>
      <c r="R3132" s="6">
        <v>0.2</v>
      </c>
      <c r="S3132" s="6">
        <v>2</v>
      </c>
      <c r="V3132" s="6">
        <v>4.9628638131999997E-2</v>
      </c>
      <c r="W3132" s="6">
        <v>25.005500000000001</v>
      </c>
      <c r="X3132" s="1">
        <f>W3132 * (1/((10^((0.0901821 + (2729.92 /(273.15 + Q3132)))-AE3132)+1)))</f>
        <v>6.1315059085837063E-3</v>
      </c>
      <c r="Y3132" s="6">
        <v>0.54</v>
      </c>
      <c r="Z3132" s="6">
        <v>5.78</v>
      </c>
      <c r="AA3132" s="6">
        <v>4.4000000000000004</v>
      </c>
      <c r="AD3132" s="6">
        <v>6.08</v>
      </c>
      <c r="AE3132" s="6">
        <v>6.01</v>
      </c>
      <c r="AI3132" s="6">
        <v>26.47</v>
      </c>
      <c r="AK3132" s="6">
        <v>23.55</v>
      </c>
      <c r="AL3132" s="6">
        <v>1045.1199999999999</v>
      </c>
      <c r="AM3132" s="6"/>
      <c r="AN3132" s="6"/>
      <c r="AO3132" s="6"/>
      <c r="AP3132" s="6"/>
      <c r="AQ3132" s="6"/>
    </row>
    <row r="3133" spans="1:93" x14ac:dyDescent="0.3">
      <c r="A3133" s="6">
        <v>53407</v>
      </c>
      <c r="B3133" s="5" t="s">
        <v>238</v>
      </c>
      <c r="C3133" s="5" t="s">
        <v>231</v>
      </c>
      <c r="D3133" s="2">
        <f t="shared" si="169"/>
        <v>2016</v>
      </c>
      <c r="E3133" s="2">
        <f t="shared" si="170"/>
        <v>8</v>
      </c>
      <c r="F3133" s="3" t="s">
        <v>179</v>
      </c>
      <c r="G3133" s="7">
        <v>42604</v>
      </c>
      <c r="H3133" s="6">
        <v>6595470</v>
      </c>
      <c r="I3133" s="6">
        <v>1622370</v>
      </c>
      <c r="J3133" s="5" t="s">
        <v>190</v>
      </c>
      <c r="K3133" s="1"/>
      <c r="L3133" s="1" t="str">
        <f t="shared" si="171"/>
        <v xml:space="preserve">Snuggan </v>
      </c>
      <c r="M3133" s="5" t="s">
        <v>225</v>
      </c>
      <c r="N3133" s="6">
        <v>2</v>
      </c>
      <c r="O3133" s="6">
        <v>0</v>
      </c>
      <c r="X3133" s="6">
        <v>0</v>
      </c>
      <c r="AE3133" s="6">
        <v>6.5</v>
      </c>
      <c r="AJ3133" s="6">
        <v>23.5</v>
      </c>
      <c r="BQ3133" s="6">
        <v>559</v>
      </c>
      <c r="BR3133" s="6">
        <v>9.5600000000000008E-3</v>
      </c>
      <c r="BS3133" s="6">
        <v>0.313</v>
      </c>
      <c r="BT3133" s="6">
        <v>0.67700000000000005</v>
      </c>
      <c r="BU3133" s="6">
        <v>1.76</v>
      </c>
      <c r="BV3133" s="6">
        <v>19.2</v>
      </c>
      <c r="BW3133" s="6">
        <v>0.81799999999999895</v>
      </c>
      <c r="BX3133" s="6">
        <v>0.90400000000000003</v>
      </c>
      <c r="BY3133" s="6">
        <v>18.3</v>
      </c>
      <c r="BZ3133" s="6">
        <v>3.67</v>
      </c>
      <c r="CA3133" s="6">
        <v>0.73</v>
      </c>
      <c r="CC3133" s="6">
        <v>0.441</v>
      </c>
      <c r="CD3133" s="6">
        <v>0.55400000000000005</v>
      </c>
      <c r="CE3133" s="6">
        <v>5.21</v>
      </c>
      <c r="CF3133" s="6">
        <v>5.6</v>
      </c>
      <c r="CG3133" s="6">
        <v>0.82599999999999896</v>
      </c>
      <c r="CH3133" s="6">
        <v>12.5</v>
      </c>
      <c r="CI3133" s="6">
        <v>1E-3</v>
      </c>
      <c r="CJ3133" s="6">
        <v>6.6000000000000003E-2</v>
      </c>
      <c r="CK3133" s="6">
        <v>7.77</v>
      </c>
      <c r="CL3133" s="6">
        <v>0.46800000000000003</v>
      </c>
      <c r="CM3133" s="6">
        <v>13.3</v>
      </c>
      <c r="CN3133" s="6">
        <v>0.59699999999999898</v>
      </c>
      <c r="CO3133" s="6">
        <v>9.49</v>
      </c>
    </row>
    <row r="3134" spans="1:93" x14ac:dyDescent="0.3">
      <c r="A3134" s="6">
        <v>53408</v>
      </c>
      <c r="B3134" s="5" t="s">
        <v>238</v>
      </c>
      <c r="C3134" s="5" t="s">
        <v>231</v>
      </c>
      <c r="D3134" s="2">
        <f t="shared" si="169"/>
        <v>2016</v>
      </c>
      <c r="E3134" s="2">
        <f t="shared" si="170"/>
        <v>8</v>
      </c>
      <c r="F3134" s="3" t="s">
        <v>179</v>
      </c>
      <c r="G3134" s="7">
        <v>42604</v>
      </c>
      <c r="H3134" s="6">
        <v>6597555</v>
      </c>
      <c r="I3134" s="6">
        <v>1629125</v>
      </c>
      <c r="J3134" s="5" t="s">
        <v>185</v>
      </c>
      <c r="K3134" s="1"/>
      <c r="L3134" s="1" t="str">
        <f t="shared" si="171"/>
        <v xml:space="preserve">Gullsjön </v>
      </c>
      <c r="M3134" s="1" t="s">
        <v>177</v>
      </c>
      <c r="N3134" s="6">
        <v>0.5</v>
      </c>
      <c r="O3134" s="6">
        <v>0.5</v>
      </c>
      <c r="P3134" s="6">
        <v>1.9</v>
      </c>
      <c r="Q3134" s="6">
        <v>18.399999999999999</v>
      </c>
      <c r="R3134" s="6">
        <v>7.4</v>
      </c>
      <c r="S3134" s="6">
        <v>80</v>
      </c>
      <c r="V3134" s="6">
        <v>1.5842988327</v>
      </c>
      <c r="W3134" s="6">
        <v>14.6999</v>
      </c>
      <c r="X3134" s="1">
        <f>W3134 * (1/((10^((0.0901821 + (2729.92 /(273.15 + Q3134)))-AE3134)+1)))</f>
        <v>0.17318655246903988</v>
      </c>
      <c r="Y3134" s="6">
        <v>0.109</v>
      </c>
      <c r="Z3134" s="6">
        <v>1.79</v>
      </c>
      <c r="AA3134" s="6">
        <v>1.17</v>
      </c>
      <c r="AB3134" s="6">
        <v>4.0786199999999999</v>
      </c>
      <c r="AD3134" s="6">
        <v>2.5300000000000002</v>
      </c>
      <c r="AE3134" s="6">
        <v>7.53</v>
      </c>
      <c r="AK3134" s="6">
        <v>14.8</v>
      </c>
      <c r="AL3134" s="6">
        <v>716.14</v>
      </c>
      <c r="AM3134" s="6"/>
      <c r="AN3134" s="6"/>
      <c r="AO3134" s="6"/>
      <c r="AP3134" s="6"/>
      <c r="AQ3134" s="6"/>
    </row>
    <row r="3135" spans="1:93" x14ac:dyDescent="0.3">
      <c r="A3135" s="6">
        <v>53409</v>
      </c>
      <c r="B3135" s="5" t="s">
        <v>238</v>
      </c>
      <c r="C3135" s="5" t="s">
        <v>231</v>
      </c>
      <c r="D3135" s="2">
        <f t="shared" si="169"/>
        <v>2016</v>
      </c>
      <c r="E3135" s="2">
        <f t="shared" si="170"/>
        <v>8</v>
      </c>
      <c r="F3135" s="3" t="s">
        <v>179</v>
      </c>
      <c r="G3135" s="7">
        <v>42604</v>
      </c>
      <c r="H3135" s="6">
        <v>6597555</v>
      </c>
      <c r="I3135" s="6">
        <v>1629125</v>
      </c>
      <c r="J3135" s="5" t="s">
        <v>185</v>
      </c>
      <c r="K3135" s="1"/>
      <c r="L3135" s="1" t="str">
        <f t="shared" si="171"/>
        <v xml:space="preserve">Gullsjön </v>
      </c>
      <c r="M3135" s="5" t="s">
        <v>211</v>
      </c>
      <c r="N3135" s="6">
        <v>1</v>
      </c>
      <c r="O3135" s="6">
        <v>1</v>
      </c>
      <c r="Q3135" s="6">
        <v>17.899999999999999</v>
      </c>
      <c r="R3135" s="6">
        <v>6.6</v>
      </c>
      <c r="S3135" s="6">
        <v>71</v>
      </c>
    </row>
    <row r="3136" spans="1:93" x14ac:dyDescent="0.3">
      <c r="A3136" s="6">
        <v>53410</v>
      </c>
      <c r="B3136" s="5" t="s">
        <v>238</v>
      </c>
      <c r="C3136" s="5" t="s">
        <v>231</v>
      </c>
      <c r="D3136" s="2">
        <f t="shared" si="169"/>
        <v>2016</v>
      </c>
      <c r="E3136" s="2">
        <f t="shared" si="170"/>
        <v>8</v>
      </c>
      <c r="F3136" s="3" t="s">
        <v>179</v>
      </c>
      <c r="G3136" s="7">
        <v>42604</v>
      </c>
      <c r="H3136" s="6">
        <v>6597555</v>
      </c>
      <c r="I3136" s="6">
        <v>1629125</v>
      </c>
      <c r="J3136" s="5" t="s">
        <v>185</v>
      </c>
      <c r="K3136" s="1"/>
      <c r="L3136" s="1" t="str">
        <f t="shared" si="171"/>
        <v xml:space="preserve">Gullsjön </v>
      </c>
      <c r="M3136" s="1" t="s">
        <v>184</v>
      </c>
      <c r="N3136" s="6">
        <v>2</v>
      </c>
      <c r="O3136" s="6">
        <v>2</v>
      </c>
      <c r="Q3136" s="6">
        <v>17.5</v>
      </c>
      <c r="R3136" s="6">
        <v>4.5999999999999996</v>
      </c>
      <c r="S3136" s="6">
        <v>50</v>
      </c>
      <c r="V3136" s="6">
        <v>1.5842988327</v>
      </c>
      <c r="W3136" s="6">
        <v>31.430099999999999</v>
      </c>
      <c r="X3136" s="1">
        <f>W3136 * (1/((10^((0.0901821 + (2729.92 /(273.15 + Q3136)))-AE3136)+1)))</f>
        <v>0.20504817279556689</v>
      </c>
      <c r="Y3136" s="6">
        <v>0.114</v>
      </c>
      <c r="Z3136" s="6">
        <v>1.25</v>
      </c>
      <c r="AA3136" s="6">
        <v>0.98</v>
      </c>
      <c r="AD3136" s="6">
        <v>2.1800000000000002</v>
      </c>
      <c r="AE3136" s="6">
        <v>7.3</v>
      </c>
      <c r="AK3136" s="6">
        <v>17.45</v>
      </c>
      <c r="AL3136" s="6">
        <v>706.36</v>
      </c>
      <c r="AM3136" s="6"/>
      <c r="AN3136" s="6"/>
      <c r="AO3136" s="6"/>
      <c r="AP3136" s="6"/>
      <c r="AQ3136" s="6"/>
    </row>
    <row r="3137" spans="1:93" x14ac:dyDescent="0.3">
      <c r="A3137" s="6">
        <v>53411</v>
      </c>
      <c r="B3137" s="5" t="s">
        <v>238</v>
      </c>
      <c r="C3137" s="5" t="s">
        <v>231</v>
      </c>
      <c r="D3137" s="2">
        <f t="shared" si="169"/>
        <v>2016</v>
      </c>
      <c r="E3137" s="2">
        <f t="shared" si="170"/>
        <v>8</v>
      </c>
      <c r="F3137" s="3" t="s">
        <v>179</v>
      </c>
      <c r="G3137" s="7">
        <v>42604</v>
      </c>
      <c r="H3137" s="6">
        <v>6597555</v>
      </c>
      <c r="I3137" s="6">
        <v>1629125</v>
      </c>
      <c r="J3137" s="5" t="s">
        <v>185</v>
      </c>
      <c r="K3137" s="1"/>
      <c r="L3137" s="1" t="str">
        <f t="shared" si="171"/>
        <v xml:space="preserve">Gullsjön </v>
      </c>
      <c r="M3137" s="5" t="s">
        <v>242</v>
      </c>
      <c r="N3137" s="6">
        <v>1</v>
      </c>
      <c r="O3137" s="6">
        <v>0</v>
      </c>
      <c r="X3137" s="6">
        <v>0</v>
      </c>
      <c r="AE3137" s="6">
        <v>7.1</v>
      </c>
      <c r="AJ3137" s="6">
        <v>12.6</v>
      </c>
      <c r="BQ3137" s="6">
        <v>4.8600000000000003</v>
      </c>
      <c r="BR3137" s="6">
        <v>1.46E-2</v>
      </c>
      <c r="BS3137" s="6">
        <v>2.46E-2</v>
      </c>
      <c r="BT3137" s="6">
        <v>0.13200000000000001</v>
      </c>
      <c r="BU3137" s="6">
        <v>1.64</v>
      </c>
      <c r="BV3137" s="6">
        <v>0.40699999999999897</v>
      </c>
      <c r="BW3137" s="6">
        <v>0.57599999999999896</v>
      </c>
      <c r="BX3137" s="6">
        <v>3.0800000000000001E-2</v>
      </c>
      <c r="BY3137" s="6">
        <v>11.5</v>
      </c>
      <c r="BZ3137" s="6">
        <v>35.799999999999898</v>
      </c>
      <c r="CA3137" s="6">
        <v>3.82</v>
      </c>
      <c r="CC3137" s="6">
        <v>2.1100000000000001E-2</v>
      </c>
      <c r="CD3137" s="6">
        <v>0.89700000000000002</v>
      </c>
      <c r="CE3137" s="6">
        <v>36.799999999999898</v>
      </c>
      <c r="CF3137" s="6">
        <v>3.25</v>
      </c>
      <c r="CG3137" s="6">
        <v>0.14699999999999899</v>
      </c>
      <c r="CH3137" s="6">
        <v>13.5</v>
      </c>
      <c r="CI3137" s="6">
        <v>1E-3</v>
      </c>
      <c r="CJ3137" s="6">
        <v>0.108</v>
      </c>
      <c r="CK3137" s="6">
        <v>5.44</v>
      </c>
      <c r="CL3137" s="6">
        <v>9.0399999999999897E-2</v>
      </c>
      <c r="CM3137" s="6">
        <v>86.3</v>
      </c>
      <c r="CN3137" s="6">
        <v>0.65</v>
      </c>
      <c r="CO3137" s="6">
        <v>88.7</v>
      </c>
    </row>
    <row r="3138" spans="1:93" x14ac:dyDescent="0.3">
      <c r="A3138" s="6">
        <v>53412</v>
      </c>
      <c r="B3138" s="5" t="s">
        <v>238</v>
      </c>
      <c r="C3138" s="5" t="s">
        <v>231</v>
      </c>
      <c r="D3138" s="2">
        <f t="shared" ref="D3138:D3201" si="172">YEAR(G3138)</f>
        <v>2016</v>
      </c>
      <c r="E3138" s="2">
        <f t="shared" ref="E3138:E3201" si="173">MONTH(G3138)</f>
        <v>8</v>
      </c>
      <c r="F3138" s="3" t="s">
        <v>179</v>
      </c>
      <c r="G3138" s="7">
        <v>42604</v>
      </c>
      <c r="H3138" s="6">
        <v>6595515</v>
      </c>
      <c r="I3138" s="6">
        <v>1624630</v>
      </c>
      <c r="J3138" s="5" t="s">
        <v>207</v>
      </c>
      <c r="K3138" s="1"/>
      <c r="L3138" s="1" t="str">
        <f t="shared" ref="L3138:L3201" si="174">CONCATENATE(J3138," ",K3138)</f>
        <v xml:space="preserve">Käringsjön </v>
      </c>
      <c r="M3138" s="1" t="s">
        <v>177</v>
      </c>
      <c r="N3138" s="6">
        <v>0.5</v>
      </c>
      <c r="O3138" s="6">
        <v>1</v>
      </c>
      <c r="P3138" s="6">
        <v>1</v>
      </c>
      <c r="Q3138" s="6">
        <v>22.1</v>
      </c>
      <c r="R3138" s="6">
        <v>8.4</v>
      </c>
      <c r="S3138" s="6">
        <v>98</v>
      </c>
      <c r="V3138" s="6">
        <v>0.4899237354</v>
      </c>
      <c r="W3138" s="6">
        <v>3.8365</v>
      </c>
      <c r="X3138" s="1">
        <f>W3138 * (1/((10^((0.0901821 + (2729.92 /(273.15 + Q3138)))-AE3138)+1)))</f>
        <v>2.9801354226319507E-2</v>
      </c>
      <c r="Y3138" s="6">
        <v>0.39500000000000002</v>
      </c>
      <c r="Z3138" s="6">
        <v>1.5699999999999998</v>
      </c>
      <c r="AA3138" s="6">
        <v>1.9</v>
      </c>
      <c r="AB3138" s="6">
        <v>12.777480000000001</v>
      </c>
      <c r="AD3138" s="6">
        <v>2.16</v>
      </c>
      <c r="AE3138" s="6">
        <v>7.23</v>
      </c>
      <c r="AK3138" s="6">
        <v>24.98</v>
      </c>
      <c r="AL3138" s="6">
        <v>1012.28</v>
      </c>
      <c r="AM3138" s="6"/>
      <c r="AN3138" s="6"/>
      <c r="AO3138" s="6"/>
      <c r="AP3138" s="6"/>
      <c r="AQ3138" s="6"/>
    </row>
    <row r="3139" spans="1:93" x14ac:dyDescent="0.3">
      <c r="A3139" s="6">
        <v>53413</v>
      </c>
      <c r="B3139" s="5" t="s">
        <v>238</v>
      </c>
      <c r="C3139" s="5" t="s">
        <v>231</v>
      </c>
      <c r="D3139" s="2">
        <f t="shared" si="172"/>
        <v>2016</v>
      </c>
      <c r="E3139" s="2">
        <f t="shared" si="173"/>
        <v>8</v>
      </c>
      <c r="F3139" s="3" t="s">
        <v>179</v>
      </c>
      <c r="G3139" s="7">
        <v>42604</v>
      </c>
      <c r="H3139" s="6">
        <v>6595515</v>
      </c>
      <c r="I3139" s="6">
        <v>1624630</v>
      </c>
      <c r="J3139" s="5" t="s">
        <v>207</v>
      </c>
      <c r="K3139" s="1"/>
      <c r="L3139" s="1" t="str">
        <f t="shared" si="174"/>
        <v xml:space="preserve">Käringsjön </v>
      </c>
      <c r="M3139" s="5" t="s">
        <v>211</v>
      </c>
      <c r="N3139" s="6">
        <v>1</v>
      </c>
      <c r="O3139" s="6">
        <v>1</v>
      </c>
      <c r="Q3139" s="6">
        <v>18.399999999999999</v>
      </c>
      <c r="R3139" s="6">
        <v>7.4</v>
      </c>
      <c r="S3139" s="6">
        <v>81</v>
      </c>
    </row>
    <row r="3140" spans="1:93" x14ac:dyDescent="0.3">
      <c r="A3140" s="6">
        <v>53414</v>
      </c>
      <c r="B3140" s="5" t="s">
        <v>238</v>
      </c>
      <c r="C3140" s="5" t="s">
        <v>231</v>
      </c>
      <c r="D3140" s="2">
        <f t="shared" si="172"/>
        <v>2016</v>
      </c>
      <c r="E3140" s="2">
        <f t="shared" si="173"/>
        <v>8</v>
      </c>
      <c r="F3140" s="3" t="s">
        <v>179</v>
      </c>
      <c r="G3140" s="7">
        <v>42604</v>
      </c>
      <c r="H3140" s="6">
        <v>6595515</v>
      </c>
      <c r="I3140" s="6">
        <v>1624630</v>
      </c>
      <c r="J3140" s="5" t="s">
        <v>207</v>
      </c>
      <c r="K3140" s="1"/>
      <c r="L3140" s="1" t="str">
        <f t="shared" si="174"/>
        <v xml:space="preserve">Käringsjön </v>
      </c>
      <c r="M3140" s="5" t="s">
        <v>212</v>
      </c>
      <c r="N3140" s="6">
        <v>2</v>
      </c>
      <c r="O3140" s="6">
        <v>2</v>
      </c>
      <c r="Q3140" s="6">
        <v>14.2</v>
      </c>
      <c r="R3140" s="6">
        <v>1.2</v>
      </c>
      <c r="S3140" s="6">
        <v>12</v>
      </c>
    </row>
    <row r="3141" spans="1:93" x14ac:dyDescent="0.3">
      <c r="A3141" s="6">
        <v>53415</v>
      </c>
      <c r="B3141" s="5" t="s">
        <v>238</v>
      </c>
      <c r="C3141" s="5" t="s">
        <v>231</v>
      </c>
      <c r="D3141" s="2">
        <f t="shared" si="172"/>
        <v>2016</v>
      </c>
      <c r="E3141" s="2">
        <f t="shared" si="173"/>
        <v>8</v>
      </c>
      <c r="F3141" s="3" t="s">
        <v>179</v>
      </c>
      <c r="G3141" s="7">
        <v>42604</v>
      </c>
      <c r="H3141" s="6">
        <v>6595515</v>
      </c>
      <c r="I3141" s="6">
        <v>1624630</v>
      </c>
      <c r="J3141" s="5" t="s">
        <v>207</v>
      </c>
      <c r="K3141" s="1"/>
      <c r="L3141" s="1" t="str">
        <f t="shared" si="174"/>
        <v xml:space="preserve">Käringsjön </v>
      </c>
      <c r="M3141" s="5" t="s">
        <v>213</v>
      </c>
      <c r="N3141" s="6">
        <v>3</v>
      </c>
      <c r="O3141" s="6">
        <v>3</v>
      </c>
      <c r="Q3141" s="6">
        <v>10.1</v>
      </c>
      <c r="R3141" s="6">
        <v>0.3</v>
      </c>
      <c r="S3141" s="6">
        <v>3</v>
      </c>
    </row>
    <row r="3142" spans="1:93" x14ac:dyDescent="0.3">
      <c r="A3142" s="6">
        <v>53416</v>
      </c>
      <c r="B3142" s="5" t="s">
        <v>238</v>
      </c>
      <c r="C3142" s="5" t="s">
        <v>231</v>
      </c>
      <c r="D3142" s="2">
        <f t="shared" si="172"/>
        <v>2016</v>
      </c>
      <c r="E3142" s="2">
        <f t="shared" si="173"/>
        <v>8</v>
      </c>
      <c r="F3142" s="3" t="s">
        <v>179</v>
      </c>
      <c r="G3142" s="7">
        <v>42604</v>
      </c>
      <c r="H3142" s="6">
        <v>6595515</v>
      </c>
      <c r="I3142" s="6">
        <v>1624630</v>
      </c>
      <c r="J3142" s="5" t="s">
        <v>207</v>
      </c>
      <c r="K3142" s="1"/>
      <c r="L3142" s="1" t="str">
        <f t="shared" si="174"/>
        <v xml:space="preserve">Käringsjön </v>
      </c>
      <c r="M3142" s="1" t="s">
        <v>184</v>
      </c>
      <c r="N3142" s="6">
        <v>4</v>
      </c>
      <c r="O3142" s="6">
        <v>4</v>
      </c>
      <c r="Q3142" s="6">
        <v>9.4</v>
      </c>
      <c r="R3142" s="6">
        <v>0.1</v>
      </c>
      <c r="S3142" s="6">
        <v>1</v>
      </c>
      <c r="V3142" s="6">
        <v>0.83986926069000001</v>
      </c>
      <c r="W3142" s="6">
        <v>107.93470000000001</v>
      </c>
      <c r="X3142" s="1">
        <f>W3142 * (1/((10^((0.0901821 + (2729.92 /(273.15 + Q3142)))-AE3142)+1)))</f>
        <v>0.10735523381691874</v>
      </c>
      <c r="Y3142" s="6">
        <v>0.68100000000000005</v>
      </c>
      <c r="Z3142" s="6">
        <v>42.51</v>
      </c>
      <c r="AA3142" s="6">
        <v>8.5</v>
      </c>
      <c r="AD3142" s="6">
        <v>3.92</v>
      </c>
      <c r="AE3142" s="6">
        <v>6.75</v>
      </c>
      <c r="AK3142" s="6">
        <v>88.29</v>
      </c>
      <c r="AL3142" s="6">
        <v>1255.54</v>
      </c>
      <c r="AM3142" s="6"/>
      <c r="AN3142" s="6"/>
      <c r="AO3142" s="6"/>
      <c r="AP3142" s="6"/>
      <c r="AQ3142" s="6"/>
    </row>
    <row r="3143" spans="1:93" x14ac:dyDescent="0.3">
      <c r="A3143" s="6">
        <v>53417</v>
      </c>
      <c r="B3143" s="5" t="s">
        <v>238</v>
      </c>
      <c r="C3143" s="5" t="s">
        <v>231</v>
      </c>
      <c r="D3143" s="2">
        <f t="shared" si="172"/>
        <v>2016</v>
      </c>
      <c r="E3143" s="2">
        <f t="shared" si="173"/>
        <v>8</v>
      </c>
      <c r="F3143" s="3" t="s">
        <v>179</v>
      </c>
      <c r="G3143" s="7">
        <v>42604</v>
      </c>
      <c r="H3143" s="6">
        <v>6595515</v>
      </c>
      <c r="I3143" s="6">
        <v>1624630</v>
      </c>
      <c r="J3143" s="5" t="s">
        <v>207</v>
      </c>
      <c r="K3143" s="1"/>
      <c r="L3143" s="1" t="str">
        <f t="shared" si="174"/>
        <v xml:space="preserve">Käringsjön </v>
      </c>
      <c r="M3143" s="5" t="s">
        <v>225</v>
      </c>
      <c r="N3143" s="6">
        <v>2</v>
      </c>
      <c r="O3143" s="6">
        <v>0</v>
      </c>
      <c r="X3143" s="6">
        <v>0</v>
      </c>
      <c r="AE3143" s="6">
        <v>7.1</v>
      </c>
      <c r="AJ3143" s="6">
        <v>29.5</v>
      </c>
      <c r="BQ3143" s="6">
        <v>47.3</v>
      </c>
      <c r="BR3143" s="6">
        <v>3.2699999999999899E-3</v>
      </c>
      <c r="BS3143" s="6">
        <v>3.0200000000000001E-2</v>
      </c>
      <c r="BT3143" s="6">
        <v>0.35099999999999898</v>
      </c>
      <c r="BU3143" s="6">
        <v>0.63600000000000001</v>
      </c>
      <c r="BV3143" s="6">
        <v>5.45</v>
      </c>
      <c r="BW3143" s="6">
        <v>0.65400000000000003</v>
      </c>
      <c r="BX3143" s="6">
        <v>0.11600000000000001</v>
      </c>
      <c r="BY3143" s="6">
        <v>3.94</v>
      </c>
      <c r="BZ3143" s="6">
        <v>11.9</v>
      </c>
      <c r="CA3143" s="6">
        <v>2.4300000000000002</v>
      </c>
      <c r="CC3143" s="6">
        <v>0.189</v>
      </c>
      <c r="CD3143" s="6">
        <v>1.56</v>
      </c>
      <c r="CE3143" s="6">
        <v>6.09</v>
      </c>
      <c r="CF3143" s="6">
        <v>3.87</v>
      </c>
      <c r="CG3143" s="6">
        <v>0.58899999999999897</v>
      </c>
      <c r="CH3143" s="6">
        <v>5.77</v>
      </c>
      <c r="CI3143" s="6">
        <v>1E-3</v>
      </c>
      <c r="CJ3143" s="6">
        <v>9.3600000000000003E-2</v>
      </c>
      <c r="CK3143" s="6">
        <v>9.4600000000000009</v>
      </c>
      <c r="CL3143" s="6">
        <v>0.20200000000000001</v>
      </c>
      <c r="CM3143" s="6">
        <v>22.6</v>
      </c>
      <c r="CN3143" s="6">
        <v>0.17100000000000001</v>
      </c>
      <c r="CO3143" s="6">
        <v>29.5</v>
      </c>
    </row>
    <row r="3144" spans="1:93" x14ac:dyDescent="0.3">
      <c r="A3144" s="6">
        <v>53418</v>
      </c>
      <c r="B3144" s="5" t="s">
        <v>238</v>
      </c>
      <c r="C3144" s="5" t="s">
        <v>231</v>
      </c>
      <c r="D3144" s="2">
        <f t="shared" si="172"/>
        <v>2016</v>
      </c>
      <c r="E3144" s="2">
        <f t="shared" si="173"/>
        <v>8</v>
      </c>
      <c r="F3144" s="3" t="s">
        <v>179</v>
      </c>
      <c r="G3144" s="7">
        <v>42604</v>
      </c>
      <c r="H3144" s="6">
        <v>6594430</v>
      </c>
      <c r="I3144" s="6">
        <v>1625370</v>
      </c>
      <c r="J3144" s="5" t="s">
        <v>201</v>
      </c>
      <c r="K3144" s="1"/>
      <c r="L3144" s="1" t="str">
        <f t="shared" si="174"/>
        <v xml:space="preserve">Mörtsjön </v>
      </c>
      <c r="M3144" s="1" t="s">
        <v>177</v>
      </c>
      <c r="N3144" s="6">
        <v>0.5</v>
      </c>
      <c r="O3144" s="6">
        <v>0.5</v>
      </c>
      <c r="P3144" s="6">
        <v>2.1</v>
      </c>
      <c r="Q3144" s="6">
        <v>21.8</v>
      </c>
      <c r="R3144" s="6">
        <v>8.5</v>
      </c>
      <c r="S3144" s="6">
        <v>100</v>
      </c>
      <c r="V3144" s="6">
        <v>2.0042334629999998</v>
      </c>
      <c r="W3144" s="6">
        <v>1.7547000000000001</v>
      </c>
      <c r="X3144" s="1">
        <f>W3144 * (1/((10^((0.0901821 + (2729.92 /(273.15 + Q3144)))-AE3144)+1)))</f>
        <v>6.3458343424682012E-2</v>
      </c>
      <c r="Y3144" s="6">
        <v>0.125</v>
      </c>
      <c r="Z3144" s="6">
        <v>1.85</v>
      </c>
      <c r="AA3144" s="6">
        <v>2.4</v>
      </c>
      <c r="AB3144" s="6">
        <v>7.6012199999999996</v>
      </c>
      <c r="AD3144" s="6">
        <v>1.08</v>
      </c>
      <c r="AE3144" s="6">
        <v>7.92</v>
      </c>
      <c r="AK3144" s="6">
        <v>25.89</v>
      </c>
      <c r="AL3144" s="6">
        <v>748.75</v>
      </c>
      <c r="AM3144" s="6"/>
      <c r="AN3144" s="6"/>
      <c r="AO3144" s="6"/>
      <c r="AP3144" s="6"/>
      <c r="AQ3144" s="6"/>
    </row>
    <row r="3145" spans="1:93" x14ac:dyDescent="0.3">
      <c r="A3145" s="6">
        <v>53419</v>
      </c>
      <c r="B3145" s="5" t="s">
        <v>238</v>
      </c>
      <c r="C3145" s="5" t="s">
        <v>231</v>
      </c>
      <c r="D3145" s="2">
        <f t="shared" si="172"/>
        <v>2016</v>
      </c>
      <c r="E3145" s="2">
        <f t="shared" si="173"/>
        <v>8</v>
      </c>
      <c r="F3145" s="3" t="s">
        <v>179</v>
      </c>
      <c r="G3145" s="7">
        <v>42604</v>
      </c>
      <c r="H3145" s="6">
        <v>6594430</v>
      </c>
      <c r="I3145" s="6">
        <v>1625370</v>
      </c>
      <c r="J3145" s="5" t="s">
        <v>201</v>
      </c>
      <c r="K3145" s="1"/>
      <c r="L3145" s="1" t="str">
        <f t="shared" si="174"/>
        <v xml:space="preserve">Mörtsjön </v>
      </c>
      <c r="M3145" s="5" t="s">
        <v>211</v>
      </c>
      <c r="N3145" s="6">
        <v>1</v>
      </c>
      <c r="O3145" s="6">
        <v>1</v>
      </c>
      <c r="Q3145" s="6">
        <v>19.3</v>
      </c>
      <c r="R3145" s="6">
        <v>8</v>
      </c>
      <c r="S3145" s="6">
        <v>92</v>
      </c>
    </row>
    <row r="3146" spans="1:93" x14ac:dyDescent="0.3">
      <c r="A3146" s="6">
        <v>53420</v>
      </c>
      <c r="B3146" s="5" t="s">
        <v>238</v>
      </c>
      <c r="C3146" s="5" t="s">
        <v>231</v>
      </c>
      <c r="D3146" s="2">
        <f t="shared" si="172"/>
        <v>2016</v>
      </c>
      <c r="E3146" s="2">
        <f t="shared" si="173"/>
        <v>8</v>
      </c>
      <c r="F3146" s="3" t="s">
        <v>179</v>
      </c>
      <c r="G3146" s="7">
        <v>42604</v>
      </c>
      <c r="H3146" s="6">
        <v>6594430</v>
      </c>
      <c r="I3146" s="6">
        <v>1625370</v>
      </c>
      <c r="J3146" s="5" t="s">
        <v>201</v>
      </c>
      <c r="K3146" s="1"/>
      <c r="L3146" s="1" t="str">
        <f t="shared" si="174"/>
        <v xml:space="preserve">Mörtsjön </v>
      </c>
      <c r="M3146" s="5" t="s">
        <v>212</v>
      </c>
      <c r="N3146" s="6">
        <v>2</v>
      </c>
      <c r="O3146" s="6">
        <v>2</v>
      </c>
      <c r="Q3146" s="6">
        <v>17.600000000000001</v>
      </c>
      <c r="R3146" s="6">
        <v>7.9</v>
      </c>
      <c r="S3146" s="6">
        <v>88</v>
      </c>
    </row>
    <row r="3147" spans="1:93" x14ac:dyDescent="0.3">
      <c r="A3147" s="6">
        <v>53421</v>
      </c>
      <c r="B3147" s="5" t="s">
        <v>238</v>
      </c>
      <c r="C3147" s="5" t="s">
        <v>231</v>
      </c>
      <c r="D3147" s="2">
        <f t="shared" si="172"/>
        <v>2016</v>
      </c>
      <c r="E3147" s="2">
        <f t="shared" si="173"/>
        <v>8</v>
      </c>
      <c r="F3147" s="3" t="s">
        <v>179</v>
      </c>
      <c r="G3147" s="7">
        <v>42604</v>
      </c>
      <c r="H3147" s="6">
        <v>6594430</v>
      </c>
      <c r="I3147" s="6">
        <v>1625370</v>
      </c>
      <c r="J3147" s="5" t="s">
        <v>201</v>
      </c>
      <c r="K3147" s="1"/>
      <c r="L3147" s="1" t="str">
        <f t="shared" si="174"/>
        <v xml:space="preserve">Mörtsjön </v>
      </c>
      <c r="M3147" s="5" t="s">
        <v>213</v>
      </c>
      <c r="N3147" s="6">
        <v>3</v>
      </c>
      <c r="O3147" s="6">
        <v>3</v>
      </c>
      <c r="Q3147" s="6">
        <v>16.5</v>
      </c>
      <c r="R3147" s="6">
        <v>1.2</v>
      </c>
      <c r="S3147" s="6">
        <v>10</v>
      </c>
    </row>
    <row r="3148" spans="1:93" x14ac:dyDescent="0.3">
      <c r="A3148" s="6">
        <v>53422</v>
      </c>
      <c r="B3148" s="5" t="s">
        <v>238</v>
      </c>
      <c r="C3148" s="5" t="s">
        <v>231</v>
      </c>
      <c r="D3148" s="2">
        <f t="shared" si="172"/>
        <v>2016</v>
      </c>
      <c r="E3148" s="2">
        <f t="shared" si="173"/>
        <v>8</v>
      </c>
      <c r="F3148" s="3" t="s">
        <v>179</v>
      </c>
      <c r="G3148" s="7">
        <v>42604</v>
      </c>
      <c r="H3148" s="6">
        <v>6594430</v>
      </c>
      <c r="I3148" s="6">
        <v>1625370</v>
      </c>
      <c r="J3148" s="5" t="s">
        <v>201</v>
      </c>
      <c r="K3148" s="1"/>
      <c r="L3148" s="1" t="str">
        <f t="shared" si="174"/>
        <v xml:space="preserve">Mörtsjön </v>
      </c>
      <c r="M3148" s="1" t="s">
        <v>184</v>
      </c>
      <c r="N3148" s="6">
        <v>4</v>
      </c>
      <c r="O3148" s="6">
        <v>4</v>
      </c>
      <c r="Q3148" s="6">
        <v>16.399999999999999</v>
      </c>
      <c r="R3148" s="6">
        <v>0.3</v>
      </c>
      <c r="S3148" s="6">
        <v>2</v>
      </c>
      <c r="V3148" s="6">
        <v>2.0424093385000002</v>
      </c>
      <c r="W3148" s="6">
        <v>1.6529</v>
      </c>
      <c r="X3148" s="1">
        <f>W3148 * (1/((10^((0.0901821 + (2729.92 /(273.15 + Q3148)))-AE3148)+1)))</f>
        <v>3.3197548545710727E-2</v>
      </c>
      <c r="Y3148" s="6">
        <v>0.128</v>
      </c>
      <c r="Z3148" s="6">
        <v>2.12</v>
      </c>
      <c r="AA3148" s="6">
        <v>3.8</v>
      </c>
      <c r="AD3148" s="6">
        <v>0.83</v>
      </c>
      <c r="AE3148" s="6">
        <v>7.83</v>
      </c>
      <c r="AK3148" s="6">
        <v>32.840000000000003</v>
      </c>
      <c r="AL3148" s="6">
        <v>808.24</v>
      </c>
      <c r="AM3148" s="6"/>
      <c r="AN3148" s="6"/>
      <c r="AO3148" s="6"/>
      <c r="AP3148" s="6"/>
      <c r="AQ3148" s="6"/>
    </row>
    <row r="3149" spans="1:93" x14ac:dyDescent="0.3">
      <c r="A3149" s="6">
        <v>53423</v>
      </c>
      <c r="B3149" s="5" t="s">
        <v>238</v>
      </c>
      <c r="C3149" s="5" t="s">
        <v>231</v>
      </c>
      <c r="D3149" s="2">
        <f t="shared" si="172"/>
        <v>2016</v>
      </c>
      <c r="E3149" s="2">
        <f t="shared" si="173"/>
        <v>8</v>
      </c>
      <c r="F3149" s="3" t="s">
        <v>179</v>
      </c>
      <c r="G3149" s="7">
        <v>42604</v>
      </c>
      <c r="H3149" s="6">
        <v>6594430</v>
      </c>
      <c r="I3149" s="6">
        <v>1625370</v>
      </c>
      <c r="J3149" s="5" t="s">
        <v>201</v>
      </c>
      <c r="K3149" s="1"/>
      <c r="L3149" s="1" t="str">
        <f t="shared" si="174"/>
        <v xml:space="preserve">Mörtsjön </v>
      </c>
      <c r="M3149" s="5" t="s">
        <v>225</v>
      </c>
      <c r="N3149" s="6">
        <v>2</v>
      </c>
      <c r="O3149" s="6">
        <v>0</v>
      </c>
      <c r="X3149" s="6">
        <v>0</v>
      </c>
      <c r="AE3149" s="6">
        <v>7.6</v>
      </c>
      <c r="AJ3149" s="6">
        <v>13.1</v>
      </c>
      <c r="BQ3149" s="6">
        <v>1.07</v>
      </c>
      <c r="BR3149" s="6">
        <v>3.4299999999999899E-3</v>
      </c>
      <c r="BS3149" s="6">
        <v>2.9399999999999898E-2</v>
      </c>
      <c r="BT3149" s="6">
        <v>0.13200000000000001</v>
      </c>
      <c r="BU3149" s="6">
        <v>0.59599999999999898</v>
      </c>
      <c r="BV3149" s="6">
        <v>0.46899999999999897</v>
      </c>
      <c r="BW3149" s="6">
        <v>0.55300000000000005</v>
      </c>
      <c r="BX3149" s="6">
        <v>5.0000000000000001E-3</v>
      </c>
      <c r="BY3149" s="6">
        <v>2.02</v>
      </c>
      <c r="BZ3149" s="6">
        <v>44.5</v>
      </c>
      <c r="CA3149" s="6">
        <v>4.2300000000000004</v>
      </c>
      <c r="CC3149" s="6">
        <v>7.4900000000000001E-3</v>
      </c>
      <c r="CD3149" s="6">
        <v>2.76</v>
      </c>
      <c r="CE3149" s="6">
        <v>25.3</v>
      </c>
      <c r="CF3149" s="6">
        <v>2.63</v>
      </c>
      <c r="CG3149" s="6">
        <v>0.68200000000000005</v>
      </c>
      <c r="CH3149" s="6">
        <v>27.2</v>
      </c>
      <c r="CI3149" s="6">
        <v>1E-3</v>
      </c>
      <c r="CJ3149" s="6">
        <v>2.02999999999999</v>
      </c>
      <c r="CK3149" s="6">
        <v>8.7899999999999903</v>
      </c>
      <c r="CL3149" s="6">
        <v>0.61</v>
      </c>
      <c r="CM3149" s="6">
        <v>83.8</v>
      </c>
      <c r="CN3149" s="6">
        <v>4.04</v>
      </c>
      <c r="CO3149" s="6">
        <v>110</v>
      </c>
    </row>
    <row r="3150" spans="1:93" x14ac:dyDescent="0.3">
      <c r="A3150" s="6">
        <v>53424</v>
      </c>
      <c r="B3150" s="5" t="s">
        <v>238</v>
      </c>
      <c r="C3150" s="5" t="s">
        <v>231</v>
      </c>
      <c r="D3150" s="2">
        <f t="shared" si="172"/>
        <v>2016</v>
      </c>
      <c r="E3150" s="2">
        <f t="shared" si="173"/>
        <v>8</v>
      </c>
      <c r="F3150" s="3" t="s">
        <v>179</v>
      </c>
      <c r="G3150" s="7">
        <v>42604</v>
      </c>
      <c r="H3150" s="6">
        <v>6599245</v>
      </c>
      <c r="I3150" s="6">
        <v>1622345</v>
      </c>
      <c r="J3150" s="5" t="s">
        <v>186</v>
      </c>
      <c r="K3150" s="1">
        <v>1</v>
      </c>
      <c r="L3150" s="1" t="str">
        <f t="shared" si="174"/>
        <v>Norrviken 1</v>
      </c>
      <c r="M3150" s="1" t="s">
        <v>177</v>
      </c>
      <c r="N3150" s="6">
        <v>0.5</v>
      </c>
      <c r="O3150" s="6">
        <v>0.5</v>
      </c>
      <c r="P3150" s="6">
        <v>1.8</v>
      </c>
      <c r="Q3150" s="6">
        <v>19.899999999999999</v>
      </c>
      <c r="R3150" s="6">
        <v>9.6999999999999993</v>
      </c>
      <c r="S3150" s="6">
        <v>109</v>
      </c>
      <c r="V3150" s="6">
        <v>2.7058666667</v>
      </c>
      <c r="W3150" s="6">
        <v>1.3467</v>
      </c>
      <c r="X3150" s="1">
        <f>W3150 * (1/((10^((0.0901821 + (2729.92 /(273.15 + Q3150)))-AE3150)+1)))</f>
        <v>8.4235226183699163E-2</v>
      </c>
      <c r="Y3150" s="6">
        <v>4.2000000000000003E-2</v>
      </c>
      <c r="Z3150" s="6">
        <v>33.46</v>
      </c>
      <c r="AA3150" s="6">
        <v>2.4</v>
      </c>
      <c r="AB3150" s="6">
        <v>10.2744</v>
      </c>
      <c r="AD3150" s="6">
        <v>0</v>
      </c>
      <c r="AE3150" s="6">
        <v>8.23</v>
      </c>
      <c r="AK3150" s="6">
        <v>69.34</v>
      </c>
      <c r="AL3150" s="6">
        <v>753.91</v>
      </c>
      <c r="AM3150" s="6"/>
      <c r="AN3150" s="6"/>
      <c r="AO3150" s="6"/>
      <c r="AP3150" s="6"/>
      <c r="AQ3150" s="6"/>
    </row>
    <row r="3151" spans="1:93" x14ac:dyDescent="0.3">
      <c r="A3151" s="6">
        <v>53425</v>
      </c>
      <c r="B3151" s="5" t="s">
        <v>238</v>
      </c>
      <c r="C3151" s="5" t="s">
        <v>231</v>
      </c>
      <c r="D3151" s="2">
        <f t="shared" si="172"/>
        <v>2016</v>
      </c>
      <c r="E3151" s="2">
        <f t="shared" si="173"/>
        <v>8</v>
      </c>
      <c r="F3151" s="3" t="s">
        <v>179</v>
      </c>
      <c r="G3151" s="7">
        <v>42604</v>
      </c>
      <c r="H3151" s="6">
        <v>6599245</v>
      </c>
      <c r="I3151" s="6">
        <v>1622345</v>
      </c>
      <c r="J3151" s="5" t="s">
        <v>186</v>
      </c>
      <c r="K3151" s="1">
        <v>1</v>
      </c>
      <c r="L3151" s="1" t="str">
        <f t="shared" si="174"/>
        <v>Norrviken 1</v>
      </c>
      <c r="M3151" s="5" t="s">
        <v>211</v>
      </c>
      <c r="N3151" s="6">
        <v>1</v>
      </c>
      <c r="O3151" s="6">
        <v>1</v>
      </c>
      <c r="Q3151" s="6">
        <v>19</v>
      </c>
      <c r="R3151" s="6">
        <v>10.199999999999999</v>
      </c>
      <c r="S3151" s="6">
        <v>114</v>
      </c>
    </row>
    <row r="3152" spans="1:93" x14ac:dyDescent="0.3">
      <c r="A3152" s="6">
        <v>53426</v>
      </c>
      <c r="B3152" s="5" t="s">
        <v>238</v>
      </c>
      <c r="C3152" s="5" t="s">
        <v>231</v>
      </c>
      <c r="D3152" s="2">
        <f t="shared" si="172"/>
        <v>2016</v>
      </c>
      <c r="E3152" s="2">
        <f t="shared" si="173"/>
        <v>8</v>
      </c>
      <c r="F3152" s="3" t="s">
        <v>179</v>
      </c>
      <c r="G3152" s="7">
        <v>42604</v>
      </c>
      <c r="H3152" s="6">
        <v>6599245</v>
      </c>
      <c r="I3152" s="6">
        <v>1622345</v>
      </c>
      <c r="J3152" s="5" t="s">
        <v>186</v>
      </c>
      <c r="K3152" s="1">
        <v>1</v>
      </c>
      <c r="L3152" s="1" t="str">
        <f t="shared" si="174"/>
        <v>Norrviken 1</v>
      </c>
      <c r="M3152" s="5" t="s">
        <v>212</v>
      </c>
      <c r="N3152" s="6">
        <v>2</v>
      </c>
      <c r="O3152" s="6">
        <v>2</v>
      </c>
      <c r="Q3152" s="6">
        <v>18.7</v>
      </c>
      <c r="R3152" s="6">
        <v>8.9</v>
      </c>
      <c r="S3152" s="6">
        <v>98</v>
      </c>
    </row>
    <row r="3153" spans="1:43" x14ac:dyDescent="0.3">
      <c r="A3153" s="6">
        <v>53427</v>
      </c>
      <c r="B3153" s="5" t="s">
        <v>238</v>
      </c>
      <c r="C3153" s="5" t="s">
        <v>231</v>
      </c>
      <c r="D3153" s="2">
        <f t="shared" si="172"/>
        <v>2016</v>
      </c>
      <c r="E3153" s="2">
        <f t="shared" si="173"/>
        <v>8</v>
      </c>
      <c r="F3153" s="3" t="s">
        <v>179</v>
      </c>
      <c r="G3153" s="7">
        <v>42604</v>
      </c>
      <c r="H3153" s="6">
        <v>6599245</v>
      </c>
      <c r="I3153" s="6">
        <v>1622345</v>
      </c>
      <c r="J3153" s="5" t="s">
        <v>186</v>
      </c>
      <c r="K3153" s="1">
        <v>1</v>
      </c>
      <c r="L3153" s="1" t="str">
        <f t="shared" si="174"/>
        <v>Norrviken 1</v>
      </c>
      <c r="M3153" s="1" t="s">
        <v>184</v>
      </c>
      <c r="N3153" s="6">
        <v>2.5</v>
      </c>
      <c r="O3153" s="6">
        <v>2.5</v>
      </c>
      <c r="Q3153" s="6">
        <v>18.2</v>
      </c>
      <c r="R3153" s="6">
        <v>7.3</v>
      </c>
      <c r="S3153" s="6">
        <v>80</v>
      </c>
      <c r="V3153" s="6">
        <v>2.6863999999999999</v>
      </c>
      <c r="W3153" s="6">
        <v>1.6606999999999998</v>
      </c>
      <c r="X3153" s="1">
        <f>W3153 * (1/((10^((0.0901821 + (2729.92 /(273.15 + Q3153)))-AE3153)+1)))</f>
        <v>6.3571014802517589E-2</v>
      </c>
      <c r="Y3153" s="6">
        <v>5.1999999999999998E-2</v>
      </c>
      <c r="Z3153" s="6">
        <v>24.54</v>
      </c>
      <c r="AA3153" s="6">
        <v>3.8</v>
      </c>
      <c r="AD3153" s="6">
        <v>0.87</v>
      </c>
      <c r="AE3153" s="6">
        <v>8.06</v>
      </c>
      <c r="AK3153" s="6">
        <v>66.319999999999993</v>
      </c>
      <c r="AL3153" s="6">
        <v>819.43</v>
      </c>
      <c r="AM3153" s="6"/>
      <c r="AN3153" s="6"/>
      <c r="AO3153" s="6"/>
      <c r="AP3153" s="6"/>
      <c r="AQ3153" s="6"/>
    </row>
    <row r="3154" spans="1:43" x14ac:dyDescent="0.3">
      <c r="A3154" s="6">
        <v>53428</v>
      </c>
      <c r="B3154" s="5" t="s">
        <v>238</v>
      </c>
      <c r="C3154" s="5" t="s">
        <v>231</v>
      </c>
      <c r="D3154" s="2">
        <f t="shared" si="172"/>
        <v>2016</v>
      </c>
      <c r="E3154" s="2">
        <f t="shared" si="173"/>
        <v>8</v>
      </c>
      <c r="F3154" s="3" t="s">
        <v>179</v>
      </c>
      <c r="G3154" s="7">
        <v>42604</v>
      </c>
      <c r="H3154" s="6">
        <v>6599245</v>
      </c>
      <c r="I3154" s="6">
        <v>1622345</v>
      </c>
      <c r="J3154" s="5" t="s">
        <v>186</v>
      </c>
      <c r="K3154" s="1">
        <v>1</v>
      </c>
      <c r="L3154" s="1" t="str">
        <f t="shared" si="174"/>
        <v>Norrviken 1</v>
      </c>
      <c r="M3154" s="5" t="s">
        <v>225</v>
      </c>
      <c r="N3154" s="6">
        <v>2</v>
      </c>
      <c r="O3154" s="6">
        <v>0</v>
      </c>
    </row>
    <row r="3155" spans="1:43" x14ac:dyDescent="0.3">
      <c r="A3155" s="6">
        <v>53429</v>
      </c>
      <c r="B3155" s="5" t="s">
        <v>238</v>
      </c>
      <c r="C3155" s="5" t="s">
        <v>231</v>
      </c>
      <c r="D3155" s="2">
        <f t="shared" si="172"/>
        <v>2016</v>
      </c>
      <c r="E3155" s="2">
        <f t="shared" si="173"/>
        <v>8</v>
      </c>
      <c r="F3155" s="3" t="s">
        <v>179</v>
      </c>
      <c r="G3155" s="7">
        <v>42604</v>
      </c>
      <c r="H3155" s="6">
        <v>6596620</v>
      </c>
      <c r="I3155" s="6">
        <v>1620350</v>
      </c>
      <c r="J3155" s="5" t="s">
        <v>186</v>
      </c>
      <c r="K3155" s="1">
        <v>2</v>
      </c>
      <c r="L3155" s="1" t="str">
        <f t="shared" si="174"/>
        <v>Norrviken 2</v>
      </c>
      <c r="M3155" s="1" t="s">
        <v>177</v>
      </c>
      <c r="N3155" s="6">
        <v>0.5</v>
      </c>
      <c r="O3155" s="6">
        <v>0.5</v>
      </c>
      <c r="P3155" s="6">
        <v>2.9</v>
      </c>
      <c r="Q3155" s="6">
        <v>19.2</v>
      </c>
      <c r="R3155" s="6">
        <v>9.6999999999999993</v>
      </c>
      <c r="S3155" s="6">
        <v>108</v>
      </c>
      <c r="V3155" s="6">
        <v>2.7253333334000001</v>
      </c>
      <c r="W3155" s="6">
        <v>1.5179</v>
      </c>
      <c r="X3155" s="1">
        <f>W3155 * (1/((10^((0.0901821 + (2729.92 /(273.15 + Q3155)))-AE3155)+1)))</f>
        <v>9.2452899421523585E-2</v>
      </c>
      <c r="Y3155" s="6">
        <v>4.5999999999999999E-2</v>
      </c>
      <c r="Z3155" s="6">
        <v>54.4</v>
      </c>
      <c r="AA3155" s="6">
        <v>2.4</v>
      </c>
      <c r="AB3155" s="6">
        <v>18.757349999999999</v>
      </c>
      <c r="AD3155" s="6">
        <v>2.2599999999999998</v>
      </c>
      <c r="AE3155" s="6">
        <v>8.24</v>
      </c>
      <c r="AK3155" s="6">
        <v>92.94</v>
      </c>
      <c r="AL3155" s="6">
        <v>794.78</v>
      </c>
      <c r="AM3155" s="6"/>
      <c r="AN3155" s="6"/>
      <c r="AO3155" s="6"/>
      <c r="AP3155" s="6"/>
      <c r="AQ3155" s="6"/>
    </row>
    <row r="3156" spans="1:43" x14ac:dyDescent="0.3">
      <c r="A3156" s="6">
        <v>53430</v>
      </c>
      <c r="B3156" s="5" t="s">
        <v>238</v>
      </c>
      <c r="C3156" s="5" t="s">
        <v>231</v>
      </c>
      <c r="D3156" s="2">
        <f t="shared" si="172"/>
        <v>2016</v>
      </c>
      <c r="E3156" s="2">
        <f t="shared" si="173"/>
        <v>8</v>
      </c>
      <c r="F3156" s="3" t="s">
        <v>179</v>
      </c>
      <c r="G3156" s="7">
        <v>42604</v>
      </c>
      <c r="H3156" s="6">
        <v>6596620</v>
      </c>
      <c r="I3156" s="6">
        <v>1620350</v>
      </c>
      <c r="J3156" s="5" t="s">
        <v>186</v>
      </c>
      <c r="K3156" s="1">
        <v>2</v>
      </c>
      <c r="L3156" s="1" t="str">
        <f t="shared" si="174"/>
        <v>Norrviken 2</v>
      </c>
      <c r="M3156" s="5" t="s">
        <v>211</v>
      </c>
      <c r="N3156" s="6">
        <v>1</v>
      </c>
      <c r="O3156" s="6">
        <v>1</v>
      </c>
      <c r="Q3156" s="6">
        <v>18.5</v>
      </c>
      <c r="R3156" s="6">
        <v>9.6</v>
      </c>
      <c r="S3156" s="6">
        <v>106</v>
      </c>
    </row>
    <row r="3157" spans="1:43" x14ac:dyDescent="0.3">
      <c r="A3157" s="6">
        <v>53431</v>
      </c>
      <c r="B3157" s="5" t="s">
        <v>238</v>
      </c>
      <c r="C3157" s="5" t="s">
        <v>231</v>
      </c>
      <c r="D3157" s="2">
        <f t="shared" si="172"/>
        <v>2016</v>
      </c>
      <c r="E3157" s="2">
        <f t="shared" si="173"/>
        <v>8</v>
      </c>
      <c r="F3157" s="3" t="s">
        <v>179</v>
      </c>
      <c r="G3157" s="7">
        <v>42604</v>
      </c>
      <c r="H3157" s="6">
        <v>6596620</v>
      </c>
      <c r="I3157" s="6">
        <v>1620350</v>
      </c>
      <c r="J3157" s="5" t="s">
        <v>186</v>
      </c>
      <c r="K3157" s="1">
        <v>2</v>
      </c>
      <c r="L3157" s="1" t="str">
        <f t="shared" si="174"/>
        <v>Norrviken 2</v>
      </c>
      <c r="M3157" s="5" t="s">
        <v>212</v>
      </c>
      <c r="N3157" s="6">
        <v>2</v>
      </c>
      <c r="O3157" s="6">
        <v>2</v>
      </c>
      <c r="Q3157" s="6">
        <v>18.100000000000001</v>
      </c>
      <c r="R3157" s="6">
        <v>8.5</v>
      </c>
      <c r="S3157" s="6">
        <v>92</v>
      </c>
    </row>
    <row r="3158" spans="1:43" x14ac:dyDescent="0.3">
      <c r="A3158" s="6">
        <v>53432</v>
      </c>
      <c r="B3158" s="5" t="s">
        <v>238</v>
      </c>
      <c r="C3158" s="5" t="s">
        <v>231</v>
      </c>
      <c r="D3158" s="2">
        <f t="shared" si="172"/>
        <v>2016</v>
      </c>
      <c r="E3158" s="2">
        <f t="shared" si="173"/>
        <v>8</v>
      </c>
      <c r="F3158" s="3" t="s">
        <v>179</v>
      </c>
      <c r="G3158" s="7">
        <v>42604</v>
      </c>
      <c r="H3158" s="6">
        <v>6596620</v>
      </c>
      <c r="I3158" s="6">
        <v>1620350</v>
      </c>
      <c r="J3158" s="5" t="s">
        <v>186</v>
      </c>
      <c r="K3158" s="1">
        <v>2</v>
      </c>
      <c r="L3158" s="1" t="str">
        <f t="shared" si="174"/>
        <v>Norrviken 2</v>
      </c>
      <c r="M3158" s="5" t="s">
        <v>213</v>
      </c>
      <c r="N3158" s="6">
        <v>3</v>
      </c>
      <c r="O3158" s="6">
        <v>3</v>
      </c>
      <c r="Q3158" s="6">
        <v>17.399999999999999</v>
      </c>
      <c r="R3158" s="6">
        <v>7.9</v>
      </c>
      <c r="S3158" s="6">
        <v>84</v>
      </c>
    </row>
    <row r="3159" spans="1:43" x14ac:dyDescent="0.3">
      <c r="A3159" s="6">
        <v>53433</v>
      </c>
      <c r="B3159" s="5" t="s">
        <v>238</v>
      </c>
      <c r="C3159" s="5" t="s">
        <v>231</v>
      </c>
      <c r="D3159" s="2">
        <f t="shared" si="172"/>
        <v>2016</v>
      </c>
      <c r="E3159" s="2">
        <f t="shared" si="173"/>
        <v>8</v>
      </c>
      <c r="F3159" s="3" t="s">
        <v>179</v>
      </c>
      <c r="G3159" s="7">
        <v>42604</v>
      </c>
      <c r="H3159" s="6">
        <v>6596620</v>
      </c>
      <c r="I3159" s="6">
        <v>1620350</v>
      </c>
      <c r="J3159" s="5" t="s">
        <v>186</v>
      </c>
      <c r="K3159" s="1">
        <v>2</v>
      </c>
      <c r="L3159" s="1" t="str">
        <f t="shared" si="174"/>
        <v>Norrviken 2</v>
      </c>
      <c r="M3159" s="5" t="s">
        <v>214</v>
      </c>
      <c r="N3159" s="6">
        <v>4</v>
      </c>
      <c r="O3159" s="6">
        <v>4</v>
      </c>
      <c r="Q3159" s="6">
        <v>17.2</v>
      </c>
      <c r="R3159" s="6">
        <v>7.4</v>
      </c>
      <c r="S3159" s="6">
        <v>80</v>
      </c>
    </row>
    <row r="3160" spans="1:43" x14ac:dyDescent="0.3">
      <c r="A3160" s="6">
        <v>53434</v>
      </c>
      <c r="B3160" s="5" t="s">
        <v>238</v>
      </c>
      <c r="C3160" s="5" t="s">
        <v>231</v>
      </c>
      <c r="D3160" s="2">
        <f t="shared" si="172"/>
        <v>2016</v>
      </c>
      <c r="E3160" s="2">
        <f t="shared" si="173"/>
        <v>8</v>
      </c>
      <c r="F3160" s="3" t="s">
        <v>179</v>
      </c>
      <c r="G3160" s="7">
        <v>42604</v>
      </c>
      <c r="H3160" s="6">
        <v>6596620</v>
      </c>
      <c r="I3160" s="6">
        <v>1620350</v>
      </c>
      <c r="J3160" s="5" t="s">
        <v>186</v>
      </c>
      <c r="K3160" s="1">
        <v>2</v>
      </c>
      <c r="L3160" s="1" t="str">
        <f t="shared" si="174"/>
        <v>Norrviken 2</v>
      </c>
      <c r="M3160" s="5" t="s">
        <v>217</v>
      </c>
      <c r="N3160" s="6">
        <v>5</v>
      </c>
      <c r="O3160" s="6">
        <v>5</v>
      </c>
      <c r="Q3160" s="6">
        <v>17.2</v>
      </c>
      <c r="R3160" s="6">
        <v>7.4</v>
      </c>
      <c r="S3160" s="6">
        <v>79</v>
      </c>
    </row>
    <row r="3161" spans="1:43" x14ac:dyDescent="0.3">
      <c r="A3161" s="6">
        <v>53435</v>
      </c>
      <c r="B3161" s="5" t="s">
        <v>238</v>
      </c>
      <c r="C3161" s="5" t="s">
        <v>231</v>
      </c>
      <c r="D3161" s="2">
        <f t="shared" si="172"/>
        <v>2016</v>
      </c>
      <c r="E3161" s="2">
        <f t="shared" si="173"/>
        <v>8</v>
      </c>
      <c r="F3161" s="3" t="s">
        <v>179</v>
      </c>
      <c r="G3161" s="7">
        <v>42604</v>
      </c>
      <c r="H3161" s="6">
        <v>6596620</v>
      </c>
      <c r="I3161" s="6">
        <v>1620350</v>
      </c>
      <c r="J3161" s="5" t="s">
        <v>186</v>
      </c>
      <c r="K3161" s="1">
        <v>2</v>
      </c>
      <c r="L3161" s="1" t="str">
        <f t="shared" si="174"/>
        <v>Norrviken 2</v>
      </c>
      <c r="M3161" s="5" t="s">
        <v>218</v>
      </c>
      <c r="N3161" s="6">
        <v>6</v>
      </c>
      <c r="O3161" s="6">
        <v>6</v>
      </c>
      <c r="Q3161" s="6">
        <v>17</v>
      </c>
      <c r="R3161" s="6">
        <v>7.2</v>
      </c>
      <c r="S3161" s="6">
        <v>77</v>
      </c>
    </row>
    <row r="3162" spans="1:43" x14ac:dyDescent="0.3">
      <c r="A3162" s="6">
        <v>53436</v>
      </c>
      <c r="B3162" s="5" t="s">
        <v>238</v>
      </c>
      <c r="C3162" s="5" t="s">
        <v>231</v>
      </c>
      <c r="D3162" s="2">
        <f t="shared" si="172"/>
        <v>2016</v>
      </c>
      <c r="E3162" s="2">
        <f t="shared" si="173"/>
        <v>8</v>
      </c>
      <c r="F3162" s="3" t="s">
        <v>179</v>
      </c>
      <c r="G3162" s="7">
        <v>42604</v>
      </c>
      <c r="H3162" s="6">
        <v>6596620</v>
      </c>
      <c r="I3162" s="6">
        <v>1620350</v>
      </c>
      <c r="J3162" s="5" t="s">
        <v>186</v>
      </c>
      <c r="K3162" s="1">
        <v>2</v>
      </c>
      <c r="L3162" s="1" t="str">
        <f t="shared" si="174"/>
        <v>Norrviken 2</v>
      </c>
      <c r="M3162" s="5" t="s">
        <v>219</v>
      </c>
      <c r="N3162" s="6">
        <v>7</v>
      </c>
      <c r="O3162" s="6">
        <v>7</v>
      </c>
      <c r="Q3162" s="6">
        <v>17</v>
      </c>
      <c r="R3162" s="6">
        <v>6.7</v>
      </c>
      <c r="S3162" s="6">
        <v>71</v>
      </c>
    </row>
    <row r="3163" spans="1:43" x14ac:dyDescent="0.3">
      <c r="A3163" s="6">
        <v>53437</v>
      </c>
      <c r="B3163" s="5" t="s">
        <v>238</v>
      </c>
      <c r="C3163" s="5" t="s">
        <v>231</v>
      </c>
      <c r="D3163" s="2">
        <f t="shared" si="172"/>
        <v>2016</v>
      </c>
      <c r="E3163" s="2">
        <f t="shared" si="173"/>
        <v>8</v>
      </c>
      <c r="F3163" s="3" t="s">
        <v>179</v>
      </c>
      <c r="G3163" s="7">
        <v>42604</v>
      </c>
      <c r="H3163" s="6">
        <v>6596620</v>
      </c>
      <c r="I3163" s="6">
        <v>1620350</v>
      </c>
      <c r="J3163" s="5" t="s">
        <v>186</v>
      </c>
      <c r="K3163" s="1">
        <v>2</v>
      </c>
      <c r="L3163" s="1" t="str">
        <f t="shared" si="174"/>
        <v>Norrviken 2</v>
      </c>
      <c r="M3163" s="5" t="s">
        <v>220</v>
      </c>
      <c r="N3163" s="6">
        <v>8</v>
      </c>
      <c r="O3163" s="6">
        <v>8</v>
      </c>
      <c r="Q3163" s="6">
        <v>16.899999999999999</v>
      </c>
      <c r="R3163" s="6">
        <v>5.5</v>
      </c>
      <c r="S3163" s="6">
        <v>58</v>
      </c>
    </row>
    <row r="3164" spans="1:43" x14ac:dyDescent="0.3">
      <c r="A3164" s="6">
        <v>53438</v>
      </c>
      <c r="B3164" s="5" t="s">
        <v>238</v>
      </c>
      <c r="C3164" s="5" t="s">
        <v>231</v>
      </c>
      <c r="D3164" s="2">
        <f t="shared" si="172"/>
        <v>2016</v>
      </c>
      <c r="E3164" s="2">
        <f t="shared" si="173"/>
        <v>8</v>
      </c>
      <c r="F3164" s="3" t="s">
        <v>179</v>
      </c>
      <c r="G3164" s="7">
        <v>42604</v>
      </c>
      <c r="H3164" s="6">
        <v>6596620</v>
      </c>
      <c r="I3164" s="6">
        <v>1620350</v>
      </c>
      <c r="J3164" s="5" t="s">
        <v>186</v>
      </c>
      <c r="K3164" s="1">
        <v>2</v>
      </c>
      <c r="L3164" s="1" t="str">
        <f t="shared" si="174"/>
        <v>Norrviken 2</v>
      </c>
      <c r="M3164" s="1" t="s">
        <v>184</v>
      </c>
      <c r="N3164" s="6">
        <v>9</v>
      </c>
      <c r="O3164" s="6">
        <v>9</v>
      </c>
      <c r="Q3164" s="6">
        <v>16.899999999999999</v>
      </c>
      <c r="R3164" s="6">
        <v>5.5</v>
      </c>
      <c r="S3164" s="6">
        <v>58</v>
      </c>
      <c r="V3164" s="6">
        <v>2.8421333334000001</v>
      </c>
      <c r="W3164" s="6">
        <v>92.814899999999994</v>
      </c>
      <c r="X3164" s="1">
        <f>W3164 * (1/((10^((0.0901821 + (2729.92 /(273.15 + Q3164)))-AE3164)+1)))</f>
        <v>2.6483113274432077</v>
      </c>
      <c r="Y3164" s="6">
        <v>0.04</v>
      </c>
      <c r="Z3164" s="6">
        <v>76.73</v>
      </c>
      <c r="AA3164" s="6">
        <v>2.4</v>
      </c>
      <c r="AD3164" s="6">
        <v>10.050000000000001</v>
      </c>
      <c r="AE3164" s="6">
        <v>7.97</v>
      </c>
      <c r="AK3164" s="6">
        <v>94.72</v>
      </c>
      <c r="AL3164" s="6">
        <v>742.63</v>
      </c>
      <c r="AM3164" s="6"/>
      <c r="AN3164" s="6"/>
      <c r="AO3164" s="6"/>
      <c r="AP3164" s="6"/>
      <c r="AQ3164" s="6"/>
    </row>
    <row r="3165" spans="1:43" x14ac:dyDescent="0.3">
      <c r="A3165" s="6">
        <v>53439</v>
      </c>
      <c r="B3165" s="5" t="s">
        <v>238</v>
      </c>
      <c r="C3165" s="5" t="s">
        <v>231</v>
      </c>
      <c r="D3165" s="2">
        <f t="shared" si="172"/>
        <v>2016</v>
      </c>
      <c r="E3165" s="2">
        <f t="shared" si="173"/>
        <v>8</v>
      </c>
      <c r="F3165" s="3" t="s">
        <v>179</v>
      </c>
      <c r="G3165" s="7">
        <v>42604</v>
      </c>
      <c r="H3165" s="6">
        <v>6594885</v>
      </c>
      <c r="I3165" s="6">
        <v>1620750</v>
      </c>
      <c r="J3165" s="5" t="s">
        <v>186</v>
      </c>
      <c r="K3165" s="1">
        <v>3</v>
      </c>
      <c r="L3165" s="1" t="str">
        <f t="shared" si="174"/>
        <v>Norrviken 3</v>
      </c>
      <c r="M3165" s="1" t="s">
        <v>177</v>
      </c>
      <c r="N3165" s="6">
        <v>0.5</v>
      </c>
      <c r="O3165" s="6">
        <v>0.5</v>
      </c>
      <c r="P3165" s="6">
        <v>3.5</v>
      </c>
      <c r="Q3165" s="6">
        <v>19.399999999999999</v>
      </c>
      <c r="R3165" s="6">
        <v>9.5</v>
      </c>
      <c r="S3165" s="6">
        <v>105</v>
      </c>
      <c r="V3165" s="6">
        <v>2.7058666667</v>
      </c>
      <c r="W3165" s="6">
        <v>2.5924</v>
      </c>
      <c r="X3165" s="1">
        <f>W3165 * (1/((10^((0.0901821 + (2729.92 /(273.15 + Q3165)))-AE3165)+1)))</f>
        <v>0.15002561952767168</v>
      </c>
      <c r="Y3165" s="6">
        <v>4.1000000000000002E-2</v>
      </c>
      <c r="Z3165" s="6">
        <v>60.11</v>
      </c>
      <c r="AA3165" s="6">
        <v>2</v>
      </c>
      <c r="AB3165" s="6">
        <v>9.3526875</v>
      </c>
      <c r="AD3165" s="6">
        <v>4.4000000000000004</v>
      </c>
      <c r="AE3165" s="6">
        <v>8.2100000000000009</v>
      </c>
      <c r="AK3165" s="6">
        <v>86.68</v>
      </c>
      <c r="AL3165" s="6">
        <v>726.27</v>
      </c>
      <c r="AM3165" s="6"/>
      <c r="AN3165" s="6"/>
      <c r="AO3165" s="6"/>
      <c r="AP3165" s="6"/>
      <c r="AQ3165" s="6"/>
    </row>
    <row r="3166" spans="1:43" x14ac:dyDescent="0.3">
      <c r="A3166" s="6">
        <v>53440</v>
      </c>
      <c r="B3166" s="5" t="s">
        <v>238</v>
      </c>
      <c r="C3166" s="5" t="s">
        <v>231</v>
      </c>
      <c r="D3166" s="2">
        <f t="shared" si="172"/>
        <v>2016</v>
      </c>
      <c r="E3166" s="2">
        <f t="shared" si="173"/>
        <v>8</v>
      </c>
      <c r="F3166" s="3" t="s">
        <v>179</v>
      </c>
      <c r="G3166" s="7">
        <v>42604</v>
      </c>
      <c r="H3166" s="6">
        <v>6594885</v>
      </c>
      <c r="I3166" s="6">
        <v>1620750</v>
      </c>
      <c r="J3166" s="5" t="s">
        <v>186</v>
      </c>
      <c r="K3166" s="1">
        <v>3</v>
      </c>
      <c r="L3166" s="1" t="str">
        <f t="shared" si="174"/>
        <v>Norrviken 3</v>
      </c>
      <c r="M3166" s="5" t="s">
        <v>211</v>
      </c>
      <c r="N3166" s="6">
        <v>1</v>
      </c>
      <c r="O3166" s="6">
        <v>1</v>
      </c>
      <c r="Q3166" s="6">
        <v>18.5</v>
      </c>
      <c r="R3166" s="6">
        <v>10</v>
      </c>
      <c r="S3166" s="6">
        <v>111</v>
      </c>
    </row>
    <row r="3167" spans="1:43" x14ac:dyDescent="0.3">
      <c r="A3167" s="6">
        <v>53441</v>
      </c>
      <c r="B3167" s="5" t="s">
        <v>238</v>
      </c>
      <c r="C3167" s="5" t="s">
        <v>231</v>
      </c>
      <c r="D3167" s="2">
        <f t="shared" si="172"/>
        <v>2016</v>
      </c>
      <c r="E3167" s="2">
        <f t="shared" si="173"/>
        <v>8</v>
      </c>
      <c r="F3167" s="3" t="s">
        <v>179</v>
      </c>
      <c r="G3167" s="7">
        <v>42604</v>
      </c>
      <c r="H3167" s="6">
        <v>6594885</v>
      </c>
      <c r="I3167" s="6">
        <v>1620750</v>
      </c>
      <c r="J3167" s="5" t="s">
        <v>186</v>
      </c>
      <c r="K3167" s="1">
        <v>3</v>
      </c>
      <c r="L3167" s="1" t="str">
        <f t="shared" si="174"/>
        <v>Norrviken 3</v>
      </c>
      <c r="M3167" s="5" t="s">
        <v>212</v>
      </c>
      <c r="N3167" s="6">
        <v>2</v>
      </c>
      <c r="O3167" s="6">
        <v>2</v>
      </c>
      <c r="Q3167" s="6">
        <v>18.100000000000001</v>
      </c>
      <c r="R3167" s="6">
        <v>10</v>
      </c>
      <c r="S3167" s="6">
        <v>108</v>
      </c>
    </row>
    <row r="3168" spans="1:43" x14ac:dyDescent="0.3">
      <c r="A3168" s="6">
        <v>53442</v>
      </c>
      <c r="B3168" s="5" t="s">
        <v>238</v>
      </c>
      <c r="C3168" s="5" t="s">
        <v>231</v>
      </c>
      <c r="D3168" s="2">
        <f t="shared" si="172"/>
        <v>2016</v>
      </c>
      <c r="E3168" s="2">
        <f t="shared" si="173"/>
        <v>8</v>
      </c>
      <c r="F3168" s="3" t="s">
        <v>179</v>
      </c>
      <c r="G3168" s="7">
        <v>42604</v>
      </c>
      <c r="H3168" s="6">
        <v>6594885</v>
      </c>
      <c r="I3168" s="6">
        <v>1620750</v>
      </c>
      <c r="J3168" s="5" t="s">
        <v>186</v>
      </c>
      <c r="K3168" s="1">
        <v>3</v>
      </c>
      <c r="L3168" s="1" t="str">
        <f t="shared" si="174"/>
        <v>Norrviken 3</v>
      </c>
      <c r="M3168" s="5" t="s">
        <v>213</v>
      </c>
      <c r="N3168" s="6">
        <v>3</v>
      </c>
      <c r="O3168" s="6">
        <v>3</v>
      </c>
      <c r="Q3168" s="6">
        <v>17.8</v>
      </c>
      <c r="R3168" s="6">
        <v>9.1</v>
      </c>
      <c r="S3168" s="6">
        <v>98</v>
      </c>
    </row>
    <row r="3169" spans="1:113" x14ac:dyDescent="0.3">
      <c r="A3169" s="6">
        <v>53443</v>
      </c>
      <c r="B3169" s="5" t="s">
        <v>238</v>
      </c>
      <c r="C3169" s="5" t="s">
        <v>231</v>
      </c>
      <c r="D3169" s="2">
        <f t="shared" si="172"/>
        <v>2016</v>
      </c>
      <c r="E3169" s="2">
        <f t="shared" si="173"/>
        <v>8</v>
      </c>
      <c r="F3169" s="3" t="s">
        <v>179</v>
      </c>
      <c r="G3169" s="7">
        <v>42604</v>
      </c>
      <c r="H3169" s="6">
        <v>6594885</v>
      </c>
      <c r="I3169" s="6">
        <v>1620750</v>
      </c>
      <c r="J3169" s="5" t="s">
        <v>186</v>
      </c>
      <c r="K3169" s="1">
        <v>3</v>
      </c>
      <c r="L3169" s="1" t="str">
        <f t="shared" si="174"/>
        <v>Norrviken 3</v>
      </c>
      <c r="M3169" s="5" t="s">
        <v>214</v>
      </c>
      <c r="N3169" s="6">
        <v>4</v>
      </c>
      <c r="O3169" s="6">
        <v>4</v>
      </c>
      <c r="Q3169" s="6">
        <v>17.7</v>
      </c>
      <c r="R3169" s="6">
        <v>8.1999999999999993</v>
      </c>
      <c r="S3169" s="6">
        <v>88</v>
      </c>
    </row>
    <row r="3170" spans="1:113" x14ac:dyDescent="0.3">
      <c r="A3170" s="6">
        <v>53444</v>
      </c>
      <c r="B3170" s="5" t="s">
        <v>238</v>
      </c>
      <c r="C3170" s="5" t="s">
        <v>231</v>
      </c>
      <c r="D3170" s="2">
        <f t="shared" si="172"/>
        <v>2016</v>
      </c>
      <c r="E3170" s="2">
        <f t="shared" si="173"/>
        <v>8</v>
      </c>
      <c r="F3170" s="3" t="s">
        <v>179</v>
      </c>
      <c r="G3170" s="7">
        <v>42604</v>
      </c>
      <c r="H3170" s="6">
        <v>6594885</v>
      </c>
      <c r="I3170" s="6">
        <v>1620750</v>
      </c>
      <c r="J3170" s="5" t="s">
        <v>186</v>
      </c>
      <c r="K3170" s="1">
        <v>3</v>
      </c>
      <c r="L3170" s="1" t="str">
        <f t="shared" si="174"/>
        <v>Norrviken 3</v>
      </c>
      <c r="M3170" s="5" t="s">
        <v>217</v>
      </c>
      <c r="N3170" s="6">
        <v>5</v>
      </c>
      <c r="O3170" s="6">
        <v>5</v>
      </c>
      <c r="Q3170" s="6">
        <v>17.399999999999999</v>
      </c>
      <c r="R3170" s="6">
        <v>8</v>
      </c>
      <c r="S3170" s="6">
        <v>85</v>
      </c>
    </row>
    <row r="3171" spans="1:113" x14ac:dyDescent="0.3">
      <c r="A3171" s="6">
        <v>53445</v>
      </c>
      <c r="B3171" s="5" t="s">
        <v>238</v>
      </c>
      <c r="C3171" s="5" t="s">
        <v>231</v>
      </c>
      <c r="D3171" s="2">
        <f t="shared" si="172"/>
        <v>2016</v>
      </c>
      <c r="E3171" s="2">
        <f t="shared" si="173"/>
        <v>8</v>
      </c>
      <c r="F3171" s="3" t="s">
        <v>179</v>
      </c>
      <c r="G3171" s="7">
        <v>42604</v>
      </c>
      <c r="H3171" s="6">
        <v>6594885</v>
      </c>
      <c r="I3171" s="6">
        <v>1620750</v>
      </c>
      <c r="J3171" s="5" t="s">
        <v>186</v>
      </c>
      <c r="K3171" s="1">
        <v>3</v>
      </c>
      <c r="L3171" s="1" t="str">
        <f t="shared" si="174"/>
        <v>Norrviken 3</v>
      </c>
      <c r="M3171" s="5" t="s">
        <v>218</v>
      </c>
      <c r="N3171" s="6">
        <v>6</v>
      </c>
      <c r="O3171" s="6">
        <v>6</v>
      </c>
      <c r="Q3171" s="6">
        <v>17.2</v>
      </c>
      <c r="R3171" s="6">
        <v>7.7</v>
      </c>
      <c r="S3171" s="6">
        <v>82</v>
      </c>
    </row>
    <row r="3172" spans="1:113" x14ac:dyDescent="0.3">
      <c r="A3172" s="6">
        <v>53446</v>
      </c>
      <c r="B3172" s="5" t="s">
        <v>238</v>
      </c>
      <c r="C3172" s="5" t="s">
        <v>231</v>
      </c>
      <c r="D3172" s="2">
        <f t="shared" si="172"/>
        <v>2016</v>
      </c>
      <c r="E3172" s="2">
        <f t="shared" si="173"/>
        <v>8</v>
      </c>
      <c r="F3172" s="3" t="s">
        <v>179</v>
      </c>
      <c r="G3172" s="7">
        <v>42604</v>
      </c>
      <c r="H3172" s="6">
        <v>6594885</v>
      </c>
      <c r="I3172" s="6">
        <v>1620750</v>
      </c>
      <c r="J3172" s="5" t="s">
        <v>186</v>
      </c>
      <c r="K3172" s="1">
        <v>3</v>
      </c>
      <c r="L3172" s="1" t="str">
        <f t="shared" si="174"/>
        <v>Norrviken 3</v>
      </c>
      <c r="M3172" s="5" t="s">
        <v>219</v>
      </c>
      <c r="N3172" s="6">
        <v>7</v>
      </c>
      <c r="O3172" s="6">
        <v>7</v>
      </c>
      <c r="Q3172" s="6">
        <v>17.100000000000001</v>
      </c>
      <c r="R3172" s="6">
        <v>7.5</v>
      </c>
      <c r="S3172" s="6">
        <v>80</v>
      </c>
    </row>
    <row r="3173" spans="1:113" x14ac:dyDescent="0.3">
      <c r="A3173" s="6">
        <v>53447</v>
      </c>
      <c r="B3173" s="5" t="s">
        <v>238</v>
      </c>
      <c r="C3173" s="5" t="s">
        <v>231</v>
      </c>
      <c r="D3173" s="2">
        <f t="shared" si="172"/>
        <v>2016</v>
      </c>
      <c r="E3173" s="2">
        <f t="shared" si="173"/>
        <v>8</v>
      </c>
      <c r="F3173" s="3" t="s">
        <v>179</v>
      </c>
      <c r="G3173" s="7">
        <v>42604</v>
      </c>
      <c r="H3173" s="6">
        <v>6594885</v>
      </c>
      <c r="I3173" s="6">
        <v>1620750</v>
      </c>
      <c r="J3173" s="5" t="s">
        <v>186</v>
      </c>
      <c r="K3173" s="1">
        <v>3</v>
      </c>
      <c r="L3173" s="1" t="str">
        <f t="shared" si="174"/>
        <v>Norrviken 3</v>
      </c>
      <c r="M3173" s="5" t="s">
        <v>220</v>
      </c>
      <c r="N3173" s="6">
        <v>8</v>
      </c>
      <c r="O3173" s="6">
        <v>8</v>
      </c>
      <c r="Q3173" s="6">
        <v>17</v>
      </c>
      <c r="R3173" s="6">
        <v>6.6</v>
      </c>
      <c r="S3173" s="6">
        <v>70</v>
      </c>
    </row>
    <row r="3174" spans="1:113" x14ac:dyDescent="0.3">
      <c r="A3174" s="6">
        <v>53448</v>
      </c>
      <c r="B3174" s="5" t="s">
        <v>238</v>
      </c>
      <c r="C3174" s="5" t="s">
        <v>231</v>
      </c>
      <c r="D3174" s="2">
        <f t="shared" si="172"/>
        <v>2016</v>
      </c>
      <c r="E3174" s="2">
        <f t="shared" si="173"/>
        <v>8</v>
      </c>
      <c r="F3174" s="3" t="s">
        <v>179</v>
      </c>
      <c r="G3174" s="7">
        <v>42604</v>
      </c>
      <c r="H3174" s="6">
        <v>6594885</v>
      </c>
      <c r="I3174" s="6">
        <v>1620750</v>
      </c>
      <c r="J3174" s="5" t="s">
        <v>186</v>
      </c>
      <c r="K3174" s="1">
        <v>3</v>
      </c>
      <c r="L3174" s="1" t="str">
        <f t="shared" si="174"/>
        <v>Norrviken 3</v>
      </c>
      <c r="M3174" s="5" t="s">
        <v>221</v>
      </c>
      <c r="N3174" s="6">
        <v>9</v>
      </c>
      <c r="O3174" s="6">
        <v>9</v>
      </c>
      <c r="Q3174" s="6">
        <v>16.899999999999999</v>
      </c>
      <c r="R3174" s="6">
        <v>5.9</v>
      </c>
      <c r="S3174" s="6">
        <v>62</v>
      </c>
    </row>
    <row r="3175" spans="1:113" x14ac:dyDescent="0.3">
      <c r="A3175" s="6">
        <v>53449</v>
      </c>
      <c r="B3175" s="5" t="s">
        <v>238</v>
      </c>
      <c r="C3175" s="5" t="s">
        <v>231</v>
      </c>
      <c r="D3175" s="2">
        <f t="shared" si="172"/>
        <v>2016</v>
      </c>
      <c r="E3175" s="2">
        <f t="shared" si="173"/>
        <v>8</v>
      </c>
      <c r="F3175" s="3" t="s">
        <v>179</v>
      </c>
      <c r="G3175" s="7">
        <v>42604</v>
      </c>
      <c r="H3175" s="6">
        <v>6594885</v>
      </c>
      <c r="I3175" s="6">
        <v>1620750</v>
      </c>
      <c r="J3175" s="5" t="s">
        <v>186</v>
      </c>
      <c r="K3175" s="1">
        <v>3</v>
      </c>
      <c r="L3175" s="1" t="str">
        <f t="shared" si="174"/>
        <v>Norrviken 3</v>
      </c>
      <c r="M3175" s="5" t="s">
        <v>222</v>
      </c>
      <c r="N3175" s="6">
        <v>10</v>
      </c>
      <c r="O3175" s="6">
        <v>10</v>
      </c>
      <c r="Q3175" s="6">
        <v>16.2</v>
      </c>
      <c r="R3175" s="6">
        <v>0.8</v>
      </c>
      <c r="S3175" s="6">
        <v>8</v>
      </c>
    </row>
    <row r="3176" spans="1:113" x14ac:dyDescent="0.3">
      <c r="A3176" s="6">
        <v>53450</v>
      </c>
      <c r="B3176" s="5" t="s">
        <v>238</v>
      </c>
      <c r="C3176" s="5" t="s">
        <v>231</v>
      </c>
      <c r="D3176" s="2">
        <f t="shared" si="172"/>
        <v>2016</v>
      </c>
      <c r="E3176" s="2">
        <f t="shared" si="173"/>
        <v>8</v>
      </c>
      <c r="F3176" s="3" t="s">
        <v>179</v>
      </c>
      <c r="G3176" s="7">
        <v>42604</v>
      </c>
      <c r="H3176" s="6">
        <v>6594885</v>
      </c>
      <c r="I3176" s="6">
        <v>1620750</v>
      </c>
      <c r="J3176" s="5" t="s">
        <v>186</v>
      </c>
      <c r="K3176" s="1">
        <v>3</v>
      </c>
      <c r="L3176" s="1" t="str">
        <f t="shared" si="174"/>
        <v>Norrviken 3</v>
      </c>
      <c r="M3176" s="5" t="s">
        <v>223</v>
      </c>
      <c r="N3176" s="6">
        <v>11</v>
      </c>
      <c r="O3176" s="6">
        <v>11</v>
      </c>
      <c r="Q3176" s="6">
        <v>13.9</v>
      </c>
      <c r="R3176" s="6">
        <v>0.1</v>
      </c>
      <c r="S3176" s="6">
        <v>1</v>
      </c>
    </row>
    <row r="3177" spans="1:113" x14ac:dyDescent="0.3">
      <c r="A3177" s="6">
        <v>53451</v>
      </c>
      <c r="B3177" s="5" t="s">
        <v>238</v>
      </c>
      <c r="C3177" s="5" t="s">
        <v>231</v>
      </c>
      <c r="D3177" s="2">
        <f t="shared" si="172"/>
        <v>2016</v>
      </c>
      <c r="E3177" s="2">
        <f t="shared" si="173"/>
        <v>8</v>
      </c>
      <c r="F3177" s="3" t="s">
        <v>179</v>
      </c>
      <c r="G3177" s="7">
        <v>42604</v>
      </c>
      <c r="H3177" s="6">
        <v>6594885</v>
      </c>
      <c r="I3177" s="6">
        <v>1620750</v>
      </c>
      <c r="J3177" s="5" t="s">
        <v>186</v>
      </c>
      <c r="K3177" s="1">
        <v>3</v>
      </c>
      <c r="L3177" s="1" t="str">
        <f t="shared" si="174"/>
        <v>Norrviken 3</v>
      </c>
      <c r="M3177" s="1" t="s">
        <v>184</v>
      </c>
      <c r="N3177" s="6">
        <v>11.5</v>
      </c>
      <c r="O3177" s="6">
        <v>11.5</v>
      </c>
      <c r="Q3177" s="6">
        <v>13.8</v>
      </c>
      <c r="R3177" s="6">
        <v>0.1</v>
      </c>
      <c r="S3177" s="6">
        <v>1</v>
      </c>
      <c r="V3177" s="6">
        <v>2.8031999999999999</v>
      </c>
      <c r="W3177" s="6">
        <v>263.66359999999997</v>
      </c>
      <c r="X3177" s="1">
        <f>W3177 * (1/((10^((0.0901821 + (2729.92 /(273.15 + Q3177)))-AE3177)+1)))</f>
        <v>4.1722185036751442</v>
      </c>
      <c r="Y3177" s="6">
        <v>6.0999999999999999E-2</v>
      </c>
      <c r="Z3177" s="6">
        <v>96.62</v>
      </c>
      <c r="AA3177" s="6">
        <v>5.0999999999999996</v>
      </c>
      <c r="AD3177" s="6">
        <v>7.33</v>
      </c>
      <c r="AE3177" s="6">
        <v>7.8100000000000005</v>
      </c>
      <c r="AK3177" s="6">
        <v>132.09</v>
      </c>
      <c r="AL3177" s="6">
        <v>956.83</v>
      </c>
      <c r="AM3177" s="6"/>
      <c r="AN3177" s="6"/>
      <c r="AO3177" s="6"/>
      <c r="AP3177" s="6"/>
      <c r="AQ3177" s="6"/>
    </row>
    <row r="3178" spans="1:113" x14ac:dyDescent="0.3">
      <c r="A3178" s="6">
        <v>53452</v>
      </c>
      <c r="B3178" s="5" t="s">
        <v>238</v>
      </c>
      <c r="C3178" s="5" t="s">
        <v>231</v>
      </c>
      <c r="D3178" s="2">
        <f t="shared" si="172"/>
        <v>2016</v>
      </c>
      <c r="E3178" s="2">
        <f t="shared" si="173"/>
        <v>8</v>
      </c>
      <c r="F3178" s="3" t="s">
        <v>179</v>
      </c>
      <c r="G3178" s="7">
        <v>42604</v>
      </c>
      <c r="H3178" s="6">
        <v>6594885</v>
      </c>
      <c r="I3178" s="6">
        <v>1620750</v>
      </c>
      <c r="J3178" s="5" t="s">
        <v>186</v>
      </c>
      <c r="K3178" s="1">
        <v>3</v>
      </c>
      <c r="L3178" s="1" t="str">
        <f t="shared" si="174"/>
        <v>Norrviken 3</v>
      </c>
      <c r="M3178" s="5" t="s">
        <v>243</v>
      </c>
      <c r="N3178" s="6">
        <v>6</v>
      </c>
      <c r="O3178" s="6">
        <v>0</v>
      </c>
    </row>
    <row r="3179" spans="1:113" x14ac:dyDescent="0.3">
      <c r="A3179" s="6">
        <v>53453</v>
      </c>
      <c r="B3179" s="5" t="s">
        <v>238</v>
      </c>
      <c r="C3179" s="5" t="s">
        <v>231</v>
      </c>
      <c r="D3179" s="2">
        <f t="shared" si="172"/>
        <v>2016</v>
      </c>
      <c r="E3179" s="2">
        <f t="shared" si="173"/>
        <v>8</v>
      </c>
      <c r="F3179" s="3" t="s">
        <v>179</v>
      </c>
      <c r="G3179" s="7">
        <v>42604</v>
      </c>
      <c r="H3179" s="6">
        <v>6597300</v>
      </c>
      <c r="I3179" s="6">
        <v>1619975</v>
      </c>
      <c r="J3179" s="5" t="s">
        <v>186</v>
      </c>
      <c r="K3179" s="1">
        <v>4</v>
      </c>
      <c r="L3179" s="1" t="str">
        <f t="shared" si="174"/>
        <v>Norrviken 4</v>
      </c>
      <c r="M3179" s="1" t="s">
        <v>177</v>
      </c>
      <c r="N3179" s="6">
        <v>0.5</v>
      </c>
      <c r="O3179" s="6">
        <v>0.5</v>
      </c>
      <c r="P3179" s="6">
        <v>2.2000000000000002</v>
      </c>
      <c r="Q3179" s="6">
        <v>19.5</v>
      </c>
      <c r="R3179" s="6">
        <v>9.6999999999999993</v>
      </c>
      <c r="S3179" s="6">
        <v>109</v>
      </c>
      <c r="V3179" s="6">
        <v>2.6863999999999999</v>
      </c>
      <c r="W3179" s="6">
        <v>5.2443</v>
      </c>
      <c r="X3179" s="1">
        <f>W3179 * (1/((10^((0.0901821 + (2729.92 /(273.15 + Q3179)))-AE3179)+1)))</f>
        <v>0.2926138717599332</v>
      </c>
      <c r="Y3179" s="6">
        <v>3.7999999999999999E-2</v>
      </c>
      <c r="Z3179" s="6">
        <v>52.05</v>
      </c>
      <c r="AA3179" s="6">
        <v>4.5</v>
      </c>
      <c r="AB3179" s="6">
        <v>38.725537500000002</v>
      </c>
      <c r="AD3179" s="6">
        <v>0.81</v>
      </c>
      <c r="AE3179" s="6">
        <v>8.19</v>
      </c>
      <c r="AJ3179" s="6">
        <v>9.43</v>
      </c>
      <c r="AK3179" s="6">
        <v>125.26</v>
      </c>
      <c r="AL3179" s="6">
        <v>957.6</v>
      </c>
      <c r="AM3179" s="6"/>
      <c r="AN3179" s="6"/>
      <c r="AO3179" s="6"/>
      <c r="AP3179" s="6"/>
      <c r="AQ3179" s="6"/>
      <c r="BQ3179" s="6">
        <v>0.79300000000000004</v>
      </c>
      <c r="BR3179" s="6">
        <v>2.1900000000000001E-3</v>
      </c>
      <c r="BS3179" s="6">
        <v>6.0900000000000003E-2</v>
      </c>
      <c r="BT3179" s="6">
        <v>4.4299999999999902E-2</v>
      </c>
      <c r="BU3179" s="6">
        <v>1.1200000000000001</v>
      </c>
      <c r="BV3179" s="6">
        <v>0.34200000000000003</v>
      </c>
      <c r="BW3179" s="6">
        <v>1.84</v>
      </c>
      <c r="BX3179" s="6">
        <v>5.0000000000000001E-3</v>
      </c>
      <c r="BY3179" s="6">
        <v>1.02</v>
      </c>
      <c r="BZ3179" s="6">
        <v>52.9</v>
      </c>
      <c r="CA3179" s="6">
        <v>7.24</v>
      </c>
      <c r="CC3179" s="6">
        <v>6.7000000000000002E-4</v>
      </c>
      <c r="CD3179" s="6">
        <v>5.58</v>
      </c>
      <c r="CE3179" s="6">
        <v>30.1</v>
      </c>
      <c r="CF3179" s="6">
        <v>2.4</v>
      </c>
      <c r="CG3179" s="6">
        <v>1.53</v>
      </c>
      <c r="CH3179" s="6">
        <v>25.4</v>
      </c>
      <c r="CI3179" s="6">
        <v>1E-3</v>
      </c>
      <c r="CJ3179" s="6">
        <v>1.53</v>
      </c>
      <c r="CK3179" s="6">
        <v>82.3</v>
      </c>
      <c r="CL3179" s="6">
        <v>0.68400000000000005</v>
      </c>
      <c r="CM3179" s="6">
        <v>120</v>
      </c>
      <c r="CN3179" s="6">
        <v>10.6</v>
      </c>
      <c r="CO3179" s="6">
        <v>133</v>
      </c>
      <c r="CP3179" s="22">
        <v>2.2000000000000001E-3</v>
      </c>
      <c r="CQ3179" s="6">
        <v>5.0000000000000001E-4</v>
      </c>
      <c r="CR3179" s="6">
        <v>1.25E-3</v>
      </c>
      <c r="CS3179" s="6">
        <v>5.0000000000000001E-4</v>
      </c>
      <c r="CT3179" s="6">
        <v>5.0000000000000001E-4</v>
      </c>
      <c r="CU3179" s="6">
        <v>5.0000000000000001E-4</v>
      </c>
      <c r="CV3179" s="6">
        <v>5.0000000000000001E-4</v>
      </c>
      <c r="CW3179" s="6">
        <v>5.0000000000000001E-4</v>
      </c>
      <c r="CX3179" s="6">
        <v>5.0000000000000001E-4</v>
      </c>
      <c r="CY3179" s="6">
        <v>5.0000000000000001E-4</v>
      </c>
      <c r="CZ3179" s="6">
        <v>5.0000000000000001E-4</v>
      </c>
      <c r="DA3179" s="6">
        <v>5.0000000000000001E-4</v>
      </c>
      <c r="DB3179" s="6">
        <v>5.0000000000000001E-4</v>
      </c>
      <c r="DC3179" s="6">
        <v>5.0000000000000001E-4</v>
      </c>
      <c r="DD3179" s="6">
        <v>5.0000000000000001E-4</v>
      </c>
      <c r="DE3179" s="6">
        <v>5.0000000000000001E-4</v>
      </c>
      <c r="DF3179" s="6">
        <v>5.0000000000000001E-4</v>
      </c>
      <c r="DG3179" s="6">
        <v>5.0000000000000001E-4</v>
      </c>
      <c r="DH3179" s="6">
        <v>5</v>
      </c>
      <c r="DI3179" s="6">
        <v>5</v>
      </c>
    </row>
    <row r="3180" spans="1:113" x14ac:dyDescent="0.3">
      <c r="A3180" s="6">
        <v>53454</v>
      </c>
      <c r="B3180" s="5" t="s">
        <v>238</v>
      </c>
      <c r="C3180" s="5" t="s">
        <v>231</v>
      </c>
      <c r="D3180" s="2">
        <f t="shared" si="172"/>
        <v>2016</v>
      </c>
      <c r="E3180" s="2">
        <f t="shared" si="173"/>
        <v>8</v>
      </c>
      <c r="F3180" s="3" t="s">
        <v>179</v>
      </c>
      <c r="G3180" s="7">
        <v>42604</v>
      </c>
      <c r="H3180" s="6">
        <v>6597300</v>
      </c>
      <c r="I3180" s="6">
        <v>1619975</v>
      </c>
      <c r="J3180" s="5" t="s">
        <v>186</v>
      </c>
      <c r="K3180" s="1">
        <v>4</v>
      </c>
      <c r="L3180" s="1" t="str">
        <f t="shared" si="174"/>
        <v>Norrviken 4</v>
      </c>
      <c r="M3180" s="5" t="s">
        <v>211</v>
      </c>
      <c r="N3180" s="6">
        <v>1</v>
      </c>
      <c r="O3180" s="6">
        <v>1</v>
      </c>
      <c r="Q3180" s="6">
        <v>18.2</v>
      </c>
      <c r="R3180" s="6">
        <v>8.9</v>
      </c>
      <c r="S3180" s="6">
        <v>97</v>
      </c>
    </row>
    <row r="3181" spans="1:113" x14ac:dyDescent="0.3">
      <c r="A3181" s="6">
        <v>53455</v>
      </c>
      <c r="B3181" s="5" t="s">
        <v>238</v>
      </c>
      <c r="C3181" s="5" t="s">
        <v>231</v>
      </c>
      <c r="D3181" s="2">
        <f t="shared" si="172"/>
        <v>2016</v>
      </c>
      <c r="E3181" s="2">
        <f t="shared" si="173"/>
        <v>8</v>
      </c>
      <c r="F3181" s="3" t="s">
        <v>179</v>
      </c>
      <c r="G3181" s="7">
        <v>42604</v>
      </c>
      <c r="H3181" s="6">
        <v>6597300</v>
      </c>
      <c r="I3181" s="6">
        <v>1619975</v>
      </c>
      <c r="J3181" s="5" t="s">
        <v>186</v>
      </c>
      <c r="K3181" s="1">
        <v>4</v>
      </c>
      <c r="L3181" s="1" t="str">
        <f t="shared" si="174"/>
        <v>Norrviken 4</v>
      </c>
      <c r="M3181" s="1" t="s">
        <v>184</v>
      </c>
      <c r="N3181" s="6">
        <v>2</v>
      </c>
      <c r="O3181" s="6">
        <v>2</v>
      </c>
      <c r="Q3181" s="6">
        <v>18</v>
      </c>
      <c r="R3181" s="6">
        <v>8.1999999999999993</v>
      </c>
      <c r="S3181" s="6">
        <v>89</v>
      </c>
      <c r="V3181" s="6">
        <v>2.7253333334000001</v>
      </c>
      <c r="W3181" s="6">
        <v>3.0467</v>
      </c>
      <c r="X3181" s="1">
        <f>W3181 * (1/((10^((0.0901821 + (2729.92 /(273.15 + Q3181)))-AE3181)+1)))</f>
        <v>0.13718398961769634</v>
      </c>
      <c r="Y3181" s="6">
        <v>3.6999999999999998E-2</v>
      </c>
      <c r="Z3181" s="6">
        <v>56.1</v>
      </c>
      <c r="AA3181" s="6">
        <v>3.7</v>
      </c>
      <c r="AD3181" s="6">
        <v>1.72</v>
      </c>
      <c r="AE3181" s="6">
        <v>8.14</v>
      </c>
      <c r="AK3181" s="6">
        <v>111.34</v>
      </c>
      <c r="AL3181" s="6">
        <v>794.32</v>
      </c>
      <c r="AM3181" s="6"/>
      <c r="AN3181" s="6"/>
      <c r="AO3181" s="6"/>
      <c r="AP3181" s="6"/>
      <c r="AQ3181" s="6"/>
    </row>
    <row r="3182" spans="1:113" x14ac:dyDescent="0.3">
      <c r="A3182" s="6">
        <v>53456</v>
      </c>
      <c r="B3182" s="5" t="s">
        <v>238</v>
      </c>
      <c r="C3182" s="5" t="s">
        <v>231</v>
      </c>
      <c r="D3182" s="2">
        <f t="shared" si="172"/>
        <v>2016</v>
      </c>
      <c r="E3182" s="2">
        <f t="shared" si="173"/>
        <v>8</v>
      </c>
      <c r="F3182" s="3" t="s">
        <v>179</v>
      </c>
      <c r="G3182" s="7">
        <v>42604</v>
      </c>
      <c r="H3182" s="6">
        <v>6606916</v>
      </c>
      <c r="I3182" s="6">
        <v>1619762</v>
      </c>
      <c r="J3182" s="5" t="s">
        <v>181</v>
      </c>
      <c r="K3182" s="6">
        <v>1</v>
      </c>
      <c r="L3182" s="1" t="str">
        <f t="shared" si="174"/>
        <v>Fysingen 1</v>
      </c>
      <c r="M3182" s="5" t="s">
        <v>225</v>
      </c>
      <c r="N3182" s="6">
        <v>2</v>
      </c>
      <c r="O3182" s="6">
        <v>0</v>
      </c>
    </row>
    <row r="3183" spans="1:113" x14ac:dyDescent="0.3">
      <c r="A3183" s="1">
        <v>53510</v>
      </c>
      <c r="B3183" s="1" t="s">
        <v>237</v>
      </c>
      <c r="C3183" s="1" t="s">
        <v>209</v>
      </c>
      <c r="D3183" s="2">
        <f t="shared" si="172"/>
        <v>2016</v>
      </c>
      <c r="E3183" s="2">
        <f t="shared" si="173"/>
        <v>8</v>
      </c>
      <c r="F3183" s="3" t="s">
        <v>179</v>
      </c>
      <c r="G3183" s="4">
        <v>42613</v>
      </c>
      <c r="H3183" s="1">
        <v>6600935</v>
      </c>
      <c r="I3183" s="1">
        <v>1626764</v>
      </c>
      <c r="J3183" s="1" t="s">
        <v>191</v>
      </c>
      <c r="K3183" s="1" t="s">
        <v>210</v>
      </c>
      <c r="L3183" s="1" t="str">
        <f t="shared" si="174"/>
        <v>Vallentunasjön Va2</v>
      </c>
      <c r="M3183" s="1" t="s">
        <v>177</v>
      </c>
      <c r="N3183" s="1">
        <v>0.5</v>
      </c>
      <c r="O3183" s="1">
        <v>0.5</v>
      </c>
      <c r="P3183" s="1">
        <v>0.6</v>
      </c>
      <c r="Q3183" s="1">
        <v>18.8</v>
      </c>
      <c r="R3183" s="1">
        <v>10.8</v>
      </c>
      <c r="S3183" s="1">
        <v>114</v>
      </c>
    </row>
    <row r="3184" spans="1:113" x14ac:dyDescent="0.3">
      <c r="A3184" s="1">
        <v>53511</v>
      </c>
      <c r="B3184" s="1" t="s">
        <v>237</v>
      </c>
      <c r="C3184" s="1" t="s">
        <v>209</v>
      </c>
      <c r="D3184" s="2">
        <f t="shared" si="172"/>
        <v>2016</v>
      </c>
      <c r="E3184" s="2">
        <f t="shared" si="173"/>
        <v>8</v>
      </c>
      <c r="F3184" s="3" t="s">
        <v>179</v>
      </c>
      <c r="G3184" s="4">
        <v>42613</v>
      </c>
      <c r="H3184" s="1">
        <v>6600935</v>
      </c>
      <c r="I3184" s="1">
        <v>1626764</v>
      </c>
      <c r="J3184" s="1" t="s">
        <v>191</v>
      </c>
      <c r="K3184" s="1" t="s">
        <v>210</v>
      </c>
      <c r="L3184" s="1" t="str">
        <f t="shared" si="174"/>
        <v>Vallentunasjön Va2</v>
      </c>
      <c r="M3184" s="1" t="s">
        <v>211</v>
      </c>
      <c r="N3184" s="1">
        <v>1</v>
      </c>
      <c r="O3184" s="1">
        <v>1</v>
      </c>
      <c r="Q3184" s="1">
        <v>18.7</v>
      </c>
      <c r="R3184" s="1">
        <v>10.8</v>
      </c>
      <c r="S3184" s="1">
        <v>114</v>
      </c>
    </row>
    <row r="3185" spans="1:113" x14ac:dyDescent="0.3">
      <c r="A3185" s="1">
        <v>53512</v>
      </c>
      <c r="B3185" s="1" t="s">
        <v>237</v>
      </c>
      <c r="C3185" s="1" t="s">
        <v>209</v>
      </c>
      <c r="D3185" s="2">
        <f t="shared" si="172"/>
        <v>2016</v>
      </c>
      <c r="E3185" s="2">
        <f t="shared" si="173"/>
        <v>8</v>
      </c>
      <c r="F3185" s="3" t="s">
        <v>179</v>
      </c>
      <c r="G3185" s="4">
        <v>42613</v>
      </c>
      <c r="H3185" s="1">
        <v>6600935</v>
      </c>
      <c r="I3185" s="1">
        <v>1626764</v>
      </c>
      <c r="J3185" s="1" t="s">
        <v>191</v>
      </c>
      <c r="K3185" s="1" t="s">
        <v>210</v>
      </c>
      <c r="L3185" s="1" t="str">
        <f t="shared" si="174"/>
        <v>Vallentunasjön Va2</v>
      </c>
      <c r="M3185" s="1" t="s">
        <v>212</v>
      </c>
      <c r="N3185" s="1">
        <v>2</v>
      </c>
      <c r="O3185" s="1">
        <v>2</v>
      </c>
      <c r="Q3185" s="1">
        <v>18.600000000000001</v>
      </c>
      <c r="R3185" s="1">
        <v>10.8</v>
      </c>
      <c r="S3185" s="1">
        <v>113</v>
      </c>
    </row>
    <row r="3186" spans="1:113" x14ac:dyDescent="0.3">
      <c r="A3186" s="1">
        <v>53513</v>
      </c>
      <c r="B3186" s="1" t="s">
        <v>237</v>
      </c>
      <c r="C3186" s="1" t="s">
        <v>209</v>
      </c>
      <c r="D3186" s="2">
        <f t="shared" si="172"/>
        <v>2016</v>
      </c>
      <c r="E3186" s="2">
        <f t="shared" si="173"/>
        <v>8</v>
      </c>
      <c r="F3186" s="3" t="s">
        <v>179</v>
      </c>
      <c r="G3186" s="4">
        <v>42613</v>
      </c>
      <c r="H3186" s="1">
        <v>6600935</v>
      </c>
      <c r="I3186" s="1">
        <v>1626764</v>
      </c>
      <c r="J3186" s="1" t="s">
        <v>191</v>
      </c>
      <c r="K3186" s="1" t="s">
        <v>210</v>
      </c>
      <c r="L3186" s="1" t="str">
        <f t="shared" si="174"/>
        <v>Vallentunasjön Va2</v>
      </c>
      <c r="M3186" s="1" t="s">
        <v>213</v>
      </c>
      <c r="N3186" s="1">
        <v>3</v>
      </c>
      <c r="O3186" s="1">
        <v>3</v>
      </c>
      <c r="Q3186" s="1">
        <v>18.5</v>
      </c>
      <c r="R3186" s="1">
        <v>10.8</v>
      </c>
      <c r="S3186" s="1">
        <v>113</v>
      </c>
    </row>
    <row r="3187" spans="1:113" x14ac:dyDescent="0.3">
      <c r="A3187" s="1">
        <v>53514</v>
      </c>
      <c r="B3187" s="1" t="s">
        <v>237</v>
      </c>
      <c r="C3187" s="1" t="s">
        <v>209</v>
      </c>
      <c r="D3187" s="2">
        <f t="shared" si="172"/>
        <v>2016</v>
      </c>
      <c r="E3187" s="2">
        <f t="shared" si="173"/>
        <v>8</v>
      </c>
      <c r="F3187" s="3" t="s">
        <v>179</v>
      </c>
      <c r="G3187" s="4">
        <v>42613</v>
      </c>
      <c r="H3187" s="1">
        <v>6600935</v>
      </c>
      <c r="I3187" s="1">
        <v>1626764</v>
      </c>
      <c r="J3187" s="1" t="s">
        <v>191</v>
      </c>
      <c r="K3187" s="1" t="s">
        <v>210</v>
      </c>
      <c r="L3187" s="1" t="str">
        <f t="shared" si="174"/>
        <v>Vallentunasjön Va2</v>
      </c>
      <c r="M3187" s="1" t="s">
        <v>214</v>
      </c>
      <c r="N3187" s="1">
        <v>4</v>
      </c>
      <c r="O3187" s="1">
        <v>4</v>
      </c>
      <c r="Q3187" s="1">
        <v>18.399999999999999</v>
      </c>
      <c r="R3187" s="1">
        <v>10.7</v>
      </c>
      <c r="S3187" s="1">
        <v>112</v>
      </c>
    </row>
    <row r="3188" spans="1:113" x14ac:dyDescent="0.3">
      <c r="A3188" s="1">
        <v>53515</v>
      </c>
      <c r="B3188" s="1" t="s">
        <v>237</v>
      </c>
      <c r="C3188" s="1" t="s">
        <v>209</v>
      </c>
      <c r="D3188" s="2">
        <f t="shared" si="172"/>
        <v>2016</v>
      </c>
      <c r="E3188" s="2">
        <f t="shared" si="173"/>
        <v>8</v>
      </c>
      <c r="F3188" s="3" t="s">
        <v>179</v>
      </c>
      <c r="G3188" s="4">
        <v>42613</v>
      </c>
      <c r="H3188" s="1">
        <v>6600935</v>
      </c>
      <c r="I3188" s="1">
        <v>1626764</v>
      </c>
      <c r="J3188" s="1" t="s">
        <v>191</v>
      </c>
      <c r="K3188" s="1" t="s">
        <v>210</v>
      </c>
      <c r="L3188" s="1" t="str">
        <f t="shared" si="174"/>
        <v>Vallentunasjön Va2</v>
      </c>
      <c r="M3188" s="1" t="s">
        <v>184</v>
      </c>
      <c r="Q3188" s="1">
        <v>18.3</v>
      </c>
      <c r="R3188" s="1">
        <v>10.6</v>
      </c>
      <c r="S3188" s="1">
        <v>111</v>
      </c>
    </row>
    <row r="3189" spans="1:113" x14ac:dyDescent="0.3">
      <c r="A3189" s="1">
        <v>53516</v>
      </c>
      <c r="B3189" s="1" t="s">
        <v>237</v>
      </c>
      <c r="C3189" s="1" t="s">
        <v>209</v>
      </c>
      <c r="D3189" s="2">
        <f t="shared" si="172"/>
        <v>2016</v>
      </c>
      <c r="E3189" s="2">
        <f t="shared" si="173"/>
        <v>8</v>
      </c>
      <c r="F3189" s="3" t="s">
        <v>179</v>
      </c>
      <c r="G3189" s="4">
        <v>42613</v>
      </c>
      <c r="J3189" s="1" t="s">
        <v>191</v>
      </c>
      <c r="K3189" s="1" t="s">
        <v>206</v>
      </c>
      <c r="L3189" s="1" t="str">
        <f t="shared" si="174"/>
        <v>Vallentunasjön Blandprov</v>
      </c>
      <c r="M3189" s="1" t="s">
        <v>177</v>
      </c>
      <c r="N3189" s="1">
        <v>4</v>
      </c>
      <c r="O3189" s="1">
        <v>0</v>
      </c>
      <c r="W3189" s="1">
        <v>5.0948000000000002</v>
      </c>
      <c r="Z3189" s="1">
        <v>0</v>
      </c>
      <c r="AB3189" s="1">
        <v>44.088839999999998</v>
      </c>
      <c r="AD3189" s="1">
        <v>1.47</v>
      </c>
      <c r="AG3189" s="1">
        <v>16</v>
      </c>
      <c r="AK3189" s="1">
        <v>44.11</v>
      </c>
      <c r="AL3189" s="1">
        <v>1225.07</v>
      </c>
      <c r="BQ3189" s="1">
        <v>3.62</v>
      </c>
      <c r="BR3189" s="1">
        <v>2.4399999999999899E-3</v>
      </c>
      <c r="BS3189" s="1">
        <v>6.6400000000000001E-2</v>
      </c>
      <c r="BT3189" s="1">
        <v>2.4799999999999899E-2</v>
      </c>
      <c r="BU3189" s="1">
        <v>1.1100000000000001</v>
      </c>
      <c r="BV3189" s="1">
        <v>0.66300000000000003</v>
      </c>
      <c r="BW3189" s="1">
        <v>0.69399999999999895</v>
      </c>
      <c r="BX3189" s="6">
        <v>5.0000000000000001E-3</v>
      </c>
      <c r="BY3189" s="1">
        <v>4.82</v>
      </c>
      <c r="BZ3189" s="1">
        <v>44.9</v>
      </c>
      <c r="CA3189" s="1">
        <v>6.16</v>
      </c>
      <c r="CC3189" s="1">
        <v>1.1800000000000001E-3</v>
      </c>
      <c r="CD3189" s="1">
        <v>4.62</v>
      </c>
      <c r="CE3189" s="1">
        <v>27.4</v>
      </c>
      <c r="CF3189" s="1">
        <v>3.85</v>
      </c>
      <c r="CG3189" s="1">
        <v>0.56200000000000006</v>
      </c>
      <c r="CH3189" s="1">
        <v>21.5</v>
      </c>
      <c r="CI3189" s="6">
        <v>1E-3</v>
      </c>
      <c r="CJ3189" s="1">
        <v>1.31</v>
      </c>
      <c r="CK3189" s="1">
        <v>7.6</v>
      </c>
      <c r="CL3189" s="1">
        <v>0.84499999999999897</v>
      </c>
      <c r="CM3189" s="1">
        <v>114</v>
      </c>
      <c r="CN3189" s="1">
        <v>10.3</v>
      </c>
      <c r="CP3189" s="21">
        <v>2.8999999999999898E-3</v>
      </c>
      <c r="CQ3189" s="6">
        <v>5.0000000000000001E-4</v>
      </c>
      <c r="CR3189" s="6">
        <v>5.0000000000000001E-4</v>
      </c>
      <c r="CS3189" s="1">
        <v>1.6999999999999899E-3</v>
      </c>
      <c r="CT3189" s="1">
        <v>3.8E-3</v>
      </c>
      <c r="CU3189" s="6">
        <v>5.0000000000000001E-4</v>
      </c>
      <c r="CV3189" s="1">
        <v>2.5999999999999899E-3</v>
      </c>
      <c r="CW3189" s="1">
        <v>2.3E-3</v>
      </c>
      <c r="CX3189" s="6">
        <v>5.0000000000000001E-4</v>
      </c>
      <c r="CY3189" s="6">
        <v>5.0000000000000001E-4</v>
      </c>
      <c r="CZ3189" s="6">
        <v>5.0000000000000001E-4</v>
      </c>
      <c r="DA3189" s="6">
        <v>5.0000000000000001E-4</v>
      </c>
      <c r="DB3189" s="6">
        <v>5.0000000000000001E-4</v>
      </c>
      <c r="DC3189" s="6">
        <v>5.0000000000000001E-4</v>
      </c>
      <c r="DD3189" s="6">
        <v>5.0000000000000001E-4</v>
      </c>
      <c r="DE3189" s="6">
        <v>5.0000000000000001E-4</v>
      </c>
      <c r="DF3189" s="6">
        <v>5.0000000000000001E-4</v>
      </c>
      <c r="DG3189" s="6">
        <v>5.0000000000000001E-4</v>
      </c>
      <c r="DH3189" s="1">
        <v>12</v>
      </c>
      <c r="DI3189" s="1">
        <v>5</v>
      </c>
    </row>
    <row r="3190" spans="1:113" x14ac:dyDescent="0.3">
      <c r="A3190" s="6">
        <v>53669</v>
      </c>
      <c r="B3190" s="5" t="s">
        <v>238</v>
      </c>
      <c r="C3190" s="5" t="s">
        <v>231</v>
      </c>
      <c r="D3190" s="2">
        <f t="shared" si="172"/>
        <v>2016</v>
      </c>
      <c r="E3190" s="2">
        <f t="shared" si="173"/>
        <v>9</v>
      </c>
      <c r="F3190" s="2"/>
      <c r="G3190" s="7">
        <v>42618</v>
      </c>
      <c r="H3190" s="6">
        <v>6606916</v>
      </c>
      <c r="I3190" s="6">
        <v>1619762</v>
      </c>
      <c r="J3190" s="5" t="s">
        <v>181</v>
      </c>
      <c r="K3190" s="6">
        <v>1</v>
      </c>
      <c r="L3190" s="1" t="str">
        <f t="shared" si="174"/>
        <v>Fysingen 1</v>
      </c>
      <c r="M3190" s="1" t="s">
        <v>177</v>
      </c>
      <c r="N3190" s="6">
        <v>0.5</v>
      </c>
      <c r="O3190" s="6">
        <v>0.5</v>
      </c>
      <c r="X3190" s="6">
        <v>0</v>
      </c>
      <c r="AE3190" s="6">
        <v>8</v>
      </c>
      <c r="AJ3190" s="6">
        <v>8.51</v>
      </c>
      <c r="BQ3190" s="6">
        <v>22.2</v>
      </c>
      <c r="BR3190" s="6">
        <v>6.0200000000000002E-3</v>
      </c>
      <c r="BS3190" s="6">
        <v>0.18</v>
      </c>
      <c r="BT3190" s="6">
        <v>5.5300000000000002E-2</v>
      </c>
      <c r="BU3190" s="6">
        <v>14.9</v>
      </c>
      <c r="BV3190" s="6">
        <v>2.96</v>
      </c>
      <c r="BW3190" s="6">
        <v>4.7300000000000004</v>
      </c>
      <c r="BX3190" s="6">
        <v>2.23E-2</v>
      </c>
      <c r="BY3190" s="6">
        <v>2.19</v>
      </c>
      <c r="BZ3190" s="6">
        <v>58.9</v>
      </c>
      <c r="CA3190" s="6">
        <v>11.2</v>
      </c>
      <c r="CC3190" s="6">
        <v>3.11999999999999E-3</v>
      </c>
      <c r="CD3190" s="6">
        <v>5.97</v>
      </c>
      <c r="CE3190" s="6">
        <v>33.5</v>
      </c>
      <c r="CF3190" s="6">
        <v>0.47499999999999898</v>
      </c>
      <c r="CG3190" s="6">
        <v>0.78500000000000003</v>
      </c>
      <c r="CH3190" s="6">
        <v>10.9</v>
      </c>
      <c r="CI3190" s="6">
        <v>1E-3</v>
      </c>
      <c r="CJ3190" s="6">
        <v>1.62</v>
      </c>
      <c r="CK3190" s="6">
        <v>10.4</v>
      </c>
      <c r="CL3190" s="6">
        <v>0.33800000000000002</v>
      </c>
      <c r="CM3190" s="6">
        <v>156</v>
      </c>
      <c r="CN3190" s="6">
        <v>21.1</v>
      </c>
      <c r="CO3190" s="6">
        <v>147</v>
      </c>
      <c r="CP3190" s="22">
        <v>4.0000000000000001E-3</v>
      </c>
      <c r="CQ3190" s="6">
        <v>1.4E-3</v>
      </c>
      <c r="CR3190" s="6">
        <v>1.29999999999999E-3</v>
      </c>
      <c r="CS3190" s="6">
        <v>6.7000000000000002E-3</v>
      </c>
      <c r="CT3190" s="6">
        <v>1.09999999999999E-2</v>
      </c>
      <c r="CU3190" s="6">
        <v>5.0000000000000001E-4</v>
      </c>
      <c r="CV3190" s="6">
        <v>5.0000000000000001E-4</v>
      </c>
      <c r="CW3190" s="6">
        <v>5.0000000000000001E-4</v>
      </c>
      <c r="CX3190" s="6">
        <v>5.0000000000000001E-4</v>
      </c>
      <c r="CY3190" s="6">
        <v>5.0000000000000001E-4</v>
      </c>
      <c r="CZ3190" s="6">
        <v>5.0000000000000001E-4</v>
      </c>
      <c r="DA3190" s="6">
        <v>5.0000000000000001E-4</v>
      </c>
      <c r="DB3190" s="6">
        <v>5.0000000000000001E-4</v>
      </c>
      <c r="DC3190" s="6">
        <v>5.0000000000000001E-4</v>
      </c>
      <c r="DD3190" s="6">
        <v>5.0000000000000001E-4</v>
      </c>
      <c r="DE3190" s="6">
        <v>5.0000000000000001E-4</v>
      </c>
      <c r="DF3190" s="6">
        <v>5.0000000000000001E-4</v>
      </c>
      <c r="DG3190" s="6">
        <v>5.0000000000000001E-4</v>
      </c>
      <c r="DH3190" s="6">
        <v>5</v>
      </c>
      <c r="DI3190" s="6">
        <v>5</v>
      </c>
    </row>
    <row r="3191" spans="1:113" x14ac:dyDescent="0.3">
      <c r="A3191" s="6">
        <v>53670</v>
      </c>
      <c r="B3191" s="5" t="s">
        <v>238</v>
      </c>
      <c r="C3191" s="5" t="s">
        <v>231</v>
      </c>
      <c r="D3191" s="2">
        <f t="shared" si="172"/>
        <v>2016</v>
      </c>
      <c r="E3191" s="2">
        <f t="shared" si="173"/>
        <v>9</v>
      </c>
      <c r="F3191" s="2"/>
      <c r="G3191" s="7">
        <v>42620</v>
      </c>
      <c r="H3191" s="6">
        <v>6606566</v>
      </c>
      <c r="I3191" s="6">
        <v>1615683</v>
      </c>
      <c r="J3191" s="5" t="s">
        <v>176</v>
      </c>
      <c r="K3191" s="1"/>
      <c r="L3191" s="1" t="str">
        <f t="shared" si="174"/>
        <v xml:space="preserve">Oxundaån </v>
      </c>
      <c r="M3191" s="1" t="s">
        <v>177</v>
      </c>
      <c r="X3191" s="6">
        <v>0</v>
      </c>
      <c r="AE3191" s="6">
        <v>7.6</v>
      </c>
      <c r="AJ3191" s="6">
        <v>9.89</v>
      </c>
      <c r="BQ3191" s="6">
        <v>3.81</v>
      </c>
      <c r="BR3191" s="6">
        <v>1E-3</v>
      </c>
      <c r="BS3191" s="6">
        <v>7.6499999999999901E-2</v>
      </c>
      <c r="BT3191" s="6">
        <v>9.5399999999999902E-2</v>
      </c>
      <c r="BU3191" s="6">
        <v>1.91</v>
      </c>
      <c r="BV3191" s="6">
        <v>0.82799999999999896</v>
      </c>
      <c r="BW3191" s="6">
        <v>3.33</v>
      </c>
      <c r="BX3191" s="6">
        <v>5.0000000000000001E-3</v>
      </c>
      <c r="BY3191" s="6">
        <v>2.27999999999999</v>
      </c>
      <c r="BZ3191" s="6">
        <v>48.8</v>
      </c>
      <c r="CA3191" s="6">
        <v>7.16</v>
      </c>
      <c r="CC3191" s="6">
        <v>6.3200000000000001E-3</v>
      </c>
      <c r="CD3191" s="6">
        <v>4.1399999999999899</v>
      </c>
      <c r="CE3191" s="6">
        <v>20.3</v>
      </c>
      <c r="CF3191" s="6">
        <v>0.80800000000000005</v>
      </c>
      <c r="CG3191" s="6">
        <v>0.60199999999999898</v>
      </c>
      <c r="CH3191" s="6">
        <v>15.1</v>
      </c>
      <c r="CI3191" s="6">
        <v>1E-3</v>
      </c>
      <c r="CJ3191" s="6">
        <v>1.17</v>
      </c>
      <c r="CK3191" s="6">
        <v>29.4</v>
      </c>
      <c r="CL3191" s="6">
        <v>0.66400000000000003</v>
      </c>
      <c r="CM3191" s="6">
        <v>111</v>
      </c>
      <c r="CN3191" s="6">
        <v>8.44</v>
      </c>
      <c r="CO3191" s="6">
        <v>122</v>
      </c>
    </row>
    <row r="3192" spans="1:113" x14ac:dyDescent="0.3">
      <c r="A3192" s="6">
        <v>53671</v>
      </c>
      <c r="B3192" s="5" t="s">
        <v>238</v>
      </c>
      <c r="C3192" s="5" t="s">
        <v>231</v>
      </c>
      <c r="D3192" s="2">
        <f t="shared" si="172"/>
        <v>2016</v>
      </c>
      <c r="E3192" s="2">
        <f t="shared" si="173"/>
        <v>9</v>
      </c>
      <c r="F3192" s="2"/>
      <c r="G3192" s="7">
        <v>42620</v>
      </c>
      <c r="H3192" s="6">
        <v>6605383</v>
      </c>
      <c r="I3192" s="6">
        <v>1617768</v>
      </c>
      <c r="J3192" s="5" t="s">
        <v>244</v>
      </c>
      <c r="K3192" s="1"/>
      <c r="L3192" s="1" t="str">
        <f t="shared" si="174"/>
        <v xml:space="preserve">Verkaån </v>
      </c>
      <c r="M3192" s="1" t="s">
        <v>177</v>
      </c>
      <c r="X3192" s="6">
        <v>0</v>
      </c>
      <c r="AE3192" s="6">
        <v>7.5</v>
      </c>
      <c r="AJ3192" s="6">
        <v>8.09</v>
      </c>
      <c r="BQ3192" s="6">
        <v>3.66</v>
      </c>
      <c r="BR3192" s="6">
        <v>1E-3</v>
      </c>
      <c r="BS3192" s="6">
        <v>0.11</v>
      </c>
      <c r="BT3192" s="6">
        <v>4.41E-2</v>
      </c>
      <c r="BU3192" s="6">
        <v>0.99099999999999899</v>
      </c>
      <c r="BV3192" s="6">
        <v>3.2</v>
      </c>
      <c r="BW3192" s="6">
        <v>3.59</v>
      </c>
      <c r="BX3192" s="6">
        <v>5.0000000000000001E-3</v>
      </c>
      <c r="BY3192" s="6">
        <v>5.41</v>
      </c>
      <c r="BZ3192" s="6">
        <v>62.4</v>
      </c>
      <c r="CA3192" s="6">
        <v>11.4</v>
      </c>
      <c r="CC3192" s="6">
        <v>1.2999999999999901E-2</v>
      </c>
      <c r="CD3192" s="6">
        <v>6.25</v>
      </c>
      <c r="CE3192" s="6">
        <v>35.799999999999898</v>
      </c>
      <c r="CF3192" s="6">
        <v>0.69299999999999895</v>
      </c>
      <c r="CG3192" s="6">
        <v>0.73</v>
      </c>
      <c r="CH3192" s="6">
        <v>14.9</v>
      </c>
      <c r="CI3192" s="6">
        <v>1E-3</v>
      </c>
      <c r="CJ3192" s="6">
        <v>1.84</v>
      </c>
      <c r="CK3192" s="6">
        <v>13.1</v>
      </c>
      <c r="CL3192" s="6">
        <v>0.191</v>
      </c>
      <c r="CM3192" s="6">
        <v>165</v>
      </c>
      <c r="CN3192" s="6">
        <v>21.3</v>
      </c>
      <c r="CO3192" s="6">
        <v>155</v>
      </c>
    </row>
    <row r="3193" spans="1:113" x14ac:dyDescent="0.3">
      <c r="A3193" s="6">
        <v>53672</v>
      </c>
      <c r="B3193" s="5" t="s">
        <v>238</v>
      </c>
      <c r="C3193" s="5" t="s">
        <v>231</v>
      </c>
      <c r="D3193" s="2">
        <f t="shared" si="172"/>
        <v>2016</v>
      </c>
      <c r="E3193" s="2">
        <f t="shared" si="173"/>
        <v>9</v>
      </c>
      <c r="F3193" s="2"/>
      <c r="G3193" s="7">
        <v>42620</v>
      </c>
      <c r="H3193" s="6">
        <v>6598095</v>
      </c>
      <c r="I3193" s="6">
        <v>1622911</v>
      </c>
      <c r="J3193" s="5" t="s">
        <v>245</v>
      </c>
      <c r="K3193" s="1"/>
      <c r="L3193" s="1" t="str">
        <f t="shared" si="174"/>
        <v xml:space="preserve">Hagbyån </v>
      </c>
      <c r="M3193" s="1" t="s">
        <v>177</v>
      </c>
      <c r="X3193" s="6">
        <v>0</v>
      </c>
      <c r="AE3193" s="6">
        <v>7.4</v>
      </c>
      <c r="AJ3193" s="6">
        <v>9.6300000000000008</v>
      </c>
      <c r="BQ3193" s="6">
        <v>8.06</v>
      </c>
      <c r="BR3193" s="6">
        <v>1E-3</v>
      </c>
      <c r="BS3193" s="6">
        <v>8.48E-2</v>
      </c>
      <c r="BT3193" s="6">
        <v>3.8300000000000001E-2</v>
      </c>
      <c r="BU3193" s="6">
        <v>0.70899999999999896</v>
      </c>
      <c r="BV3193" s="6">
        <v>1.1499999999999899</v>
      </c>
      <c r="BW3193" s="6">
        <v>1.37</v>
      </c>
      <c r="BX3193" s="6">
        <v>2.9399999999999898E-2</v>
      </c>
      <c r="BY3193" s="6">
        <v>1.27</v>
      </c>
      <c r="BZ3193" s="6">
        <v>50</v>
      </c>
      <c r="CA3193" s="6">
        <v>6.69</v>
      </c>
      <c r="CC3193" s="6">
        <v>2.53E-2</v>
      </c>
      <c r="CD3193" s="6">
        <v>5.32</v>
      </c>
      <c r="CE3193" s="6">
        <v>31.1</v>
      </c>
      <c r="CF3193" s="6">
        <v>3.44</v>
      </c>
      <c r="CG3193" s="6">
        <v>0.73299999999999899</v>
      </c>
      <c r="CH3193" s="6">
        <v>27.6</v>
      </c>
      <c r="CI3193" s="6">
        <v>1E-3</v>
      </c>
      <c r="CJ3193" s="6">
        <v>1.65</v>
      </c>
      <c r="CK3193" s="6">
        <v>16.100000000000001</v>
      </c>
      <c r="CL3193" s="6">
        <v>0.504</v>
      </c>
      <c r="CM3193" s="6">
        <v>127</v>
      </c>
      <c r="CN3193" s="6">
        <v>12.4</v>
      </c>
      <c r="CO3193" s="6">
        <v>130</v>
      </c>
    </row>
    <row r="3194" spans="1:113" x14ac:dyDescent="0.3">
      <c r="A3194" s="6">
        <v>53673</v>
      </c>
      <c r="B3194" s="5" t="s">
        <v>238</v>
      </c>
      <c r="C3194" s="5" t="s">
        <v>231</v>
      </c>
      <c r="D3194" s="2">
        <f t="shared" si="172"/>
        <v>2016</v>
      </c>
      <c r="E3194" s="2">
        <f t="shared" si="173"/>
        <v>9</v>
      </c>
      <c r="F3194" s="2"/>
      <c r="G3194" s="7">
        <v>42620</v>
      </c>
      <c r="H3194" s="6">
        <v>6607584</v>
      </c>
      <c r="I3194" s="6">
        <v>1621997</v>
      </c>
      <c r="J3194" s="5" t="s">
        <v>246</v>
      </c>
      <c r="K3194" s="1"/>
      <c r="L3194" s="1" t="str">
        <f t="shared" si="174"/>
        <v xml:space="preserve">Hargsån </v>
      </c>
      <c r="M3194" s="1" t="s">
        <v>177</v>
      </c>
      <c r="X3194" s="6">
        <v>0</v>
      </c>
      <c r="AE3194" s="6">
        <v>7.4</v>
      </c>
      <c r="AJ3194" s="6">
        <v>8.2200000000000006</v>
      </c>
      <c r="BQ3194" s="6">
        <v>54.3</v>
      </c>
      <c r="BR3194" s="6">
        <v>1.6899999999999901E-2</v>
      </c>
      <c r="BS3194" s="6">
        <v>0.18</v>
      </c>
      <c r="BT3194" s="6">
        <v>0.127</v>
      </c>
      <c r="BU3194" s="6">
        <v>2.39</v>
      </c>
      <c r="BV3194" s="6">
        <v>5.39</v>
      </c>
      <c r="BW3194" s="6">
        <v>13.7</v>
      </c>
      <c r="BX3194" s="6">
        <v>3.6900000000000002E-2</v>
      </c>
      <c r="BY3194" s="6">
        <v>5.68</v>
      </c>
      <c r="BZ3194" s="6">
        <v>51.5</v>
      </c>
      <c r="CA3194" s="6">
        <v>11.2</v>
      </c>
      <c r="CC3194" s="6">
        <v>9.1700000000000004E-2</v>
      </c>
      <c r="CD3194" s="6">
        <v>5.56</v>
      </c>
      <c r="CE3194" s="6">
        <v>32.299999999999898</v>
      </c>
      <c r="CF3194" s="6">
        <v>5.84</v>
      </c>
      <c r="CG3194" s="6">
        <v>0.54100000000000004</v>
      </c>
      <c r="CH3194" s="6">
        <v>12.3</v>
      </c>
      <c r="CI3194" s="6">
        <v>1E-3</v>
      </c>
      <c r="CJ3194" s="6">
        <v>1.08</v>
      </c>
      <c r="CK3194" s="6">
        <v>10.1999999999999</v>
      </c>
      <c r="CL3194" s="6">
        <v>0.17899999999999899</v>
      </c>
      <c r="CM3194" s="6">
        <v>161</v>
      </c>
      <c r="CN3194" s="6">
        <v>7.33</v>
      </c>
      <c r="CO3194" s="6">
        <v>132</v>
      </c>
    </row>
    <row r="3195" spans="1:113" x14ac:dyDescent="0.3">
      <c r="A3195" s="6">
        <v>53674</v>
      </c>
      <c r="B3195" s="5" t="s">
        <v>238</v>
      </c>
      <c r="C3195" s="5" t="s">
        <v>231</v>
      </c>
      <c r="D3195" s="2">
        <f t="shared" si="172"/>
        <v>2016</v>
      </c>
      <c r="E3195" s="2">
        <f t="shared" si="173"/>
        <v>9</v>
      </c>
      <c r="F3195" s="2"/>
      <c r="G3195" s="7">
        <v>42620</v>
      </c>
      <c r="H3195" s="6">
        <v>6597900</v>
      </c>
      <c r="I3195" s="6">
        <v>1626790</v>
      </c>
      <c r="J3195" s="5" t="s">
        <v>247</v>
      </c>
      <c r="K3195" s="1"/>
      <c r="L3195" s="1" t="str">
        <f t="shared" si="174"/>
        <v xml:space="preserve">Karbyån </v>
      </c>
      <c r="M3195" s="1" t="s">
        <v>177</v>
      </c>
      <c r="X3195" s="6">
        <v>0</v>
      </c>
      <c r="AE3195" s="6">
        <v>7.7</v>
      </c>
      <c r="AJ3195" s="6">
        <v>4.76</v>
      </c>
      <c r="BQ3195" s="6">
        <v>5.22</v>
      </c>
      <c r="BR3195" s="6">
        <v>1E-3</v>
      </c>
      <c r="BS3195" s="6">
        <v>5.6500000000000002E-2</v>
      </c>
      <c r="BT3195" s="6">
        <v>8.6400000000000005E-2</v>
      </c>
      <c r="BU3195" s="6">
        <v>1.52</v>
      </c>
      <c r="BV3195" s="6">
        <v>0.61299999999999899</v>
      </c>
      <c r="BW3195" s="6">
        <v>0.80700000000000005</v>
      </c>
      <c r="BX3195" s="6">
        <v>2.8400000000000002E-2</v>
      </c>
      <c r="BY3195" s="6">
        <v>5.09</v>
      </c>
      <c r="BZ3195" s="6">
        <v>66</v>
      </c>
      <c r="CA3195" s="6">
        <v>5.77</v>
      </c>
      <c r="CC3195" s="6">
        <v>4.39999999999999E-2</v>
      </c>
      <c r="CD3195" s="6">
        <v>4.67</v>
      </c>
      <c r="CE3195" s="6">
        <v>30.9</v>
      </c>
      <c r="CF3195" s="6">
        <v>3.7</v>
      </c>
      <c r="CG3195" s="6">
        <v>0.65200000000000002</v>
      </c>
      <c r="CH3195" s="6">
        <v>51.2</v>
      </c>
      <c r="CI3195" s="6">
        <v>1E-3</v>
      </c>
      <c r="CJ3195" s="6">
        <v>5.33</v>
      </c>
      <c r="CK3195" s="6">
        <v>48.1</v>
      </c>
      <c r="CL3195" s="6">
        <v>0.61199999999999899</v>
      </c>
      <c r="CM3195" s="6">
        <v>134</v>
      </c>
      <c r="CN3195" s="6">
        <v>27.7</v>
      </c>
      <c r="CO3195" s="6">
        <v>168</v>
      </c>
    </row>
    <row r="3196" spans="1:113" x14ac:dyDescent="0.3">
      <c r="D3196" s="2">
        <f t="shared" si="172"/>
        <v>2016</v>
      </c>
      <c r="E3196" s="2">
        <f t="shared" si="173"/>
        <v>9</v>
      </c>
      <c r="F3196" s="3"/>
      <c r="G3196" s="4">
        <v>42626</v>
      </c>
      <c r="H3196" s="1">
        <v>6606238</v>
      </c>
      <c r="I3196" s="1">
        <v>661152</v>
      </c>
      <c r="J3196" s="5" t="s">
        <v>176</v>
      </c>
      <c r="K3196" s="1"/>
      <c r="L3196" s="1" t="str">
        <f t="shared" si="174"/>
        <v xml:space="preserve">Oxundaån </v>
      </c>
      <c r="M3196" s="1" t="s">
        <v>177</v>
      </c>
      <c r="N3196" s="1">
        <v>0.1</v>
      </c>
      <c r="O3196" s="1">
        <v>0.1</v>
      </c>
      <c r="Q3196" s="1">
        <v>17.399999999999999</v>
      </c>
      <c r="T3196" s="1">
        <v>47.2</v>
      </c>
      <c r="V3196" s="1">
        <v>2.6850000000000001</v>
      </c>
      <c r="W3196" s="1">
        <v>37</v>
      </c>
      <c r="X3196" s="1">
        <f>W3196 * (1/((10^((0.0901821 + (2729.92 /(273.15 + Q3196)))-AE3196)+1)))</f>
        <v>0.9150528111124554</v>
      </c>
      <c r="Y3196" s="1">
        <v>3.5999999999999997E-2</v>
      </c>
      <c r="Z3196" s="1">
        <v>55</v>
      </c>
      <c r="AA3196" s="1">
        <v>1.4</v>
      </c>
      <c r="AD3196" s="1">
        <v>9</v>
      </c>
      <c r="AE3196" s="1">
        <v>7.89</v>
      </c>
      <c r="AI3196" s="1">
        <v>9.6</v>
      </c>
      <c r="AK3196" s="1">
        <v>81.7</v>
      </c>
      <c r="AL3196" s="1">
        <v>660</v>
      </c>
      <c r="AR3196" s="1">
        <v>52</v>
      </c>
      <c r="AT3196" s="1">
        <v>5.4740000000000011</v>
      </c>
      <c r="AU3196" s="1">
        <v>8.9539999999999988</v>
      </c>
      <c r="AV3196" s="1">
        <v>38.995000000000005</v>
      </c>
      <c r="AW3196" s="1">
        <v>27.528000000000002</v>
      </c>
      <c r="AX3196" s="1">
        <v>45.166999999999994</v>
      </c>
      <c r="AY3196" s="1">
        <v>0.78</v>
      </c>
    </row>
    <row r="3197" spans="1:113" x14ac:dyDescent="0.3">
      <c r="A3197" s="1">
        <v>53734</v>
      </c>
      <c r="B3197" s="1" t="s">
        <v>237</v>
      </c>
      <c r="C3197" s="1" t="s">
        <v>209</v>
      </c>
      <c r="D3197" s="2">
        <f t="shared" si="172"/>
        <v>2016</v>
      </c>
      <c r="E3197" s="2">
        <f t="shared" si="173"/>
        <v>9</v>
      </c>
      <c r="F3197" s="2"/>
      <c r="G3197" s="4">
        <v>42627</v>
      </c>
      <c r="H3197" s="1">
        <v>6600935</v>
      </c>
      <c r="I3197" s="1">
        <v>1626764</v>
      </c>
      <c r="J3197" s="1" t="s">
        <v>191</v>
      </c>
      <c r="K3197" s="1" t="s">
        <v>210</v>
      </c>
      <c r="L3197" s="1" t="str">
        <f t="shared" si="174"/>
        <v>Vallentunasjön Va2</v>
      </c>
      <c r="M3197" s="1" t="s">
        <v>177</v>
      </c>
      <c r="N3197" s="1">
        <v>0.5</v>
      </c>
      <c r="O3197" s="1">
        <v>0.5</v>
      </c>
      <c r="P3197" s="1">
        <v>0.6</v>
      </c>
      <c r="Q3197" s="1">
        <v>17.899999999999999</v>
      </c>
      <c r="R3197" s="1">
        <v>10.9</v>
      </c>
      <c r="S3197" s="1">
        <v>114</v>
      </c>
    </row>
    <row r="3198" spans="1:113" x14ac:dyDescent="0.3">
      <c r="A3198" s="1">
        <v>53735</v>
      </c>
      <c r="B3198" s="1" t="s">
        <v>237</v>
      </c>
      <c r="C3198" s="1" t="s">
        <v>209</v>
      </c>
      <c r="D3198" s="2">
        <f t="shared" si="172"/>
        <v>2016</v>
      </c>
      <c r="E3198" s="2">
        <f t="shared" si="173"/>
        <v>9</v>
      </c>
      <c r="F3198" s="2"/>
      <c r="G3198" s="4">
        <v>42627</v>
      </c>
      <c r="H3198" s="1">
        <v>6600935</v>
      </c>
      <c r="I3198" s="1">
        <v>1626764</v>
      </c>
      <c r="J3198" s="1" t="s">
        <v>191</v>
      </c>
      <c r="K3198" s="1" t="s">
        <v>210</v>
      </c>
      <c r="L3198" s="1" t="str">
        <f t="shared" si="174"/>
        <v>Vallentunasjön Va2</v>
      </c>
      <c r="M3198" s="1" t="s">
        <v>211</v>
      </c>
      <c r="N3198" s="1">
        <v>1</v>
      </c>
      <c r="O3198" s="1">
        <v>1</v>
      </c>
      <c r="Q3198" s="1">
        <v>18</v>
      </c>
      <c r="R3198" s="1">
        <v>10.9</v>
      </c>
      <c r="S3198" s="1">
        <v>113</v>
      </c>
    </row>
    <row r="3199" spans="1:113" x14ac:dyDescent="0.3">
      <c r="A3199" s="1">
        <v>53736</v>
      </c>
      <c r="B3199" s="1" t="s">
        <v>237</v>
      </c>
      <c r="C3199" s="1" t="s">
        <v>209</v>
      </c>
      <c r="D3199" s="2">
        <f t="shared" si="172"/>
        <v>2016</v>
      </c>
      <c r="E3199" s="2">
        <f t="shared" si="173"/>
        <v>9</v>
      </c>
      <c r="F3199" s="2"/>
      <c r="G3199" s="4">
        <v>42627</v>
      </c>
      <c r="H3199" s="1">
        <v>6600935</v>
      </c>
      <c r="I3199" s="1">
        <v>1626764</v>
      </c>
      <c r="J3199" s="1" t="s">
        <v>191</v>
      </c>
      <c r="K3199" s="1" t="s">
        <v>210</v>
      </c>
      <c r="L3199" s="1" t="str">
        <f t="shared" si="174"/>
        <v>Vallentunasjön Va2</v>
      </c>
      <c r="M3199" s="1" t="s">
        <v>212</v>
      </c>
      <c r="N3199" s="1">
        <v>2</v>
      </c>
      <c r="O3199" s="1">
        <v>2</v>
      </c>
      <c r="Q3199" s="1">
        <v>17.899999999999999</v>
      </c>
      <c r="R3199" s="1">
        <v>10.5</v>
      </c>
      <c r="S3199" s="1">
        <v>110</v>
      </c>
    </row>
    <row r="3200" spans="1:113" x14ac:dyDescent="0.3">
      <c r="A3200" s="1">
        <v>53737</v>
      </c>
      <c r="B3200" s="1" t="s">
        <v>237</v>
      </c>
      <c r="C3200" s="1" t="s">
        <v>209</v>
      </c>
      <c r="D3200" s="2">
        <f t="shared" si="172"/>
        <v>2016</v>
      </c>
      <c r="E3200" s="2">
        <f t="shared" si="173"/>
        <v>9</v>
      </c>
      <c r="F3200" s="2"/>
      <c r="G3200" s="4">
        <v>42627</v>
      </c>
      <c r="H3200" s="1">
        <v>6600935</v>
      </c>
      <c r="I3200" s="1">
        <v>1626764</v>
      </c>
      <c r="J3200" s="1" t="s">
        <v>191</v>
      </c>
      <c r="K3200" s="1" t="s">
        <v>210</v>
      </c>
      <c r="L3200" s="1" t="str">
        <f t="shared" si="174"/>
        <v>Vallentunasjön Va2</v>
      </c>
      <c r="M3200" s="1" t="s">
        <v>213</v>
      </c>
      <c r="N3200" s="1">
        <v>3</v>
      </c>
      <c r="O3200" s="1">
        <v>3</v>
      </c>
      <c r="Q3200" s="1">
        <v>17.899999999999999</v>
      </c>
      <c r="R3200" s="1">
        <v>9.6999999999999993</v>
      </c>
      <c r="S3200" s="1">
        <v>100</v>
      </c>
    </row>
    <row r="3201" spans="1:92" x14ac:dyDescent="0.3">
      <c r="A3201" s="1">
        <v>53738</v>
      </c>
      <c r="B3201" s="1" t="s">
        <v>237</v>
      </c>
      <c r="C3201" s="1" t="s">
        <v>209</v>
      </c>
      <c r="D3201" s="2">
        <f t="shared" si="172"/>
        <v>2016</v>
      </c>
      <c r="E3201" s="2">
        <f t="shared" si="173"/>
        <v>9</v>
      </c>
      <c r="F3201" s="2"/>
      <c r="G3201" s="4">
        <v>42627</v>
      </c>
      <c r="H3201" s="1">
        <v>6600935</v>
      </c>
      <c r="I3201" s="1">
        <v>1626764</v>
      </c>
      <c r="J3201" s="1" t="s">
        <v>191</v>
      </c>
      <c r="K3201" s="1" t="s">
        <v>210</v>
      </c>
      <c r="L3201" s="1" t="str">
        <f t="shared" si="174"/>
        <v>Vallentunasjön Va2</v>
      </c>
      <c r="M3201" s="1" t="s">
        <v>214</v>
      </c>
      <c r="N3201" s="1">
        <v>4</v>
      </c>
      <c r="O3201" s="1">
        <v>4</v>
      </c>
      <c r="Q3201" s="1">
        <v>17.7</v>
      </c>
      <c r="R3201" s="1">
        <v>6.9</v>
      </c>
      <c r="S3201" s="1">
        <v>72</v>
      </c>
    </row>
    <row r="3202" spans="1:92" x14ac:dyDescent="0.3">
      <c r="A3202" s="1">
        <v>53739</v>
      </c>
      <c r="B3202" s="1" t="s">
        <v>237</v>
      </c>
      <c r="C3202" s="1" t="s">
        <v>209</v>
      </c>
      <c r="D3202" s="2">
        <f t="shared" ref="D3202:D3269" si="175">YEAR(G3202)</f>
        <v>2016</v>
      </c>
      <c r="E3202" s="2">
        <f t="shared" ref="E3202:E3269" si="176">MONTH(G3202)</f>
        <v>9</v>
      </c>
      <c r="F3202" s="2"/>
      <c r="G3202" s="4">
        <v>42627</v>
      </c>
      <c r="H3202" s="1">
        <v>6600935</v>
      </c>
      <c r="I3202" s="1">
        <v>1626764</v>
      </c>
      <c r="J3202" s="1" t="s">
        <v>191</v>
      </c>
      <c r="K3202" s="1" t="s">
        <v>210</v>
      </c>
      <c r="L3202" s="1" t="str">
        <f t="shared" ref="L3202:L3245" si="177">CONCATENATE(J3202," ",K3202)</f>
        <v>Vallentunasjön Va2</v>
      </c>
      <c r="M3202" s="1" t="s">
        <v>184</v>
      </c>
      <c r="Q3202" s="1">
        <v>17.7</v>
      </c>
      <c r="R3202" s="1">
        <v>6.4</v>
      </c>
      <c r="S3202" s="1">
        <v>67</v>
      </c>
    </row>
    <row r="3203" spans="1:92" x14ac:dyDescent="0.3">
      <c r="A3203" s="1">
        <v>53740</v>
      </c>
      <c r="B3203" s="1" t="s">
        <v>237</v>
      </c>
      <c r="C3203" s="1" t="s">
        <v>209</v>
      </c>
      <c r="D3203" s="2">
        <f t="shared" si="175"/>
        <v>2016</v>
      </c>
      <c r="E3203" s="2">
        <f t="shared" si="176"/>
        <v>9</v>
      </c>
      <c r="F3203" s="2"/>
      <c r="G3203" s="4">
        <v>42627</v>
      </c>
      <c r="J3203" s="1" t="s">
        <v>191</v>
      </c>
      <c r="K3203" s="1" t="s">
        <v>206</v>
      </c>
      <c r="L3203" s="1" t="str">
        <f t="shared" si="177"/>
        <v>Vallentunasjön Blandprov</v>
      </c>
      <c r="M3203" s="1" t="s">
        <v>177</v>
      </c>
      <c r="N3203" s="1">
        <v>4</v>
      </c>
      <c r="O3203" s="1">
        <v>0</v>
      </c>
      <c r="W3203" s="1">
        <v>0.49619999999999997</v>
      </c>
      <c r="Z3203" s="1">
        <v>0</v>
      </c>
      <c r="AB3203" s="1">
        <v>33.034320000000001</v>
      </c>
      <c r="AD3203" s="1">
        <v>0.34</v>
      </c>
      <c r="AG3203" s="1">
        <v>15.5</v>
      </c>
      <c r="AK3203" s="1">
        <v>43.6</v>
      </c>
      <c r="AL3203" s="1">
        <v>1083.3800000000001</v>
      </c>
    </row>
    <row r="3204" spans="1:92" x14ac:dyDescent="0.3">
      <c r="A3204" s="1">
        <v>53927</v>
      </c>
      <c r="B3204" s="1" t="s">
        <v>237</v>
      </c>
      <c r="C3204" s="1" t="s">
        <v>209</v>
      </c>
      <c r="D3204" s="2">
        <f t="shared" si="175"/>
        <v>2016</v>
      </c>
      <c r="E3204" s="2">
        <f t="shared" si="176"/>
        <v>9</v>
      </c>
      <c r="F3204" s="2"/>
      <c r="G3204" s="4">
        <v>42639</v>
      </c>
      <c r="H3204" s="1">
        <v>6600935</v>
      </c>
      <c r="I3204" s="1">
        <v>1626764</v>
      </c>
      <c r="J3204" s="1" t="s">
        <v>191</v>
      </c>
      <c r="K3204" s="1" t="s">
        <v>210</v>
      </c>
      <c r="L3204" s="1" t="str">
        <f t="shared" si="177"/>
        <v>Vallentunasjön Va2</v>
      </c>
      <c r="M3204" s="1" t="s">
        <v>177</v>
      </c>
      <c r="N3204" s="1">
        <v>0.5</v>
      </c>
      <c r="O3204" s="1">
        <v>0.5</v>
      </c>
      <c r="P3204" s="1">
        <v>0.8</v>
      </c>
      <c r="Q3204" s="1">
        <v>15.5</v>
      </c>
      <c r="R3204" s="1">
        <v>9.9</v>
      </c>
      <c r="S3204" s="1">
        <v>98</v>
      </c>
    </row>
    <row r="3205" spans="1:92" x14ac:dyDescent="0.3">
      <c r="A3205" s="1">
        <v>53928</v>
      </c>
      <c r="B3205" s="1" t="s">
        <v>237</v>
      </c>
      <c r="C3205" s="1" t="s">
        <v>209</v>
      </c>
      <c r="D3205" s="2">
        <f t="shared" si="175"/>
        <v>2016</v>
      </c>
      <c r="E3205" s="2">
        <f t="shared" si="176"/>
        <v>9</v>
      </c>
      <c r="F3205" s="2"/>
      <c r="G3205" s="4">
        <v>42639</v>
      </c>
      <c r="H3205" s="1">
        <v>6600935</v>
      </c>
      <c r="I3205" s="1">
        <v>1626764</v>
      </c>
      <c r="J3205" s="1" t="s">
        <v>191</v>
      </c>
      <c r="K3205" s="1" t="s">
        <v>210</v>
      </c>
      <c r="L3205" s="1" t="str">
        <f t="shared" si="177"/>
        <v>Vallentunasjön Va2</v>
      </c>
      <c r="M3205" s="1" t="s">
        <v>211</v>
      </c>
      <c r="N3205" s="1">
        <v>1</v>
      </c>
      <c r="O3205" s="1">
        <v>1</v>
      </c>
      <c r="Q3205" s="1">
        <v>15.5</v>
      </c>
      <c r="R3205" s="1">
        <v>9.9</v>
      </c>
      <c r="S3205" s="1">
        <v>98</v>
      </c>
    </row>
    <row r="3206" spans="1:92" x14ac:dyDescent="0.3">
      <c r="A3206" s="1">
        <v>53929</v>
      </c>
      <c r="B3206" s="1" t="s">
        <v>237</v>
      </c>
      <c r="C3206" s="1" t="s">
        <v>209</v>
      </c>
      <c r="D3206" s="2">
        <f t="shared" si="175"/>
        <v>2016</v>
      </c>
      <c r="E3206" s="2">
        <f t="shared" si="176"/>
        <v>9</v>
      </c>
      <c r="F3206" s="2"/>
      <c r="G3206" s="4">
        <v>42639</v>
      </c>
      <c r="H3206" s="1">
        <v>6600935</v>
      </c>
      <c r="I3206" s="1">
        <v>1626764</v>
      </c>
      <c r="J3206" s="1" t="s">
        <v>191</v>
      </c>
      <c r="K3206" s="1" t="s">
        <v>210</v>
      </c>
      <c r="L3206" s="1" t="str">
        <f t="shared" si="177"/>
        <v>Vallentunasjön Va2</v>
      </c>
      <c r="M3206" s="1" t="s">
        <v>212</v>
      </c>
      <c r="N3206" s="1">
        <v>2</v>
      </c>
      <c r="O3206" s="1">
        <v>2</v>
      </c>
      <c r="Q3206" s="1">
        <v>15.5</v>
      </c>
      <c r="R3206" s="1">
        <v>9.9</v>
      </c>
      <c r="S3206" s="1">
        <v>98</v>
      </c>
    </row>
    <row r="3207" spans="1:92" x14ac:dyDescent="0.3">
      <c r="A3207" s="1">
        <v>53930</v>
      </c>
      <c r="B3207" s="1" t="s">
        <v>237</v>
      </c>
      <c r="C3207" s="1" t="s">
        <v>209</v>
      </c>
      <c r="D3207" s="2">
        <f t="shared" si="175"/>
        <v>2016</v>
      </c>
      <c r="E3207" s="2">
        <f t="shared" si="176"/>
        <v>9</v>
      </c>
      <c r="F3207" s="2"/>
      <c r="G3207" s="4">
        <v>42639</v>
      </c>
      <c r="H3207" s="1">
        <v>6600935</v>
      </c>
      <c r="I3207" s="1">
        <v>1626764</v>
      </c>
      <c r="J3207" s="1" t="s">
        <v>191</v>
      </c>
      <c r="K3207" s="1" t="s">
        <v>210</v>
      </c>
      <c r="L3207" s="1" t="str">
        <f t="shared" si="177"/>
        <v>Vallentunasjön Va2</v>
      </c>
      <c r="M3207" s="1" t="s">
        <v>213</v>
      </c>
      <c r="N3207" s="1">
        <v>3</v>
      </c>
      <c r="O3207" s="1">
        <v>3</v>
      </c>
      <c r="Q3207" s="1">
        <v>15.5</v>
      </c>
      <c r="R3207" s="1">
        <v>9.9</v>
      </c>
      <c r="S3207" s="1">
        <v>98</v>
      </c>
    </row>
    <row r="3208" spans="1:92" x14ac:dyDescent="0.3">
      <c r="A3208" s="1">
        <v>53931</v>
      </c>
      <c r="B3208" s="1" t="s">
        <v>237</v>
      </c>
      <c r="C3208" s="1" t="s">
        <v>209</v>
      </c>
      <c r="D3208" s="2">
        <f t="shared" si="175"/>
        <v>2016</v>
      </c>
      <c r="E3208" s="2">
        <f t="shared" si="176"/>
        <v>9</v>
      </c>
      <c r="F3208" s="2"/>
      <c r="G3208" s="4">
        <v>42639</v>
      </c>
      <c r="H3208" s="1">
        <v>6600935</v>
      </c>
      <c r="I3208" s="1">
        <v>1626764</v>
      </c>
      <c r="J3208" s="1" t="s">
        <v>191</v>
      </c>
      <c r="K3208" s="1" t="s">
        <v>210</v>
      </c>
      <c r="L3208" s="1" t="str">
        <f t="shared" si="177"/>
        <v>Vallentunasjön Va2</v>
      </c>
      <c r="M3208" s="1" t="s">
        <v>214</v>
      </c>
      <c r="N3208" s="1">
        <v>4</v>
      </c>
      <c r="O3208" s="1">
        <v>4</v>
      </c>
      <c r="Q3208" s="1">
        <v>15.4</v>
      </c>
      <c r="R3208" s="1">
        <v>9.6</v>
      </c>
      <c r="S3208" s="1">
        <v>95</v>
      </c>
    </row>
    <row r="3209" spans="1:92" x14ac:dyDescent="0.3">
      <c r="A3209" s="1">
        <v>53932</v>
      </c>
      <c r="B3209" s="1" t="s">
        <v>237</v>
      </c>
      <c r="C3209" s="1" t="s">
        <v>209</v>
      </c>
      <c r="D3209" s="2">
        <f t="shared" si="175"/>
        <v>2016</v>
      </c>
      <c r="E3209" s="2">
        <f t="shared" si="176"/>
        <v>9</v>
      </c>
      <c r="F3209" s="2"/>
      <c r="G3209" s="4">
        <v>42639</v>
      </c>
      <c r="H3209" s="1">
        <v>6600935</v>
      </c>
      <c r="I3209" s="1">
        <v>1626764</v>
      </c>
      <c r="J3209" s="1" t="s">
        <v>191</v>
      </c>
      <c r="K3209" s="1" t="s">
        <v>210</v>
      </c>
      <c r="L3209" s="1" t="str">
        <f t="shared" si="177"/>
        <v>Vallentunasjön Va2</v>
      </c>
      <c r="M3209" s="1" t="s">
        <v>184</v>
      </c>
    </row>
    <row r="3210" spans="1:92" x14ac:dyDescent="0.3">
      <c r="A3210" s="1">
        <v>53933</v>
      </c>
      <c r="B3210" s="1" t="s">
        <v>237</v>
      </c>
      <c r="C3210" s="1" t="s">
        <v>209</v>
      </c>
      <c r="D3210" s="2">
        <f t="shared" si="175"/>
        <v>2016</v>
      </c>
      <c r="E3210" s="2">
        <f t="shared" si="176"/>
        <v>9</v>
      </c>
      <c r="F3210" s="2"/>
      <c r="G3210" s="4">
        <v>42639</v>
      </c>
      <c r="J3210" s="1" t="s">
        <v>191</v>
      </c>
      <c r="K3210" s="1" t="s">
        <v>206</v>
      </c>
      <c r="L3210" s="1" t="str">
        <f t="shared" si="177"/>
        <v>Vallentunasjön Blandprov</v>
      </c>
      <c r="M3210" s="1" t="s">
        <v>177</v>
      </c>
      <c r="N3210" s="1">
        <v>4</v>
      </c>
      <c r="O3210" s="1">
        <v>0</v>
      </c>
      <c r="W3210" s="1">
        <v>0</v>
      </c>
      <c r="Z3210" s="1">
        <v>4.95</v>
      </c>
      <c r="AB3210" s="1">
        <v>42.43788</v>
      </c>
      <c r="AD3210" s="1">
        <v>0</v>
      </c>
      <c r="AG3210" s="1">
        <v>15.6</v>
      </c>
      <c r="AK3210" s="1">
        <v>48.31</v>
      </c>
      <c r="AL3210" s="1">
        <v>1321.79</v>
      </c>
    </row>
    <row r="3211" spans="1:92" x14ac:dyDescent="0.3">
      <c r="A3211" s="6">
        <v>54235</v>
      </c>
      <c r="B3211" s="5" t="s">
        <v>239</v>
      </c>
      <c r="C3211" s="5" t="s">
        <v>236</v>
      </c>
      <c r="D3211" s="2">
        <f t="shared" si="175"/>
        <v>2016</v>
      </c>
      <c r="E3211" s="2">
        <f t="shared" si="176"/>
        <v>10</v>
      </c>
      <c r="F3211" s="3" t="s">
        <v>180</v>
      </c>
      <c r="G3211" s="7">
        <v>42655</v>
      </c>
      <c r="H3211" s="6">
        <v>6593788</v>
      </c>
      <c r="I3211" s="6">
        <v>1624229</v>
      </c>
      <c r="J3211" s="5" t="s">
        <v>189</v>
      </c>
      <c r="K3211" s="1"/>
      <c r="L3211" s="1" t="str">
        <f t="shared" si="177"/>
        <v xml:space="preserve">Rösjön </v>
      </c>
      <c r="M3211" s="1" t="s">
        <v>177</v>
      </c>
      <c r="N3211" s="6">
        <v>0.5</v>
      </c>
      <c r="O3211" s="6">
        <v>0.5</v>
      </c>
      <c r="P3211" s="6">
        <v>3.2</v>
      </c>
      <c r="Q3211" s="6">
        <v>10.1</v>
      </c>
      <c r="R3211" s="6">
        <v>10.199999999999999</v>
      </c>
      <c r="S3211" s="6">
        <v>88</v>
      </c>
      <c r="W3211" s="6">
        <v>24.114599999999999</v>
      </c>
      <c r="X3211" s="1">
        <f>W3211 * (1/((10^((0.0901821 + (2729.92 /(273.15 + Q3211)))-AE3211)+1)))</f>
        <v>0.31516510010235893</v>
      </c>
      <c r="Y3211" s="6">
        <v>3.1E-2</v>
      </c>
      <c r="Z3211" s="6">
        <v>7.23</v>
      </c>
      <c r="AA3211" s="6">
        <v>2.4</v>
      </c>
      <c r="AD3211" s="6">
        <v>4.2</v>
      </c>
      <c r="AE3211" s="6">
        <v>7.85</v>
      </c>
      <c r="AI3211" s="6">
        <v>8.2520000000000007</v>
      </c>
      <c r="AJ3211" s="6">
        <v>8.0719999999999992</v>
      </c>
      <c r="AK3211" s="6">
        <v>24.06</v>
      </c>
      <c r="AL3211" s="6">
        <v>581.73</v>
      </c>
      <c r="AM3211" s="6"/>
      <c r="AN3211" s="6"/>
      <c r="AO3211" s="6"/>
      <c r="AP3211" s="6"/>
      <c r="AQ3211" s="6"/>
      <c r="AR3211" s="6">
        <v>27.9</v>
      </c>
      <c r="AS3211" s="6">
        <v>8.48E-2</v>
      </c>
      <c r="AT3211" s="6">
        <v>1.89</v>
      </c>
      <c r="AU3211" s="6">
        <v>4.03</v>
      </c>
      <c r="AW3211" s="6">
        <v>14.5</v>
      </c>
      <c r="AY3211" s="6">
        <v>0.245</v>
      </c>
      <c r="AZ3211" s="6">
        <v>48.1</v>
      </c>
      <c r="BA3211" s="6">
        <v>0.94899999999999896</v>
      </c>
      <c r="BB3211" s="6">
        <v>16.8</v>
      </c>
      <c r="BC3211" s="6">
        <v>1E-3</v>
      </c>
      <c r="BD3211" s="6">
        <v>3.5000000000000003E-2</v>
      </c>
      <c r="BE3211" s="6">
        <v>7.7299999999999897E-2</v>
      </c>
      <c r="BF3211" s="6">
        <v>0.626</v>
      </c>
      <c r="BG3211" s="6">
        <v>1E-3</v>
      </c>
      <c r="BH3211" s="6">
        <v>16.5</v>
      </c>
      <c r="BI3211" s="6">
        <v>0.60399999999999898</v>
      </c>
      <c r="BJ3211" s="6">
        <v>0.22500000000000001</v>
      </c>
      <c r="BK3211" s="6">
        <v>16.899999999999899</v>
      </c>
      <c r="BL3211" s="6">
        <v>0.17799999999999899</v>
      </c>
      <c r="BM3211" s="6">
        <v>69.599999999999895</v>
      </c>
      <c r="BN3211" s="6">
        <v>0.371</v>
      </c>
      <c r="BO3211" s="6">
        <v>1.57</v>
      </c>
      <c r="BQ3211" s="6">
        <v>6.66</v>
      </c>
      <c r="BR3211" s="6">
        <v>1E-3</v>
      </c>
      <c r="BS3211" s="6">
        <v>2.0299999999999901E-2</v>
      </c>
      <c r="BT3211" s="6">
        <v>1.04E-2</v>
      </c>
      <c r="BU3211" s="6">
        <v>0.56799999999999895</v>
      </c>
      <c r="BV3211" s="6">
        <v>0.41699999999999898</v>
      </c>
      <c r="BW3211" s="6">
        <v>0.36</v>
      </c>
      <c r="BX3211" s="6">
        <v>3.2899999999999902E-2</v>
      </c>
      <c r="BY3211" s="6">
        <v>1.76</v>
      </c>
      <c r="BZ3211" s="6">
        <v>28.9</v>
      </c>
      <c r="CA3211" s="6">
        <v>4.12</v>
      </c>
      <c r="CC3211" s="6">
        <v>1.38999999999999E-2</v>
      </c>
      <c r="CD3211" s="6">
        <v>1.94</v>
      </c>
      <c r="CE3211" s="6">
        <v>14.8</v>
      </c>
      <c r="CF3211" s="6">
        <v>6.2199999999999901E-2</v>
      </c>
      <c r="CG3211" s="6">
        <v>0.89700000000000002</v>
      </c>
      <c r="CH3211" s="6">
        <v>17.3</v>
      </c>
      <c r="CI3211" s="6">
        <v>1E-3</v>
      </c>
      <c r="CJ3211" s="6">
        <v>0.63600000000000001</v>
      </c>
      <c r="CK3211" s="6">
        <v>13.8</v>
      </c>
      <c r="CL3211" s="6">
        <v>0.35599999999999898</v>
      </c>
      <c r="CM3211" s="6">
        <v>71</v>
      </c>
      <c r="CN3211" s="6">
        <v>3.8</v>
      </c>
    </row>
    <row r="3212" spans="1:92" x14ac:dyDescent="0.3">
      <c r="A3212" s="6">
        <v>54236</v>
      </c>
      <c r="B3212" s="5" t="s">
        <v>239</v>
      </c>
      <c r="C3212" s="5" t="s">
        <v>236</v>
      </c>
      <c r="D3212" s="2">
        <f t="shared" si="175"/>
        <v>2016</v>
      </c>
      <c r="E3212" s="2">
        <f t="shared" si="176"/>
        <v>10</v>
      </c>
      <c r="F3212" s="3" t="s">
        <v>180</v>
      </c>
      <c r="G3212" s="7">
        <v>42655</v>
      </c>
      <c r="H3212" s="6">
        <v>6593788</v>
      </c>
      <c r="I3212" s="6">
        <v>1624229</v>
      </c>
      <c r="J3212" s="5" t="s">
        <v>189</v>
      </c>
      <c r="K3212" s="1"/>
      <c r="L3212" s="1" t="str">
        <f t="shared" si="177"/>
        <v xml:space="preserve">Rösjön </v>
      </c>
      <c r="M3212" s="5" t="s">
        <v>211</v>
      </c>
      <c r="N3212" s="6">
        <v>1</v>
      </c>
      <c r="O3212" s="6">
        <v>1</v>
      </c>
      <c r="Q3212" s="6">
        <v>10.1</v>
      </c>
      <c r="R3212" s="6">
        <v>10.1</v>
      </c>
      <c r="S3212" s="6">
        <v>88</v>
      </c>
    </row>
    <row r="3213" spans="1:92" x14ac:dyDescent="0.3">
      <c r="A3213" s="6">
        <v>54237</v>
      </c>
      <c r="B3213" s="5" t="s">
        <v>239</v>
      </c>
      <c r="C3213" s="5" t="s">
        <v>236</v>
      </c>
      <c r="D3213" s="2">
        <f t="shared" si="175"/>
        <v>2016</v>
      </c>
      <c r="E3213" s="2">
        <f t="shared" si="176"/>
        <v>10</v>
      </c>
      <c r="F3213" s="3" t="s">
        <v>180</v>
      </c>
      <c r="G3213" s="7">
        <v>42655</v>
      </c>
      <c r="H3213" s="6">
        <v>6593788</v>
      </c>
      <c r="I3213" s="6">
        <v>1624229</v>
      </c>
      <c r="J3213" s="5" t="s">
        <v>189</v>
      </c>
      <c r="K3213" s="1"/>
      <c r="L3213" s="1" t="str">
        <f t="shared" si="177"/>
        <v xml:space="preserve">Rösjön </v>
      </c>
      <c r="M3213" s="5" t="s">
        <v>212</v>
      </c>
      <c r="N3213" s="6">
        <v>2</v>
      </c>
      <c r="O3213" s="6">
        <v>2</v>
      </c>
      <c r="Q3213" s="6">
        <v>10.1</v>
      </c>
      <c r="R3213" s="6">
        <v>10.1</v>
      </c>
      <c r="S3213" s="6">
        <v>88</v>
      </c>
    </row>
    <row r="3214" spans="1:92" x14ac:dyDescent="0.3">
      <c r="A3214" s="6">
        <v>54238</v>
      </c>
      <c r="B3214" s="5" t="s">
        <v>239</v>
      </c>
      <c r="C3214" s="5" t="s">
        <v>236</v>
      </c>
      <c r="D3214" s="2">
        <f t="shared" si="175"/>
        <v>2016</v>
      </c>
      <c r="E3214" s="2">
        <f t="shared" si="176"/>
        <v>10</v>
      </c>
      <c r="F3214" s="3" t="s">
        <v>180</v>
      </c>
      <c r="G3214" s="7">
        <v>42655</v>
      </c>
      <c r="H3214" s="6">
        <v>6593788</v>
      </c>
      <c r="I3214" s="6">
        <v>1624229</v>
      </c>
      <c r="J3214" s="5" t="s">
        <v>189</v>
      </c>
      <c r="K3214" s="1"/>
      <c r="L3214" s="1" t="str">
        <f t="shared" si="177"/>
        <v xml:space="preserve">Rösjön </v>
      </c>
      <c r="M3214" s="5" t="s">
        <v>213</v>
      </c>
      <c r="N3214" s="6">
        <v>3</v>
      </c>
      <c r="O3214" s="6">
        <v>3</v>
      </c>
      <c r="Q3214" s="6">
        <v>10.1</v>
      </c>
      <c r="R3214" s="6">
        <v>10.1</v>
      </c>
      <c r="S3214" s="6">
        <v>87</v>
      </c>
    </row>
    <row r="3215" spans="1:92" x14ac:dyDescent="0.3">
      <c r="A3215" s="6">
        <v>54239</v>
      </c>
      <c r="B3215" s="5" t="s">
        <v>239</v>
      </c>
      <c r="C3215" s="5" t="s">
        <v>236</v>
      </c>
      <c r="D3215" s="2">
        <f t="shared" si="175"/>
        <v>2016</v>
      </c>
      <c r="E3215" s="2">
        <f t="shared" si="176"/>
        <v>10</v>
      </c>
      <c r="F3215" s="3" t="s">
        <v>180</v>
      </c>
      <c r="G3215" s="7">
        <v>42655</v>
      </c>
      <c r="H3215" s="6">
        <v>6593788</v>
      </c>
      <c r="I3215" s="6">
        <v>1624229</v>
      </c>
      <c r="J3215" s="5" t="s">
        <v>189</v>
      </c>
      <c r="K3215" s="1"/>
      <c r="L3215" s="1" t="str">
        <f t="shared" si="177"/>
        <v xml:space="preserve">Rösjön </v>
      </c>
      <c r="M3215" s="5" t="s">
        <v>214</v>
      </c>
      <c r="N3215" s="6">
        <v>4</v>
      </c>
      <c r="O3215" s="6">
        <v>4</v>
      </c>
      <c r="Q3215" s="6">
        <v>10.1</v>
      </c>
      <c r="R3215" s="6">
        <v>10.1</v>
      </c>
      <c r="S3215" s="6">
        <v>87</v>
      </c>
    </row>
    <row r="3216" spans="1:92" x14ac:dyDescent="0.3">
      <c r="A3216" s="6">
        <v>54240</v>
      </c>
      <c r="B3216" s="5" t="s">
        <v>239</v>
      </c>
      <c r="C3216" s="5" t="s">
        <v>236</v>
      </c>
      <c r="D3216" s="2">
        <f t="shared" si="175"/>
        <v>2016</v>
      </c>
      <c r="E3216" s="2">
        <f t="shared" si="176"/>
        <v>10</v>
      </c>
      <c r="F3216" s="3" t="s">
        <v>180</v>
      </c>
      <c r="G3216" s="7">
        <v>42655</v>
      </c>
      <c r="H3216" s="6">
        <v>6593788</v>
      </c>
      <c r="I3216" s="6">
        <v>1624229</v>
      </c>
      <c r="J3216" s="5" t="s">
        <v>189</v>
      </c>
      <c r="K3216" s="1"/>
      <c r="L3216" s="1" t="str">
        <f t="shared" si="177"/>
        <v xml:space="preserve">Rösjön </v>
      </c>
      <c r="M3216" s="5" t="s">
        <v>217</v>
      </c>
      <c r="N3216" s="6">
        <v>5</v>
      </c>
      <c r="O3216" s="6">
        <v>5</v>
      </c>
      <c r="Q3216" s="6">
        <v>10.1</v>
      </c>
      <c r="R3216" s="6">
        <v>10.1</v>
      </c>
      <c r="S3216" s="6">
        <v>87</v>
      </c>
    </row>
    <row r="3217" spans="1:92" x14ac:dyDescent="0.3">
      <c r="A3217" s="6">
        <v>54241</v>
      </c>
      <c r="B3217" s="5" t="s">
        <v>239</v>
      </c>
      <c r="C3217" s="5" t="s">
        <v>236</v>
      </c>
      <c r="D3217" s="2">
        <f t="shared" si="175"/>
        <v>2016</v>
      </c>
      <c r="E3217" s="2">
        <f t="shared" si="176"/>
        <v>10</v>
      </c>
      <c r="F3217" s="3" t="s">
        <v>180</v>
      </c>
      <c r="G3217" s="7">
        <v>42655</v>
      </c>
      <c r="H3217" s="6">
        <v>6593788</v>
      </c>
      <c r="I3217" s="6">
        <v>1624229</v>
      </c>
      <c r="J3217" s="5" t="s">
        <v>189</v>
      </c>
      <c r="K3217" s="1"/>
      <c r="L3217" s="1" t="str">
        <f t="shared" si="177"/>
        <v xml:space="preserve">Rösjön </v>
      </c>
      <c r="M3217" s="5" t="s">
        <v>218</v>
      </c>
      <c r="N3217" s="6">
        <v>6</v>
      </c>
      <c r="O3217" s="6">
        <v>6</v>
      </c>
      <c r="Q3217" s="6">
        <v>10.1</v>
      </c>
      <c r="R3217" s="6">
        <v>10</v>
      </c>
      <c r="S3217" s="6">
        <v>87</v>
      </c>
    </row>
    <row r="3218" spans="1:92" x14ac:dyDescent="0.3">
      <c r="A3218" s="6">
        <v>54242</v>
      </c>
      <c r="B3218" s="5" t="s">
        <v>239</v>
      </c>
      <c r="C3218" s="5" t="s">
        <v>236</v>
      </c>
      <c r="D3218" s="2">
        <f t="shared" si="175"/>
        <v>2016</v>
      </c>
      <c r="E3218" s="2">
        <f t="shared" si="176"/>
        <v>10</v>
      </c>
      <c r="F3218" s="3" t="s">
        <v>180</v>
      </c>
      <c r="G3218" s="7">
        <v>42655</v>
      </c>
      <c r="H3218" s="6">
        <v>6593788</v>
      </c>
      <c r="I3218" s="6">
        <v>1624229</v>
      </c>
      <c r="J3218" s="5" t="s">
        <v>189</v>
      </c>
      <c r="K3218" s="1"/>
      <c r="L3218" s="1" t="str">
        <f t="shared" si="177"/>
        <v xml:space="preserve">Rösjön </v>
      </c>
      <c r="M3218" s="1" t="s">
        <v>184</v>
      </c>
      <c r="Q3218" s="6">
        <v>10.1</v>
      </c>
      <c r="R3218" s="6">
        <v>10</v>
      </c>
      <c r="S3218" s="6">
        <v>87</v>
      </c>
    </row>
    <row r="3219" spans="1:92" x14ac:dyDescent="0.3">
      <c r="A3219" s="6">
        <v>54243</v>
      </c>
      <c r="B3219" s="5" t="s">
        <v>239</v>
      </c>
      <c r="C3219" s="5" t="s">
        <v>236</v>
      </c>
      <c r="D3219" s="2">
        <f t="shared" si="175"/>
        <v>2016</v>
      </c>
      <c r="E3219" s="2">
        <f t="shared" si="176"/>
        <v>10</v>
      </c>
      <c r="F3219" s="3" t="s">
        <v>180</v>
      </c>
      <c r="G3219" s="7">
        <v>42655</v>
      </c>
      <c r="H3219" s="6">
        <v>6595016</v>
      </c>
      <c r="I3219" s="6">
        <v>1622944</v>
      </c>
      <c r="J3219" s="5" t="s">
        <v>192</v>
      </c>
      <c r="K3219" s="1"/>
      <c r="L3219" s="1" t="str">
        <f t="shared" si="177"/>
        <v xml:space="preserve">Väsjön </v>
      </c>
      <c r="M3219" s="1" t="s">
        <v>177</v>
      </c>
      <c r="N3219" s="6">
        <v>0.5</v>
      </c>
      <c r="O3219" s="6">
        <v>0.5</v>
      </c>
      <c r="P3219" s="6">
        <v>2.2999999999999998</v>
      </c>
      <c r="Q3219" s="6">
        <v>8.6</v>
      </c>
      <c r="R3219" s="6">
        <v>8.1999999999999993</v>
      </c>
      <c r="S3219" s="6">
        <v>69</v>
      </c>
      <c r="W3219" s="6">
        <v>9.0152999999999999</v>
      </c>
      <c r="X3219" s="1">
        <f>W3219 * (1/((10^((0.0901821 + (2729.92 /(273.15 + Q3219)))-AE3219)+1)))</f>
        <v>7.1154066033172106E-2</v>
      </c>
      <c r="Y3219" s="6">
        <v>6.4000000000000001E-2</v>
      </c>
      <c r="Z3219" s="6">
        <v>1.18</v>
      </c>
      <c r="AA3219" s="6">
        <v>0.57999999999999996</v>
      </c>
      <c r="AD3219" s="6">
        <v>0.28999999999999998</v>
      </c>
      <c r="AE3219" s="6">
        <v>7.68</v>
      </c>
      <c r="AI3219" s="6">
        <v>12.65</v>
      </c>
      <c r="AJ3219" s="6">
        <v>12.21</v>
      </c>
      <c r="AK3219" s="6">
        <v>15.38</v>
      </c>
      <c r="AL3219" s="6">
        <v>681.51</v>
      </c>
      <c r="AM3219" s="6"/>
      <c r="AN3219" s="6"/>
      <c r="AO3219" s="6"/>
      <c r="AP3219" s="6"/>
      <c r="AQ3219" s="6"/>
      <c r="AR3219" s="6">
        <v>54.1</v>
      </c>
      <c r="AS3219" s="6">
        <v>1.18E-2</v>
      </c>
      <c r="AT3219" s="6">
        <v>3.46</v>
      </c>
      <c r="AU3219" s="6">
        <v>7.68</v>
      </c>
      <c r="AW3219" s="6">
        <v>36.6</v>
      </c>
      <c r="AY3219" s="6">
        <v>0.67200000000000004</v>
      </c>
      <c r="AZ3219" s="6">
        <v>3.25</v>
      </c>
      <c r="BA3219" s="6">
        <v>0.628</v>
      </c>
      <c r="BB3219" s="6">
        <v>28.4</v>
      </c>
      <c r="BC3219" s="6">
        <v>1E-3</v>
      </c>
      <c r="BD3219" s="6">
        <v>2.0899999999999901E-2</v>
      </c>
      <c r="BE3219" s="6">
        <v>3.4200000000000001E-2</v>
      </c>
      <c r="BF3219" s="6">
        <v>0.111</v>
      </c>
      <c r="BG3219" s="6">
        <v>1E-3</v>
      </c>
      <c r="BH3219" s="6">
        <v>17.899999999999899</v>
      </c>
      <c r="BI3219" s="6">
        <v>0.57299999999999895</v>
      </c>
      <c r="BJ3219" s="6">
        <v>6.0400000000000002E-2</v>
      </c>
      <c r="BK3219" s="6">
        <v>13.4</v>
      </c>
      <c r="BL3219" s="6">
        <v>3.30999999999999E-2</v>
      </c>
      <c r="BM3219" s="6">
        <v>128</v>
      </c>
      <c r="BN3219" s="6">
        <v>0.20100000000000001</v>
      </c>
      <c r="BO3219" s="6">
        <v>0.54</v>
      </c>
      <c r="BQ3219" s="6">
        <v>0.71</v>
      </c>
      <c r="BR3219" s="6">
        <v>1E-3</v>
      </c>
      <c r="BS3219" s="6">
        <v>1.9400000000000001E-2</v>
      </c>
      <c r="BT3219" s="6">
        <v>2.3099999999999898E-2</v>
      </c>
      <c r="BU3219" s="6">
        <v>0.05</v>
      </c>
      <c r="BV3219" s="6">
        <v>0.88</v>
      </c>
      <c r="BW3219" s="6">
        <v>0.14699999999999899</v>
      </c>
      <c r="BX3219" s="6">
        <v>5.0000000000000001E-3</v>
      </c>
      <c r="BY3219" s="6">
        <v>0.46200000000000002</v>
      </c>
      <c r="BZ3219" s="6">
        <v>52.5</v>
      </c>
      <c r="CA3219" s="6">
        <v>7.48</v>
      </c>
      <c r="CC3219" s="6">
        <v>5.2900000000000004E-3</v>
      </c>
      <c r="CD3219" s="6">
        <v>3.43</v>
      </c>
      <c r="CE3219" s="6">
        <v>36.299999999999898</v>
      </c>
      <c r="CF3219" s="6">
        <v>0.64700000000000002</v>
      </c>
      <c r="CG3219" s="6">
        <v>0.48799999999999899</v>
      </c>
      <c r="CH3219" s="6">
        <v>28.6</v>
      </c>
      <c r="CI3219" s="6">
        <v>1E-3</v>
      </c>
      <c r="CJ3219" s="6">
        <v>0.55400000000000005</v>
      </c>
      <c r="CK3219" s="6">
        <v>10.1999999999999</v>
      </c>
      <c r="CL3219" s="6">
        <v>0.20300000000000001</v>
      </c>
      <c r="CM3219" s="6">
        <v>126</v>
      </c>
      <c r="CN3219" s="6">
        <v>3.63</v>
      </c>
    </row>
    <row r="3220" spans="1:92" x14ac:dyDescent="0.3">
      <c r="A3220" s="6">
        <v>54244</v>
      </c>
      <c r="B3220" s="5" t="s">
        <v>239</v>
      </c>
      <c r="C3220" s="5" t="s">
        <v>236</v>
      </c>
      <c r="D3220" s="2">
        <f t="shared" si="175"/>
        <v>2016</v>
      </c>
      <c r="E3220" s="2">
        <f t="shared" si="176"/>
        <v>10</v>
      </c>
      <c r="F3220" s="3" t="s">
        <v>180</v>
      </c>
      <c r="G3220" s="7">
        <v>42655</v>
      </c>
      <c r="H3220" s="6">
        <v>6595016</v>
      </c>
      <c r="I3220" s="6">
        <v>1622944</v>
      </c>
      <c r="J3220" s="5" t="s">
        <v>192</v>
      </c>
      <c r="K3220" s="1"/>
      <c r="L3220" s="1" t="str">
        <f t="shared" si="177"/>
        <v xml:space="preserve">Väsjön </v>
      </c>
      <c r="M3220" s="5" t="s">
        <v>211</v>
      </c>
      <c r="N3220" s="6">
        <v>1</v>
      </c>
      <c r="O3220" s="6">
        <v>1</v>
      </c>
      <c r="Q3220" s="6">
        <v>8.6</v>
      </c>
      <c r="R3220" s="6">
        <v>8.1999999999999993</v>
      </c>
      <c r="S3220" s="6">
        <v>69</v>
      </c>
    </row>
    <row r="3221" spans="1:92" x14ac:dyDescent="0.3">
      <c r="A3221" s="6">
        <v>54245</v>
      </c>
      <c r="B3221" s="5" t="s">
        <v>239</v>
      </c>
      <c r="C3221" s="5" t="s">
        <v>236</v>
      </c>
      <c r="D3221" s="2">
        <f t="shared" si="175"/>
        <v>2016</v>
      </c>
      <c r="E3221" s="2">
        <f t="shared" si="176"/>
        <v>10</v>
      </c>
      <c r="F3221" s="3" t="s">
        <v>180</v>
      </c>
      <c r="G3221" s="7">
        <v>42655</v>
      </c>
      <c r="H3221" s="6">
        <v>6595016</v>
      </c>
      <c r="I3221" s="6">
        <v>1622944</v>
      </c>
      <c r="J3221" s="5" t="s">
        <v>192</v>
      </c>
      <c r="K3221" s="1"/>
      <c r="L3221" s="1" t="str">
        <f t="shared" si="177"/>
        <v xml:space="preserve">Väsjön </v>
      </c>
      <c r="M3221" s="5" t="s">
        <v>212</v>
      </c>
      <c r="N3221" s="6">
        <v>2</v>
      </c>
      <c r="O3221" s="6">
        <v>2</v>
      </c>
      <c r="Q3221" s="6">
        <v>8.6</v>
      </c>
      <c r="R3221" s="6">
        <v>8.1</v>
      </c>
      <c r="S3221" s="6">
        <v>68</v>
      </c>
    </row>
    <row r="3222" spans="1:92" x14ac:dyDescent="0.3">
      <c r="A3222" s="6">
        <v>54246</v>
      </c>
      <c r="B3222" s="5" t="s">
        <v>239</v>
      </c>
      <c r="C3222" s="5" t="s">
        <v>236</v>
      </c>
      <c r="D3222" s="2">
        <f t="shared" si="175"/>
        <v>2016</v>
      </c>
      <c r="E3222" s="2">
        <f t="shared" si="176"/>
        <v>10</v>
      </c>
      <c r="F3222" s="3" t="s">
        <v>180</v>
      </c>
      <c r="G3222" s="7">
        <v>42655</v>
      </c>
      <c r="H3222" s="6">
        <v>6595016</v>
      </c>
      <c r="I3222" s="6">
        <v>1622944</v>
      </c>
      <c r="J3222" s="5" t="s">
        <v>192</v>
      </c>
      <c r="K3222" s="1"/>
      <c r="L3222" s="1" t="str">
        <f t="shared" si="177"/>
        <v xml:space="preserve">Väsjön </v>
      </c>
      <c r="M3222" s="1" t="s">
        <v>184</v>
      </c>
      <c r="Q3222" s="6">
        <v>8.6</v>
      </c>
      <c r="R3222" s="6">
        <v>8.1</v>
      </c>
      <c r="S3222" s="6">
        <v>68</v>
      </c>
    </row>
    <row r="3223" spans="1:92" x14ac:dyDescent="0.3">
      <c r="A3223" s="1">
        <v>54113</v>
      </c>
      <c r="B3223" s="1" t="s">
        <v>237</v>
      </c>
      <c r="C3223" s="1" t="s">
        <v>209</v>
      </c>
      <c r="D3223" s="2">
        <f t="shared" si="175"/>
        <v>2016</v>
      </c>
      <c r="E3223" s="2">
        <f t="shared" si="176"/>
        <v>10</v>
      </c>
      <c r="F3223" s="3" t="s">
        <v>180</v>
      </c>
      <c r="G3223" s="4">
        <v>42656</v>
      </c>
      <c r="H3223" s="1">
        <v>6600935</v>
      </c>
      <c r="I3223" s="1">
        <v>1626764</v>
      </c>
      <c r="J3223" s="1" t="s">
        <v>191</v>
      </c>
      <c r="K3223" s="1" t="s">
        <v>210</v>
      </c>
      <c r="L3223" s="1" t="str">
        <f t="shared" si="177"/>
        <v>Vallentunasjön Va2</v>
      </c>
      <c r="M3223" s="1" t="s">
        <v>177</v>
      </c>
      <c r="N3223" s="1">
        <v>0.5</v>
      </c>
      <c r="O3223" s="1">
        <v>0.5</v>
      </c>
      <c r="P3223" s="1">
        <v>1</v>
      </c>
      <c r="Q3223" s="1">
        <v>8.1999999999999993</v>
      </c>
      <c r="R3223" s="1">
        <v>11.1</v>
      </c>
      <c r="S3223" s="1">
        <v>92</v>
      </c>
    </row>
    <row r="3224" spans="1:92" x14ac:dyDescent="0.3">
      <c r="A3224" s="1">
        <v>54114</v>
      </c>
      <c r="B3224" s="1" t="s">
        <v>237</v>
      </c>
      <c r="C3224" s="1" t="s">
        <v>209</v>
      </c>
      <c r="D3224" s="2">
        <f t="shared" si="175"/>
        <v>2016</v>
      </c>
      <c r="E3224" s="2">
        <f t="shared" si="176"/>
        <v>10</v>
      </c>
      <c r="F3224" s="3" t="s">
        <v>180</v>
      </c>
      <c r="G3224" s="4">
        <v>42656</v>
      </c>
      <c r="H3224" s="1">
        <v>6600935</v>
      </c>
      <c r="I3224" s="1">
        <v>1626764</v>
      </c>
      <c r="J3224" s="1" t="s">
        <v>191</v>
      </c>
      <c r="K3224" s="1" t="s">
        <v>210</v>
      </c>
      <c r="L3224" s="1" t="str">
        <f t="shared" si="177"/>
        <v>Vallentunasjön Va2</v>
      </c>
      <c r="M3224" s="1" t="s">
        <v>211</v>
      </c>
      <c r="N3224" s="1">
        <v>1</v>
      </c>
      <c r="O3224" s="1">
        <v>1</v>
      </c>
      <c r="Q3224" s="1">
        <v>8.1999999999999993</v>
      </c>
      <c r="R3224" s="1">
        <v>11</v>
      </c>
      <c r="S3224" s="1">
        <v>91</v>
      </c>
    </row>
    <row r="3225" spans="1:92" x14ac:dyDescent="0.3">
      <c r="A3225" s="1">
        <v>54115</v>
      </c>
      <c r="B3225" s="1" t="s">
        <v>237</v>
      </c>
      <c r="C3225" s="1" t="s">
        <v>209</v>
      </c>
      <c r="D3225" s="2">
        <f t="shared" si="175"/>
        <v>2016</v>
      </c>
      <c r="E3225" s="2">
        <f t="shared" si="176"/>
        <v>10</v>
      </c>
      <c r="F3225" s="3" t="s">
        <v>180</v>
      </c>
      <c r="G3225" s="4">
        <v>42656</v>
      </c>
      <c r="H3225" s="1">
        <v>6600935</v>
      </c>
      <c r="I3225" s="1">
        <v>1626764</v>
      </c>
      <c r="J3225" s="1" t="s">
        <v>191</v>
      </c>
      <c r="K3225" s="1" t="s">
        <v>210</v>
      </c>
      <c r="L3225" s="1" t="str">
        <f t="shared" si="177"/>
        <v>Vallentunasjön Va2</v>
      </c>
      <c r="M3225" s="1" t="s">
        <v>212</v>
      </c>
      <c r="N3225" s="1">
        <v>2</v>
      </c>
      <c r="O3225" s="1">
        <v>2</v>
      </c>
      <c r="Q3225" s="1">
        <v>8.1999999999999993</v>
      </c>
      <c r="R3225" s="1">
        <v>11</v>
      </c>
      <c r="S3225" s="1">
        <v>91</v>
      </c>
    </row>
    <row r="3226" spans="1:92" x14ac:dyDescent="0.3">
      <c r="A3226" s="1">
        <v>54116</v>
      </c>
      <c r="B3226" s="1" t="s">
        <v>237</v>
      </c>
      <c r="C3226" s="1" t="s">
        <v>209</v>
      </c>
      <c r="D3226" s="2">
        <f t="shared" si="175"/>
        <v>2016</v>
      </c>
      <c r="E3226" s="2">
        <f t="shared" si="176"/>
        <v>10</v>
      </c>
      <c r="F3226" s="3" t="s">
        <v>180</v>
      </c>
      <c r="G3226" s="4">
        <v>42656</v>
      </c>
      <c r="H3226" s="1">
        <v>6600935</v>
      </c>
      <c r="I3226" s="1">
        <v>1626764</v>
      </c>
      <c r="J3226" s="1" t="s">
        <v>191</v>
      </c>
      <c r="K3226" s="1" t="s">
        <v>210</v>
      </c>
      <c r="L3226" s="1" t="str">
        <f t="shared" si="177"/>
        <v>Vallentunasjön Va2</v>
      </c>
      <c r="M3226" s="1" t="s">
        <v>213</v>
      </c>
      <c r="N3226" s="1">
        <v>3</v>
      </c>
      <c r="O3226" s="1">
        <v>3</v>
      </c>
      <c r="Q3226" s="1">
        <v>8.1999999999999993</v>
      </c>
      <c r="R3226" s="1">
        <v>11</v>
      </c>
      <c r="S3226" s="1">
        <v>91</v>
      </c>
    </row>
    <row r="3227" spans="1:92" x14ac:dyDescent="0.3">
      <c r="A3227" s="1">
        <v>54117</v>
      </c>
      <c r="B3227" s="1" t="s">
        <v>237</v>
      </c>
      <c r="C3227" s="1" t="s">
        <v>209</v>
      </c>
      <c r="D3227" s="2">
        <f t="shared" si="175"/>
        <v>2016</v>
      </c>
      <c r="E3227" s="2">
        <f t="shared" si="176"/>
        <v>10</v>
      </c>
      <c r="F3227" s="3" t="s">
        <v>180</v>
      </c>
      <c r="G3227" s="4">
        <v>42656</v>
      </c>
      <c r="H3227" s="1">
        <v>6600935</v>
      </c>
      <c r="I3227" s="1">
        <v>1626764</v>
      </c>
      <c r="J3227" s="1" t="s">
        <v>191</v>
      </c>
      <c r="K3227" s="1" t="s">
        <v>210</v>
      </c>
      <c r="L3227" s="1" t="str">
        <f t="shared" si="177"/>
        <v>Vallentunasjön Va2</v>
      </c>
      <c r="M3227" s="1" t="s">
        <v>214</v>
      </c>
      <c r="N3227" s="1">
        <v>4</v>
      </c>
      <c r="O3227" s="1">
        <v>4</v>
      </c>
      <c r="Q3227" s="1">
        <v>8.1999999999999993</v>
      </c>
      <c r="R3227" s="1">
        <v>11</v>
      </c>
      <c r="S3227" s="1">
        <v>91</v>
      </c>
    </row>
    <row r="3228" spans="1:92" x14ac:dyDescent="0.3">
      <c r="A3228" s="1">
        <v>54118</v>
      </c>
      <c r="B3228" s="1" t="s">
        <v>237</v>
      </c>
      <c r="C3228" s="1" t="s">
        <v>209</v>
      </c>
      <c r="D3228" s="2">
        <f t="shared" si="175"/>
        <v>2016</v>
      </c>
      <c r="E3228" s="2">
        <f t="shared" si="176"/>
        <v>10</v>
      </c>
      <c r="F3228" s="3" t="s">
        <v>180</v>
      </c>
      <c r="G3228" s="4">
        <v>42656</v>
      </c>
      <c r="H3228" s="1">
        <v>6600935</v>
      </c>
      <c r="I3228" s="1">
        <v>1626764</v>
      </c>
      <c r="J3228" s="1" t="s">
        <v>191</v>
      </c>
      <c r="K3228" s="1" t="s">
        <v>210</v>
      </c>
      <c r="L3228" s="1" t="str">
        <f t="shared" si="177"/>
        <v>Vallentunasjön Va2</v>
      </c>
      <c r="M3228" s="1" t="s">
        <v>184</v>
      </c>
    </row>
    <row r="3229" spans="1:92" x14ac:dyDescent="0.3">
      <c r="A3229" s="1">
        <v>54119</v>
      </c>
      <c r="B3229" s="1" t="s">
        <v>237</v>
      </c>
      <c r="C3229" s="1" t="s">
        <v>209</v>
      </c>
      <c r="D3229" s="2">
        <f t="shared" si="175"/>
        <v>2016</v>
      </c>
      <c r="E3229" s="2">
        <f t="shared" si="176"/>
        <v>10</v>
      </c>
      <c r="F3229" s="3" t="s">
        <v>180</v>
      </c>
      <c r="G3229" s="4">
        <v>42656</v>
      </c>
      <c r="J3229" s="1" t="s">
        <v>191</v>
      </c>
      <c r="K3229" s="1" t="s">
        <v>206</v>
      </c>
      <c r="L3229" s="1" t="str">
        <f t="shared" si="177"/>
        <v>Vallentunasjön Blandprov</v>
      </c>
      <c r="M3229" s="1" t="s">
        <v>177</v>
      </c>
      <c r="N3229" s="1">
        <v>4</v>
      </c>
      <c r="O3229" s="1">
        <v>0</v>
      </c>
      <c r="W3229" s="1">
        <v>16.555099999999999</v>
      </c>
      <c r="Z3229" s="1">
        <v>0.9</v>
      </c>
      <c r="AB3229" s="1">
        <v>44.437237353999997</v>
      </c>
      <c r="AD3229" s="1">
        <v>0</v>
      </c>
      <c r="AG3229" s="1">
        <v>15</v>
      </c>
      <c r="AK3229" s="1">
        <v>54.21</v>
      </c>
      <c r="AL3229" s="1">
        <v>1323.17</v>
      </c>
    </row>
    <row r="3230" spans="1:92" x14ac:dyDescent="0.3">
      <c r="D3230" s="2">
        <f t="shared" si="175"/>
        <v>2016</v>
      </c>
      <c r="E3230" s="2">
        <f t="shared" si="176"/>
        <v>10</v>
      </c>
      <c r="F3230" s="3" t="s">
        <v>180</v>
      </c>
      <c r="G3230" s="4">
        <v>42656</v>
      </c>
      <c r="J3230" s="1" t="s">
        <v>181</v>
      </c>
      <c r="K3230" s="1"/>
      <c r="L3230" s="1" t="str">
        <f t="shared" si="177"/>
        <v xml:space="preserve">Fysingen </v>
      </c>
      <c r="M3230" s="1" t="s">
        <v>177</v>
      </c>
      <c r="N3230" s="1">
        <v>0.5</v>
      </c>
      <c r="O3230" s="1">
        <v>0.5</v>
      </c>
      <c r="P3230" s="1">
        <v>3.3</v>
      </c>
      <c r="Q3230" s="1">
        <v>7.5</v>
      </c>
      <c r="R3230" s="1">
        <v>10.82</v>
      </c>
      <c r="V3230" s="1">
        <v>2.5499999999999998</v>
      </c>
      <c r="W3230" s="1">
        <v>32</v>
      </c>
      <c r="X3230" s="1">
        <f>W3230 * (1/((10^((0.0901821 + (2729.92 /(273.15 + Q3230)))-AE3230)+1)))</f>
        <v>0.48003204170411645</v>
      </c>
      <c r="Y3230" s="1">
        <v>3.1E-2</v>
      </c>
      <c r="Z3230" s="1">
        <v>2</v>
      </c>
      <c r="AA3230" s="1">
        <v>1.4</v>
      </c>
      <c r="AB3230" s="1">
        <v>3.5</v>
      </c>
      <c r="AC3230" s="1">
        <v>53.6</v>
      </c>
      <c r="AD3230" s="1">
        <v>17</v>
      </c>
      <c r="AE3230" s="1">
        <v>8</v>
      </c>
      <c r="AI3230" s="1">
        <v>9.3000000000000007</v>
      </c>
      <c r="AK3230" s="1">
        <v>28</v>
      </c>
      <c r="AL3230" s="1">
        <v>621</v>
      </c>
      <c r="AR3230" s="1">
        <v>56</v>
      </c>
      <c r="AS3230" s="1">
        <v>4.8000000000000001E-2</v>
      </c>
      <c r="AT3230" s="1">
        <v>6.2560000000000002</v>
      </c>
      <c r="AU3230" s="1">
        <v>11.978999999999999</v>
      </c>
      <c r="AV3230" s="1">
        <v>46.085000000000008</v>
      </c>
      <c r="AW3230" s="1">
        <v>29.822000000000003</v>
      </c>
      <c r="AX3230" s="1">
        <v>72.074999999999989</v>
      </c>
      <c r="AY3230" s="1">
        <v>0.71</v>
      </c>
      <c r="AZ3230" s="1">
        <v>68</v>
      </c>
      <c r="BA3230" s="1">
        <v>0.67</v>
      </c>
      <c r="BC3230" s="1">
        <v>3.0000000000000001E-3</v>
      </c>
      <c r="BD3230" s="1">
        <v>0.43</v>
      </c>
      <c r="BE3230" s="1">
        <v>0.11</v>
      </c>
      <c r="BF3230" s="1">
        <v>0.92</v>
      </c>
      <c r="BJ3230" s="1">
        <v>5.5</v>
      </c>
      <c r="BL3230" s="1">
        <v>0.06</v>
      </c>
      <c r="BN3230" s="1">
        <v>0.45</v>
      </c>
      <c r="BO3230" s="1">
        <v>0.8</v>
      </c>
      <c r="BP3230" s="1">
        <v>18</v>
      </c>
    </row>
    <row r="3231" spans="1:92" x14ac:dyDescent="0.3">
      <c r="D3231" s="2">
        <f t="shared" si="175"/>
        <v>2016</v>
      </c>
      <c r="E3231" s="2">
        <f t="shared" si="176"/>
        <v>10</v>
      </c>
      <c r="F3231" s="3" t="s">
        <v>180</v>
      </c>
      <c r="G3231" s="4">
        <v>42661</v>
      </c>
      <c r="H3231" s="1">
        <v>6606238</v>
      </c>
      <c r="I3231" s="1">
        <v>661152</v>
      </c>
      <c r="J3231" s="5" t="s">
        <v>176</v>
      </c>
      <c r="K3231" s="1"/>
      <c r="L3231" s="1" t="str">
        <f t="shared" si="177"/>
        <v xml:space="preserve">Oxundaån </v>
      </c>
      <c r="M3231" s="1" t="s">
        <v>177</v>
      </c>
      <c r="N3231" s="1">
        <v>0.5</v>
      </c>
      <c r="O3231" s="1">
        <v>0.5</v>
      </c>
      <c r="Q3231" s="1">
        <v>7.2</v>
      </c>
      <c r="T3231" s="1">
        <v>48</v>
      </c>
      <c r="V3231" s="1">
        <v>2.68</v>
      </c>
      <c r="W3231" s="1">
        <v>90</v>
      </c>
      <c r="X3231" s="1">
        <f>W3231 * (1/((10^((0.0901821 + (2729.92 /(273.15 + Q3231)))-AE3231)+1)))</f>
        <v>0.71295805067223661</v>
      </c>
      <c r="Y3231" s="1">
        <v>3.4000000000000002E-2</v>
      </c>
      <c r="Z3231" s="1">
        <v>66</v>
      </c>
      <c r="AA3231" s="1">
        <v>1.4</v>
      </c>
      <c r="AD3231" s="1">
        <v>47</v>
      </c>
      <c r="AE3231" s="1">
        <v>7.73</v>
      </c>
      <c r="AI3231" s="1">
        <v>10.199999999999999</v>
      </c>
      <c r="AK3231" s="1">
        <v>82</v>
      </c>
      <c r="AL3231" s="1">
        <v>752</v>
      </c>
      <c r="AR3231" s="1">
        <v>52</v>
      </c>
      <c r="AT3231" s="1">
        <v>5.4740000000000011</v>
      </c>
      <c r="AU3231" s="1">
        <v>8.9539999999999988</v>
      </c>
      <c r="AV3231" s="1">
        <v>38.995000000000005</v>
      </c>
      <c r="AW3231" s="1">
        <v>27.528000000000002</v>
      </c>
      <c r="AX3231" s="1">
        <v>47.088999999999999</v>
      </c>
      <c r="AY3231" s="1">
        <v>0.48</v>
      </c>
    </row>
    <row r="3232" spans="1:92" x14ac:dyDescent="0.3">
      <c r="A3232" s="1">
        <v>54783</v>
      </c>
      <c r="B3232" s="1" t="s">
        <v>237</v>
      </c>
      <c r="C3232" s="1" t="s">
        <v>209</v>
      </c>
      <c r="D3232" s="2">
        <f t="shared" si="175"/>
        <v>2016</v>
      </c>
      <c r="E3232" s="2">
        <f t="shared" si="176"/>
        <v>10</v>
      </c>
      <c r="F3232" s="3" t="s">
        <v>180</v>
      </c>
      <c r="G3232" s="4">
        <v>42668</v>
      </c>
      <c r="H3232" s="1">
        <v>6600935</v>
      </c>
      <c r="I3232" s="1">
        <v>1626764</v>
      </c>
      <c r="J3232" s="1" t="s">
        <v>191</v>
      </c>
      <c r="K3232" s="1" t="s">
        <v>210</v>
      </c>
      <c r="L3232" s="1" t="str">
        <f t="shared" si="177"/>
        <v>Vallentunasjön Va2</v>
      </c>
      <c r="M3232" s="1" t="s">
        <v>177</v>
      </c>
      <c r="N3232" s="1">
        <v>0.5</v>
      </c>
      <c r="O3232" s="1">
        <v>0.5</v>
      </c>
      <c r="P3232" s="1">
        <v>1.1000000000000001</v>
      </c>
      <c r="Q3232" s="1">
        <v>6.4</v>
      </c>
      <c r="R3232" s="1">
        <v>11.2</v>
      </c>
      <c r="S3232" s="1">
        <v>90</v>
      </c>
    </row>
    <row r="3233" spans="1:43" x14ac:dyDescent="0.3">
      <c r="A3233" s="1">
        <v>54784</v>
      </c>
      <c r="B3233" s="1" t="s">
        <v>237</v>
      </c>
      <c r="C3233" s="1" t="s">
        <v>209</v>
      </c>
      <c r="D3233" s="2">
        <f t="shared" si="175"/>
        <v>2016</v>
      </c>
      <c r="E3233" s="2">
        <f t="shared" si="176"/>
        <v>10</v>
      </c>
      <c r="F3233" s="3" t="s">
        <v>180</v>
      </c>
      <c r="G3233" s="4">
        <v>42668</v>
      </c>
      <c r="H3233" s="1">
        <v>6600935</v>
      </c>
      <c r="I3233" s="1">
        <v>1626764</v>
      </c>
      <c r="J3233" s="1" t="s">
        <v>191</v>
      </c>
      <c r="K3233" s="1" t="s">
        <v>210</v>
      </c>
      <c r="L3233" s="1" t="str">
        <f t="shared" si="177"/>
        <v>Vallentunasjön Va2</v>
      </c>
      <c r="M3233" s="1" t="s">
        <v>211</v>
      </c>
      <c r="N3233" s="1">
        <v>1</v>
      </c>
      <c r="O3233" s="1">
        <v>1</v>
      </c>
      <c r="Q3233" s="1">
        <v>6.3</v>
      </c>
      <c r="R3233" s="1">
        <v>11.2</v>
      </c>
      <c r="S3233" s="1">
        <v>90</v>
      </c>
    </row>
    <row r="3234" spans="1:43" x14ac:dyDescent="0.3">
      <c r="A3234" s="1">
        <v>54785</v>
      </c>
      <c r="B3234" s="1" t="s">
        <v>237</v>
      </c>
      <c r="C3234" s="1" t="s">
        <v>209</v>
      </c>
      <c r="D3234" s="2">
        <f t="shared" si="175"/>
        <v>2016</v>
      </c>
      <c r="E3234" s="2">
        <f t="shared" si="176"/>
        <v>10</v>
      </c>
      <c r="F3234" s="3" t="s">
        <v>180</v>
      </c>
      <c r="G3234" s="4">
        <v>42668</v>
      </c>
      <c r="H3234" s="1">
        <v>6600935</v>
      </c>
      <c r="I3234" s="1">
        <v>1626764</v>
      </c>
      <c r="J3234" s="1" t="s">
        <v>191</v>
      </c>
      <c r="K3234" s="1" t="s">
        <v>210</v>
      </c>
      <c r="L3234" s="1" t="str">
        <f t="shared" si="177"/>
        <v>Vallentunasjön Va2</v>
      </c>
      <c r="M3234" s="1" t="s">
        <v>212</v>
      </c>
      <c r="N3234" s="1">
        <v>2</v>
      </c>
      <c r="O3234" s="1">
        <v>2</v>
      </c>
      <c r="Q3234" s="1">
        <v>6.3</v>
      </c>
      <c r="R3234" s="1">
        <v>11.2</v>
      </c>
      <c r="S3234" s="1">
        <v>90</v>
      </c>
    </row>
    <row r="3235" spans="1:43" x14ac:dyDescent="0.3">
      <c r="A3235" s="1">
        <v>54786</v>
      </c>
      <c r="B3235" s="1" t="s">
        <v>237</v>
      </c>
      <c r="C3235" s="1" t="s">
        <v>209</v>
      </c>
      <c r="D3235" s="2">
        <f t="shared" si="175"/>
        <v>2016</v>
      </c>
      <c r="E3235" s="2">
        <f t="shared" si="176"/>
        <v>10</v>
      </c>
      <c r="F3235" s="3" t="s">
        <v>180</v>
      </c>
      <c r="G3235" s="4">
        <v>42668</v>
      </c>
      <c r="H3235" s="1">
        <v>6600935</v>
      </c>
      <c r="I3235" s="1">
        <v>1626764</v>
      </c>
      <c r="J3235" s="1" t="s">
        <v>191</v>
      </c>
      <c r="K3235" s="1" t="s">
        <v>210</v>
      </c>
      <c r="L3235" s="1" t="str">
        <f t="shared" si="177"/>
        <v>Vallentunasjön Va2</v>
      </c>
      <c r="M3235" s="1" t="s">
        <v>213</v>
      </c>
      <c r="N3235" s="1">
        <v>3</v>
      </c>
      <c r="O3235" s="1">
        <v>3</v>
      </c>
      <c r="Q3235" s="1">
        <v>6.3</v>
      </c>
      <c r="R3235" s="1">
        <v>11.2</v>
      </c>
      <c r="S3235" s="1">
        <v>90</v>
      </c>
    </row>
    <row r="3236" spans="1:43" x14ac:dyDescent="0.3">
      <c r="A3236" s="1">
        <v>54787</v>
      </c>
      <c r="B3236" s="1" t="s">
        <v>237</v>
      </c>
      <c r="C3236" s="1" t="s">
        <v>209</v>
      </c>
      <c r="D3236" s="2">
        <f t="shared" si="175"/>
        <v>2016</v>
      </c>
      <c r="E3236" s="2">
        <f t="shared" si="176"/>
        <v>10</v>
      </c>
      <c r="F3236" s="3" t="s">
        <v>180</v>
      </c>
      <c r="G3236" s="4">
        <v>42668</v>
      </c>
      <c r="H3236" s="1">
        <v>6600935</v>
      </c>
      <c r="I3236" s="1">
        <v>1626764</v>
      </c>
      <c r="J3236" s="1" t="s">
        <v>191</v>
      </c>
      <c r="K3236" s="1" t="s">
        <v>210</v>
      </c>
      <c r="L3236" s="1" t="str">
        <f t="shared" si="177"/>
        <v>Vallentunasjön Va2</v>
      </c>
      <c r="M3236" s="1" t="s">
        <v>214</v>
      </c>
      <c r="N3236" s="1">
        <v>4</v>
      </c>
      <c r="O3236" s="1">
        <v>4</v>
      </c>
      <c r="Q3236" s="1">
        <v>6.3</v>
      </c>
      <c r="R3236" s="1">
        <v>11.2</v>
      </c>
      <c r="S3236" s="1">
        <v>90</v>
      </c>
    </row>
    <row r="3237" spans="1:43" x14ac:dyDescent="0.3">
      <c r="A3237" s="1">
        <v>54788</v>
      </c>
      <c r="B3237" s="1" t="s">
        <v>237</v>
      </c>
      <c r="C3237" s="1" t="s">
        <v>209</v>
      </c>
      <c r="D3237" s="2">
        <f t="shared" si="175"/>
        <v>2016</v>
      </c>
      <c r="E3237" s="2">
        <f t="shared" si="176"/>
        <v>10</v>
      </c>
      <c r="F3237" s="3" t="s">
        <v>180</v>
      </c>
      <c r="G3237" s="4">
        <v>42668</v>
      </c>
      <c r="H3237" s="1">
        <v>6600935</v>
      </c>
      <c r="I3237" s="1">
        <v>1626764</v>
      </c>
      <c r="J3237" s="1" t="s">
        <v>191</v>
      </c>
      <c r="K3237" s="1" t="s">
        <v>210</v>
      </c>
      <c r="L3237" s="1" t="str">
        <f t="shared" si="177"/>
        <v>Vallentunasjön Va2</v>
      </c>
      <c r="M3237" s="1" t="s">
        <v>184</v>
      </c>
    </row>
    <row r="3238" spans="1:43" x14ac:dyDescent="0.3">
      <c r="A3238" s="1">
        <v>54789</v>
      </c>
      <c r="B3238" s="1" t="s">
        <v>237</v>
      </c>
      <c r="C3238" s="1" t="s">
        <v>209</v>
      </c>
      <c r="D3238" s="2">
        <f t="shared" si="175"/>
        <v>2016</v>
      </c>
      <c r="E3238" s="2">
        <f t="shared" si="176"/>
        <v>10</v>
      </c>
      <c r="F3238" s="3" t="s">
        <v>180</v>
      </c>
      <c r="G3238" s="4">
        <v>42668</v>
      </c>
      <c r="J3238" s="1" t="s">
        <v>191</v>
      </c>
      <c r="K3238" s="1" t="s">
        <v>206</v>
      </c>
      <c r="L3238" s="1" t="str">
        <f t="shared" si="177"/>
        <v>Vallentunasjön Blandprov</v>
      </c>
      <c r="M3238" s="1" t="s">
        <v>177</v>
      </c>
      <c r="N3238" s="1">
        <v>4</v>
      </c>
      <c r="O3238" s="1">
        <v>0</v>
      </c>
      <c r="W3238" s="1">
        <v>43.423099999999998</v>
      </c>
      <c r="Z3238" s="1">
        <v>0</v>
      </c>
      <c r="AB3238" s="1">
        <v>28.853400000000001</v>
      </c>
      <c r="AD3238" s="1">
        <v>4.13</v>
      </c>
      <c r="AG3238" s="1">
        <v>11.5</v>
      </c>
      <c r="AK3238" s="1">
        <v>40.909999999999997</v>
      </c>
      <c r="AL3238" s="1">
        <v>1140.4100000000001</v>
      </c>
    </row>
    <row r="3239" spans="1:43" x14ac:dyDescent="0.3">
      <c r="A3239" s="1">
        <v>55029</v>
      </c>
      <c r="B3239" s="1" t="s">
        <v>237</v>
      </c>
      <c r="C3239" s="1" t="s">
        <v>209</v>
      </c>
      <c r="D3239" s="2">
        <f t="shared" si="175"/>
        <v>2016</v>
      </c>
      <c r="E3239" s="2">
        <f t="shared" si="176"/>
        <v>11</v>
      </c>
      <c r="F3239" s="3" t="s">
        <v>180</v>
      </c>
      <c r="G3239" s="4">
        <v>42697</v>
      </c>
      <c r="H3239" s="1">
        <v>6600935</v>
      </c>
      <c r="I3239" s="1">
        <v>1626764</v>
      </c>
      <c r="J3239" s="1" t="s">
        <v>191</v>
      </c>
      <c r="K3239" s="1" t="s">
        <v>210</v>
      </c>
      <c r="L3239" s="1" t="str">
        <f t="shared" si="177"/>
        <v>Vallentunasjön Va2</v>
      </c>
      <c r="M3239" s="1" t="s">
        <v>177</v>
      </c>
      <c r="N3239" s="1">
        <v>0.5</v>
      </c>
      <c r="O3239" s="1">
        <v>0.5</v>
      </c>
      <c r="P3239" s="1">
        <v>1.3</v>
      </c>
      <c r="Q3239" s="1">
        <v>2.5</v>
      </c>
      <c r="R3239" s="1">
        <v>11.5</v>
      </c>
      <c r="S3239" s="1">
        <v>84</v>
      </c>
    </row>
    <row r="3240" spans="1:43" x14ac:dyDescent="0.3">
      <c r="A3240" s="1">
        <v>55030</v>
      </c>
      <c r="B3240" s="1" t="s">
        <v>237</v>
      </c>
      <c r="C3240" s="1" t="s">
        <v>209</v>
      </c>
      <c r="D3240" s="2">
        <f t="shared" si="175"/>
        <v>2016</v>
      </c>
      <c r="E3240" s="2">
        <f t="shared" si="176"/>
        <v>11</v>
      </c>
      <c r="F3240" s="3" t="s">
        <v>180</v>
      </c>
      <c r="G3240" s="4">
        <v>42697</v>
      </c>
      <c r="H3240" s="1">
        <v>6600935</v>
      </c>
      <c r="I3240" s="1">
        <v>1626764</v>
      </c>
      <c r="J3240" s="1" t="s">
        <v>191</v>
      </c>
      <c r="K3240" s="1" t="s">
        <v>210</v>
      </c>
      <c r="L3240" s="1" t="str">
        <f t="shared" si="177"/>
        <v>Vallentunasjön Va2</v>
      </c>
      <c r="M3240" s="1" t="s">
        <v>211</v>
      </c>
      <c r="N3240" s="1">
        <v>1</v>
      </c>
      <c r="O3240" s="1">
        <v>1</v>
      </c>
      <c r="Q3240" s="1">
        <v>2.4</v>
      </c>
      <c r="R3240" s="1">
        <v>11.3</v>
      </c>
      <c r="S3240" s="1">
        <v>82</v>
      </c>
    </row>
    <row r="3241" spans="1:43" x14ac:dyDescent="0.3">
      <c r="A3241" s="1">
        <v>55031</v>
      </c>
      <c r="B3241" s="1" t="s">
        <v>237</v>
      </c>
      <c r="C3241" s="1" t="s">
        <v>209</v>
      </c>
      <c r="D3241" s="2">
        <f t="shared" si="175"/>
        <v>2016</v>
      </c>
      <c r="E3241" s="2">
        <f t="shared" si="176"/>
        <v>11</v>
      </c>
      <c r="F3241" s="3" t="s">
        <v>180</v>
      </c>
      <c r="G3241" s="4">
        <v>42697</v>
      </c>
      <c r="H3241" s="1">
        <v>6600935</v>
      </c>
      <c r="I3241" s="1">
        <v>1626764</v>
      </c>
      <c r="J3241" s="1" t="s">
        <v>191</v>
      </c>
      <c r="K3241" s="1" t="s">
        <v>210</v>
      </c>
      <c r="L3241" s="1" t="str">
        <f t="shared" si="177"/>
        <v>Vallentunasjön Va2</v>
      </c>
      <c r="M3241" s="1" t="s">
        <v>212</v>
      </c>
      <c r="N3241" s="1">
        <v>2</v>
      </c>
      <c r="O3241" s="1">
        <v>2</v>
      </c>
      <c r="Q3241" s="1">
        <v>2.4</v>
      </c>
      <c r="R3241" s="1">
        <v>9.5</v>
      </c>
      <c r="S3241" s="1">
        <v>69</v>
      </c>
    </row>
    <row r="3242" spans="1:43" x14ac:dyDescent="0.3">
      <c r="A3242" s="1">
        <v>55032</v>
      </c>
      <c r="B3242" s="1" t="s">
        <v>237</v>
      </c>
      <c r="C3242" s="1" t="s">
        <v>209</v>
      </c>
      <c r="D3242" s="2">
        <f t="shared" si="175"/>
        <v>2016</v>
      </c>
      <c r="E3242" s="2">
        <f t="shared" si="176"/>
        <v>11</v>
      </c>
      <c r="F3242" s="3" t="s">
        <v>180</v>
      </c>
      <c r="G3242" s="4">
        <v>42697</v>
      </c>
      <c r="H3242" s="1">
        <v>6600935</v>
      </c>
      <c r="I3242" s="1">
        <v>1626764</v>
      </c>
      <c r="J3242" s="1" t="s">
        <v>191</v>
      </c>
      <c r="K3242" s="1" t="s">
        <v>210</v>
      </c>
      <c r="L3242" s="1" t="str">
        <f t="shared" si="177"/>
        <v>Vallentunasjön Va2</v>
      </c>
      <c r="M3242" s="1" t="s">
        <v>213</v>
      </c>
      <c r="N3242" s="1">
        <v>3</v>
      </c>
      <c r="O3242" s="1">
        <v>3</v>
      </c>
      <c r="Q3242" s="1">
        <v>2.2999999999999998</v>
      </c>
      <c r="R3242" s="1">
        <v>8.8000000000000007</v>
      </c>
      <c r="S3242" s="1">
        <v>64</v>
      </c>
    </row>
    <row r="3243" spans="1:43" x14ac:dyDescent="0.3">
      <c r="A3243" s="1">
        <v>55033</v>
      </c>
      <c r="B3243" s="1" t="s">
        <v>237</v>
      </c>
      <c r="C3243" s="1" t="s">
        <v>209</v>
      </c>
      <c r="D3243" s="2">
        <f t="shared" si="175"/>
        <v>2016</v>
      </c>
      <c r="E3243" s="2">
        <f t="shared" si="176"/>
        <v>11</v>
      </c>
      <c r="F3243" s="3" t="s">
        <v>180</v>
      </c>
      <c r="G3243" s="4">
        <v>42697</v>
      </c>
      <c r="H3243" s="1">
        <v>6600935</v>
      </c>
      <c r="I3243" s="1">
        <v>1626764</v>
      </c>
      <c r="J3243" s="1" t="s">
        <v>191</v>
      </c>
      <c r="K3243" s="1" t="s">
        <v>210</v>
      </c>
      <c r="L3243" s="1" t="str">
        <f t="shared" si="177"/>
        <v>Vallentunasjön Va2</v>
      </c>
      <c r="M3243" s="1" t="s">
        <v>214</v>
      </c>
      <c r="N3243" s="1">
        <v>4</v>
      </c>
      <c r="O3243" s="1">
        <v>4</v>
      </c>
      <c r="Q3243" s="1">
        <v>2.2999999999999998</v>
      </c>
      <c r="R3243" s="1">
        <v>8.6999999999999993</v>
      </c>
      <c r="S3243" s="1">
        <v>63</v>
      </c>
    </row>
    <row r="3244" spans="1:43" x14ac:dyDescent="0.3">
      <c r="A3244" s="1">
        <v>55034</v>
      </c>
      <c r="B3244" s="1" t="s">
        <v>237</v>
      </c>
      <c r="C3244" s="1" t="s">
        <v>209</v>
      </c>
      <c r="D3244" s="2">
        <f t="shared" si="175"/>
        <v>2016</v>
      </c>
      <c r="E3244" s="2">
        <f t="shared" si="176"/>
        <v>11</v>
      </c>
      <c r="F3244" s="3" t="s">
        <v>180</v>
      </c>
      <c r="G3244" s="4">
        <v>42697</v>
      </c>
      <c r="H3244" s="1">
        <v>6600935</v>
      </c>
      <c r="I3244" s="1">
        <v>1626764</v>
      </c>
      <c r="J3244" s="1" t="s">
        <v>191</v>
      </c>
      <c r="K3244" s="1" t="s">
        <v>210</v>
      </c>
      <c r="L3244" s="1" t="str">
        <f t="shared" si="177"/>
        <v>Vallentunasjön Va2</v>
      </c>
      <c r="M3244" s="1" t="s">
        <v>184</v>
      </c>
      <c r="Q3244" s="1">
        <v>2.2999999999999998</v>
      </c>
      <c r="R3244" s="1">
        <v>8.6</v>
      </c>
      <c r="S3244" s="1">
        <v>62</v>
      </c>
    </row>
    <row r="3245" spans="1:43" x14ac:dyDescent="0.3">
      <c r="A3245" s="1">
        <v>55035</v>
      </c>
      <c r="B3245" s="1" t="s">
        <v>237</v>
      </c>
      <c r="C3245" s="1" t="s">
        <v>209</v>
      </c>
      <c r="D3245" s="2">
        <f t="shared" si="175"/>
        <v>2016</v>
      </c>
      <c r="E3245" s="2">
        <f t="shared" si="176"/>
        <v>11</v>
      </c>
      <c r="F3245" s="3" t="s">
        <v>180</v>
      </c>
      <c r="G3245" s="4">
        <v>42697</v>
      </c>
      <c r="J3245" s="1" t="s">
        <v>191</v>
      </c>
      <c r="K3245" s="1" t="s">
        <v>206</v>
      </c>
      <c r="L3245" s="1" t="str">
        <f t="shared" si="177"/>
        <v>Vallentunasjön Blandprov</v>
      </c>
      <c r="M3245" s="1" t="s">
        <v>177</v>
      </c>
      <c r="N3245" s="1">
        <v>4</v>
      </c>
      <c r="O3245" s="1">
        <v>0</v>
      </c>
      <c r="W3245" s="1">
        <v>134.4709</v>
      </c>
      <c r="Z3245" s="1">
        <v>2.2800000000000002</v>
      </c>
      <c r="AB3245" s="1">
        <v>31.9023</v>
      </c>
      <c r="AD3245" s="1">
        <v>117.85</v>
      </c>
      <c r="AG3245" s="1">
        <v>9.4285714285999997</v>
      </c>
      <c r="AK3245" s="1">
        <v>31.66</v>
      </c>
      <c r="AL3245" s="1">
        <v>1218.67</v>
      </c>
    </row>
    <row r="3246" spans="1:43" x14ac:dyDescent="0.3">
      <c r="A3246" s="6">
        <v>55088</v>
      </c>
      <c r="B3246" s="5" t="s">
        <v>239</v>
      </c>
      <c r="C3246" s="5" t="s">
        <v>236</v>
      </c>
      <c r="D3246" s="2">
        <f t="shared" si="175"/>
        <v>2016</v>
      </c>
      <c r="E3246" s="2">
        <f t="shared" si="176"/>
        <v>12</v>
      </c>
      <c r="F3246" s="3" t="s">
        <v>175</v>
      </c>
      <c r="G3246" s="7">
        <v>42709</v>
      </c>
      <c r="J3246" s="5" t="s">
        <v>192</v>
      </c>
      <c r="K3246" s="5" t="s">
        <v>248</v>
      </c>
      <c r="M3246" s="1" t="s">
        <v>177</v>
      </c>
      <c r="N3246" s="6">
        <v>0.5</v>
      </c>
      <c r="O3246" s="6">
        <v>0.5</v>
      </c>
      <c r="P3246" s="6">
        <v>2</v>
      </c>
      <c r="Q3246" s="6">
        <v>0.2</v>
      </c>
      <c r="R3246" s="6">
        <v>12.4</v>
      </c>
      <c r="S3246" s="6">
        <v>85</v>
      </c>
      <c r="W3246" s="6">
        <v>2.2881999999999998</v>
      </c>
      <c r="X3246" s="1">
        <f>W3246 * (1/((10^((0.0901821 + (2729.92 /(273.15 + Q3246)))-AE3246)+1)))</f>
        <v>1.4443042968205569E-2</v>
      </c>
      <c r="Z3246" s="6">
        <v>1.43</v>
      </c>
      <c r="AD3246" s="6">
        <v>36.72</v>
      </c>
      <c r="AE3246" s="6">
        <v>7.88</v>
      </c>
      <c r="AK3246" s="6">
        <v>24.26</v>
      </c>
      <c r="AL3246" s="6">
        <v>775.97</v>
      </c>
      <c r="AM3246" s="6"/>
      <c r="AN3246" s="6"/>
      <c r="AO3246" s="6"/>
      <c r="AP3246" s="6"/>
      <c r="AQ3246" s="6"/>
    </row>
    <row r="3247" spans="1:43" x14ac:dyDescent="0.3">
      <c r="A3247" s="6">
        <v>55089</v>
      </c>
      <c r="B3247" s="5" t="s">
        <v>239</v>
      </c>
      <c r="C3247" s="5" t="s">
        <v>236</v>
      </c>
      <c r="D3247" s="2">
        <f t="shared" si="175"/>
        <v>2016</v>
      </c>
      <c r="E3247" s="2">
        <f t="shared" si="176"/>
        <v>12</v>
      </c>
      <c r="F3247" s="3" t="s">
        <v>175</v>
      </c>
      <c r="G3247" s="7">
        <v>42709</v>
      </c>
      <c r="J3247" s="5" t="s">
        <v>192</v>
      </c>
      <c r="K3247" s="5" t="s">
        <v>248</v>
      </c>
      <c r="M3247" s="5" t="s">
        <v>211</v>
      </c>
      <c r="N3247" s="6">
        <v>1</v>
      </c>
      <c r="O3247" s="6">
        <v>1</v>
      </c>
      <c r="Q3247" s="6">
        <v>0.2</v>
      </c>
      <c r="R3247" s="6">
        <v>12.3</v>
      </c>
      <c r="S3247" s="6">
        <v>85</v>
      </c>
    </row>
    <row r="3248" spans="1:43" x14ac:dyDescent="0.3">
      <c r="A3248" s="6">
        <v>55090</v>
      </c>
      <c r="B3248" s="5" t="s">
        <v>239</v>
      </c>
      <c r="C3248" s="5" t="s">
        <v>236</v>
      </c>
      <c r="D3248" s="2">
        <f t="shared" si="175"/>
        <v>2016</v>
      </c>
      <c r="E3248" s="2">
        <f t="shared" si="176"/>
        <v>12</v>
      </c>
      <c r="F3248" s="3" t="s">
        <v>175</v>
      </c>
      <c r="G3248" s="7">
        <v>42709</v>
      </c>
      <c r="J3248" s="5" t="s">
        <v>192</v>
      </c>
      <c r="K3248" s="5" t="s">
        <v>248</v>
      </c>
      <c r="M3248" s="1" t="s">
        <v>184</v>
      </c>
      <c r="N3248" s="6">
        <v>2</v>
      </c>
      <c r="O3248" s="6">
        <v>2</v>
      </c>
      <c r="Q3248" s="6">
        <v>0.8</v>
      </c>
      <c r="R3248" s="6">
        <v>10.4</v>
      </c>
      <c r="S3248" s="6">
        <v>73</v>
      </c>
    </row>
    <row r="3249" spans="1:43" x14ac:dyDescent="0.3">
      <c r="A3249" s="6">
        <v>55091</v>
      </c>
      <c r="B3249" s="5" t="s">
        <v>239</v>
      </c>
      <c r="C3249" s="5" t="s">
        <v>236</v>
      </c>
      <c r="D3249" s="2">
        <f t="shared" si="175"/>
        <v>2016</v>
      </c>
      <c r="E3249" s="2">
        <f t="shared" si="176"/>
        <v>12</v>
      </c>
      <c r="F3249" s="3" t="s">
        <v>175</v>
      </c>
      <c r="G3249" s="7">
        <v>42709</v>
      </c>
      <c r="J3249" s="5" t="s">
        <v>192</v>
      </c>
      <c r="K3249" s="5" t="s">
        <v>248</v>
      </c>
      <c r="M3249" s="1" t="s">
        <v>184</v>
      </c>
    </row>
    <row r="3250" spans="1:43" x14ac:dyDescent="0.3">
      <c r="A3250" s="6">
        <v>55092</v>
      </c>
      <c r="B3250" s="5" t="s">
        <v>239</v>
      </c>
      <c r="C3250" s="5" t="s">
        <v>236</v>
      </c>
      <c r="D3250" s="2">
        <f t="shared" si="175"/>
        <v>2016</v>
      </c>
      <c r="E3250" s="2">
        <f t="shared" si="176"/>
        <v>12</v>
      </c>
      <c r="F3250" s="3" t="s">
        <v>175</v>
      </c>
      <c r="G3250" s="7">
        <v>42709</v>
      </c>
      <c r="J3250" s="5" t="s">
        <v>192</v>
      </c>
      <c r="K3250" s="5" t="s">
        <v>249</v>
      </c>
      <c r="M3250" s="1" t="s">
        <v>177</v>
      </c>
      <c r="N3250" s="6">
        <v>0.5</v>
      </c>
      <c r="O3250" s="6">
        <v>0.5</v>
      </c>
      <c r="P3250" s="6">
        <v>2</v>
      </c>
      <c r="Q3250" s="6">
        <v>0.3</v>
      </c>
      <c r="R3250" s="6">
        <v>12.1</v>
      </c>
      <c r="S3250" s="6">
        <v>83</v>
      </c>
      <c r="W3250" s="6">
        <v>1.585</v>
      </c>
      <c r="X3250" s="1">
        <f>W3250 * (1/((10^((0.0901821 + (2729.92 /(273.15 + Q3250)))-AE3250)+1)))</f>
        <v>7.6646246594531649E-3</v>
      </c>
      <c r="Z3250" s="6">
        <v>2.14</v>
      </c>
      <c r="AD3250" s="6">
        <v>38.22</v>
      </c>
      <c r="AE3250" s="6">
        <v>7.76</v>
      </c>
      <c r="AK3250" s="6">
        <v>20.52</v>
      </c>
      <c r="AL3250" s="6">
        <v>711.56</v>
      </c>
      <c r="AM3250" s="6"/>
      <c r="AN3250" s="6"/>
      <c r="AO3250" s="6"/>
      <c r="AP3250" s="6"/>
      <c r="AQ3250" s="6"/>
    </row>
    <row r="3251" spans="1:43" x14ac:dyDescent="0.3">
      <c r="A3251" s="6">
        <v>55093</v>
      </c>
      <c r="B3251" s="5" t="s">
        <v>239</v>
      </c>
      <c r="C3251" s="5" t="s">
        <v>236</v>
      </c>
      <c r="D3251" s="2">
        <f t="shared" si="175"/>
        <v>2016</v>
      </c>
      <c r="E3251" s="2">
        <f t="shared" si="176"/>
        <v>12</v>
      </c>
      <c r="F3251" s="3" t="s">
        <v>175</v>
      </c>
      <c r="G3251" s="7">
        <v>42709</v>
      </c>
      <c r="J3251" s="5" t="s">
        <v>192</v>
      </c>
      <c r="K3251" s="5" t="s">
        <v>249</v>
      </c>
      <c r="M3251" s="5" t="s">
        <v>211</v>
      </c>
      <c r="N3251" s="6">
        <v>1</v>
      </c>
      <c r="O3251" s="6">
        <v>1</v>
      </c>
      <c r="Q3251" s="6">
        <v>0.3</v>
      </c>
      <c r="R3251" s="6">
        <v>11.9</v>
      </c>
      <c r="S3251" s="6">
        <v>82</v>
      </c>
    </row>
    <row r="3252" spans="1:43" x14ac:dyDescent="0.3">
      <c r="A3252" s="6">
        <v>55094</v>
      </c>
      <c r="B3252" s="5" t="s">
        <v>239</v>
      </c>
      <c r="C3252" s="5" t="s">
        <v>236</v>
      </c>
      <c r="D3252" s="2">
        <f t="shared" si="175"/>
        <v>2016</v>
      </c>
      <c r="E3252" s="2">
        <f t="shared" si="176"/>
        <v>12</v>
      </c>
      <c r="F3252" s="3" t="s">
        <v>175</v>
      </c>
      <c r="G3252" s="7">
        <v>42709</v>
      </c>
      <c r="J3252" s="5" t="s">
        <v>192</v>
      </c>
      <c r="K3252" s="5" t="s">
        <v>249</v>
      </c>
      <c r="M3252" s="1" t="s">
        <v>184</v>
      </c>
      <c r="N3252" s="6">
        <v>2</v>
      </c>
      <c r="O3252" s="6">
        <v>2</v>
      </c>
      <c r="Q3252" s="6">
        <v>1.2</v>
      </c>
      <c r="R3252" s="6">
        <v>9.6999999999999993</v>
      </c>
      <c r="S3252" s="6">
        <v>69</v>
      </c>
    </row>
    <row r="3253" spans="1:43" x14ac:dyDescent="0.3">
      <c r="A3253" s="6">
        <v>55095</v>
      </c>
      <c r="B3253" s="5" t="s">
        <v>239</v>
      </c>
      <c r="C3253" s="5" t="s">
        <v>236</v>
      </c>
      <c r="D3253" s="2">
        <f t="shared" si="175"/>
        <v>2016</v>
      </c>
      <c r="E3253" s="2">
        <f t="shared" si="176"/>
        <v>12</v>
      </c>
      <c r="F3253" s="3" t="s">
        <v>175</v>
      </c>
      <c r="G3253" s="7">
        <v>42709</v>
      </c>
      <c r="J3253" s="5" t="s">
        <v>192</v>
      </c>
      <c r="K3253" s="5" t="s">
        <v>249</v>
      </c>
      <c r="M3253" s="1" t="s">
        <v>184</v>
      </c>
    </row>
    <row r="3254" spans="1:43" x14ac:dyDescent="0.3">
      <c r="A3254" s="6">
        <v>55096</v>
      </c>
      <c r="B3254" s="5" t="s">
        <v>239</v>
      </c>
      <c r="C3254" s="5" t="s">
        <v>236</v>
      </c>
      <c r="D3254" s="2">
        <f t="shared" si="175"/>
        <v>2016</v>
      </c>
      <c r="E3254" s="2">
        <f t="shared" si="176"/>
        <v>12</v>
      </c>
      <c r="F3254" s="3" t="s">
        <v>175</v>
      </c>
      <c r="G3254" s="7">
        <v>42709</v>
      </c>
      <c r="J3254" s="5" t="s">
        <v>192</v>
      </c>
      <c r="K3254" s="5" t="s">
        <v>250</v>
      </c>
      <c r="M3254" s="1" t="s">
        <v>177</v>
      </c>
      <c r="N3254" s="6">
        <v>0.5</v>
      </c>
      <c r="O3254" s="6">
        <v>0.5</v>
      </c>
      <c r="P3254" s="6">
        <v>2.5</v>
      </c>
      <c r="Q3254" s="6">
        <v>0.2</v>
      </c>
      <c r="R3254" s="6">
        <v>11.9</v>
      </c>
      <c r="S3254" s="6">
        <v>82</v>
      </c>
      <c r="W3254" s="6">
        <v>1.413</v>
      </c>
      <c r="X3254" s="1">
        <f>W3254 * (1/((10^((0.0901821 + (2729.92 /(273.15 + Q3254)))-AE3254)+1)))</f>
        <v>6.0422088291002801E-3</v>
      </c>
      <c r="Z3254" s="6">
        <v>1.01</v>
      </c>
      <c r="AD3254" s="6">
        <v>37.18</v>
      </c>
      <c r="AE3254" s="6">
        <v>7.71</v>
      </c>
      <c r="AK3254" s="6">
        <v>20.74</v>
      </c>
      <c r="AL3254" s="6">
        <v>748.98</v>
      </c>
      <c r="AM3254" s="6"/>
      <c r="AN3254" s="6"/>
      <c r="AO3254" s="6"/>
      <c r="AP3254" s="6"/>
      <c r="AQ3254" s="6"/>
    </row>
    <row r="3255" spans="1:43" x14ac:dyDescent="0.3">
      <c r="A3255" s="6">
        <v>55097</v>
      </c>
      <c r="B3255" s="5" t="s">
        <v>239</v>
      </c>
      <c r="C3255" s="5" t="s">
        <v>236</v>
      </c>
      <c r="D3255" s="2">
        <f t="shared" si="175"/>
        <v>2016</v>
      </c>
      <c r="E3255" s="2">
        <f t="shared" si="176"/>
        <v>12</v>
      </c>
      <c r="F3255" s="3" t="s">
        <v>175</v>
      </c>
      <c r="G3255" s="7">
        <v>42709</v>
      </c>
      <c r="J3255" s="5" t="s">
        <v>192</v>
      </c>
      <c r="K3255" s="5" t="s">
        <v>250</v>
      </c>
      <c r="M3255" s="5" t="s">
        <v>211</v>
      </c>
      <c r="N3255" s="6">
        <v>1</v>
      </c>
      <c r="O3255" s="6">
        <v>1</v>
      </c>
      <c r="Q3255" s="6">
        <v>0.3</v>
      </c>
      <c r="R3255" s="6">
        <v>11.5</v>
      </c>
      <c r="S3255" s="6">
        <v>80</v>
      </c>
    </row>
    <row r="3256" spans="1:43" x14ac:dyDescent="0.3">
      <c r="A3256" s="6">
        <v>55098</v>
      </c>
      <c r="B3256" s="5" t="s">
        <v>239</v>
      </c>
      <c r="C3256" s="5" t="s">
        <v>236</v>
      </c>
      <c r="D3256" s="2">
        <f t="shared" si="175"/>
        <v>2016</v>
      </c>
      <c r="E3256" s="2">
        <f t="shared" si="176"/>
        <v>12</v>
      </c>
      <c r="F3256" s="3" t="s">
        <v>175</v>
      </c>
      <c r="G3256" s="7">
        <v>42709</v>
      </c>
      <c r="J3256" s="5" t="s">
        <v>192</v>
      </c>
      <c r="K3256" s="5" t="s">
        <v>250</v>
      </c>
      <c r="M3256" s="5" t="s">
        <v>212</v>
      </c>
      <c r="N3256" s="6">
        <v>2</v>
      </c>
      <c r="O3256" s="6">
        <v>2</v>
      </c>
      <c r="Q3256" s="6">
        <v>2</v>
      </c>
      <c r="R3256" s="6">
        <v>5.3</v>
      </c>
      <c r="S3256" s="6">
        <v>38</v>
      </c>
    </row>
    <row r="3257" spans="1:43" x14ac:dyDescent="0.3">
      <c r="A3257" s="6">
        <v>55099</v>
      </c>
      <c r="B3257" s="5" t="s">
        <v>239</v>
      </c>
      <c r="C3257" s="5" t="s">
        <v>236</v>
      </c>
      <c r="D3257" s="2">
        <f t="shared" si="175"/>
        <v>2016</v>
      </c>
      <c r="E3257" s="2">
        <f t="shared" si="176"/>
        <v>12</v>
      </c>
      <c r="F3257" s="3" t="s">
        <v>175</v>
      </c>
      <c r="G3257" s="7">
        <v>42709</v>
      </c>
      <c r="J3257" s="5" t="s">
        <v>192</v>
      </c>
      <c r="K3257" s="5" t="s">
        <v>250</v>
      </c>
      <c r="M3257" s="1" t="s">
        <v>184</v>
      </c>
      <c r="Q3257" s="6">
        <v>2.2000000000000002</v>
      </c>
      <c r="R3257" s="6">
        <v>4.9000000000000004</v>
      </c>
      <c r="S3257" s="6">
        <v>36</v>
      </c>
    </row>
    <row r="3258" spans="1:43" x14ac:dyDescent="0.3">
      <c r="A3258" s="6">
        <v>55100</v>
      </c>
      <c r="B3258" s="5" t="s">
        <v>239</v>
      </c>
      <c r="C3258" s="5" t="s">
        <v>236</v>
      </c>
      <c r="D3258" s="2">
        <f t="shared" si="175"/>
        <v>2016</v>
      </c>
      <c r="E3258" s="2">
        <f t="shared" si="176"/>
        <v>12</v>
      </c>
      <c r="F3258" s="3" t="s">
        <v>175</v>
      </c>
      <c r="G3258" s="7">
        <v>42709</v>
      </c>
      <c r="J3258" s="5" t="s">
        <v>192</v>
      </c>
      <c r="K3258" s="5" t="s">
        <v>251</v>
      </c>
      <c r="M3258" s="1" t="s">
        <v>177</v>
      </c>
      <c r="N3258" s="6">
        <v>0.5</v>
      </c>
      <c r="O3258" s="6">
        <v>0.5</v>
      </c>
      <c r="P3258" s="6">
        <v>2</v>
      </c>
      <c r="Q3258" s="6">
        <v>0.2</v>
      </c>
      <c r="R3258" s="6">
        <v>11.8</v>
      </c>
      <c r="S3258" s="6">
        <v>81</v>
      </c>
      <c r="W3258" s="6">
        <v>1.7877999999999998</v>
      </c>
      <c r="X3258" s="1">
        <f>W3258 * (1/((10^((0.0901821 + (2729.92 /(273.15 + Q3258)))-AE3258)+1)))</f>
        <v>6.8167051326730932E-3</v>
      </c>
      <c r="Z3258" s="6">
        <v>2.13</v>
      </c>
      <c r="AD3258" s="6">
        <v>38.78</v>
      </c>
      <c r="AE3258" s="6">
        <v>7.66</v>
      </c>
      <c r="AK3258" s="6">
        <v>19.02</v>
      </c>
      <c r="AL3258" s="6">
        <v>729.18</v>
      </c>
      <c r="AM3258" s="6"/>
      <c r="AN3258" s="6"/>
      <c r="AO3258" s="6"/>
      <c r="AP3258" s="6"/>
      <c r="AQ3258" s="6"/>
    </row>
    <row r="3259" spans="1:43" x14ac:dyDescent="0.3">
      <c r="A3259" s="6">
        <v>55101</v>
      </c>
      <c r="B3259" s="5" t="s">
        <v>239</v>
      </c>
      <c r="C3259" s="5" t="s">
        <v>236</v>
      </c>
      <c r="D3259" s="2">
        <f t="shared" si="175"/>
        <v>2016</v>
      </c>
      <c r="E3259" s="2">
        <f t="shared" si="176"/>
        <v>12</v>
      </c>
      <c r="F3259" s="3" t="s">
        <v>175</v>
      </c>
      <c r="G3259" s="7">
        <v>42709</v>
      </c>
      <c r="J3259" s="5" t="s">
        <v>192</v>
      </c>
      <c r="K3259" s="5" t="s">
        <v>251</v>
      </c>
      <c r="M3259" s="5" t="s">
        <v>211</v>
      </c>
      <c r="N3259" s="6">
        <v>1</v>
      </c>
      <c r="O3259" s="6">
        <v>1</v>
      </c>
      <c r="Q3259" s="6">
        <v>0.3</v>
      </c>
      <c r="R3259" s="6">
        <v>11.3</v>
      </c>
      <c r="S3259" s="6">
        <v>78</v>
      </c>
    </row>
    <row r="3260" spans="1:43" x14ac:dyDescent="0.3">
      <c r="A3260" s="6">
        <v>55102</v>
      </c>
      <c r="B3260" s="5" t="s">
        <v>239</v>
      </c>
      <c r="C3260" s="5" t="s">
        <v>236</v>
      </c>
      <c r="D3260" s="2">
        <f t="shared" si="175"/>
        <v>2016</v>
      </c>
      <c r="E3260" s="2">
        <f t="shared" si="176"/>
        <v>12</v>
      </c>
      <c r="F3260" s="3" t="s">
        <v>175</v>
      </c>
      <c r="G3260" s="7">
        <v>42709</v>
      </c>
      <c r="J3260" s="5" t="s">
        <v>192</v>
      </c>
      <c r="K3260" s="5" t="s">
        <v>251</v>
      </c>
      <c r="M3260" s="1" t="s">
        <v>184</v>
      </c>
      <c r="N3260" s="6">
        <v>2</v>
      </c>
      <c r="O3260" s="6">
        <v>2</v>
      </c>
      <c r="Q3260" s="6">
        <v>1.6</v>
      </c>
      <c r="R3260" s="6">
        <v>7.7</v>
      </c>
      <c r="S3260" s="6">
        <v>55</v>
      </c>
    </row>
    <row r="3261" spans="1:43" x14ac:dyDescent="0.3">
      <c r="A3261" s="6">
        <v>55103</v>
      </c>
      <c r="B3261" s="5" t="s">
        <v>239</v>
      </c>
      <c r="C3261" s="5" t="s">
        <v>236</v>
      </c>
      <c r="D3261" s="2">
        <f t="shared" si="175"/>
        <v>2016</v>
      </c>
      <c r="E3261" s="2">
        <f t="shared" si="176"/>
        <v>12</v>
      </c>
      <c r="F3261" s="3" t="s">
        <v>175</v>
      </c>
      <c r="G3261" s="7">
        <v>42709</v>
      </c>
      <c r="J3261" s="5" t="s">
        <v>192</v>
      </c>
      <c r="K3261" s="5" t="s">
        <v>251</v>
      </c>
      <c r="M3261" s="1" t="s">
        <v>184</v>
      </c>
    </row>
    <row r="3262" spans="1:43" x14ac:dyDescent="0.3">
      <c r="A3262" s="1">
        <v>55155</v>
      </c>
      <c r="B3262" s="1" t="s">
        <v>237</v>
      </c>
      <c r="C3262" s="1" t="s">
        <v>209</v>
      </c>
      <c r="D3262" s="2">
        <f t="shared" si="175"/>
        <v>2016</v>
      </c>
      <c r="E3262" s="2">
        <f t="shared" si="176"/>
        <v>12</v>
      </c>
      <c r="F3262" s="3" t="s">
        <v>175</v>
      </c>
      <c r="G3262" s="4">
        <v>42717</v>
      </c>
      <c r="H3262" s="1">
        <v>6600935</v>
      </c>
      <c r="I3262" s="1">
        <v>1626764</v>
      </c>
      <c r="J3262" s="1" t="s">
        <v>191</v>
      </c>
      <c r="K3262" s="1" t="s">
        <v>210</v>
      </c>
      <c r="L3262" s="1" t="str">
        <f t="shared" ref="L3262:L3325" si="178">CONCATENATE(J3262," ",K3262)</f>
        <v>Vallentunasjön Va2</v>
      </c>
      <c r="M3262" s="1" t="s">
        <v>177</v>
      </c>
      <c r="N3262" s="1">
        <v>0.5</v>
      </c>
      <c r="O3262" s="1">
        <v>0.5</v>
      </c>
      <c r="P3262" s="1">
        <v>1.4</v>
      </c>
      <c r="Q3262" s="1">
        <v>0.4</v>
      </c>
      <c r="R3262" s="1">
        <v>15.4</v>
      </c>
      <c r="S3262" s="1">
        <v>106</v>
      </c>
    </row>
    <row r="3263" spans="1:43" x14ac:dyDescent="0.3">
      <c r="A3263" s="1">
        <v>55156</v>
      </c>
      <c r="B3263" s="1" t="s">
        <v>237</v>
      </c>
      <c r="C3263" s="1" t="s">
        <v>209</v>
      </c>
      <c r="D3263" s="2">
        <f t="shared" si="175"/>
        <v>2016</v>
      </c>
      <c r="E3263" s="2">
        <f t="shared" si="176"/>
        <v>12</v>
      </c>
      <c r="F3263" s="3" t="s">
        <v>175</v>
      </c>
      <c r="G3263" s="4">
        <v>42717</v>
      </c>
      <c r="H3263" s="1">
        <v>6600935</v>
      </c>
      <c r="I3263" s="1">
        <v>1626764</v>
      </c>
      <c r="J3263" s="1" t="s">
        <v>191</v>
      </c>
      <c r="K3263" s="1" t="s">
        <v>210</v>
      </c>
      <c r="L3263" s="1" t="str">
        <f t="shared" si="178"/>
        <v>Vallentunasjön Va2</v>
      </c>
      <c r="M3263" s="1" t="s">
        <v>211</v>
      </c>
      <c r="N3263" s="1">
        <v>1</v>
      </c>
      <c r="O3263" s="1">
        <v>1</v>
      </c>
      <c r="Q3263" s="1">
        <v>0.5</v>
      </c>
      <c r="R3263" s="1">
        <v>15.3</v>
      </c>
      <c r="S3263" s="1">
        <v>106</v>
      </c>
    </row>
    <row r="3264" spans="1:43" x14ac:dyDescent="0.3">
      <c r="A3264" s="1">
        <v>55157</v>
      </c>
      <c r="B3264" s="1" t="s">
        <v>237</v>
      </c>
      <c r="C3264" s="1" t="s">
        <v>209</v>
      </c>
      <c r="D3264" s="2">
        <f t="shared" si="175"/>
        <v>2016</v>
      </c>
      <c r="E3264" s="2">
        <f t="shared" si="176"/>
        <v>12</v>
      </c>
      <c r="F3264" s="3" t="s">
        <v>175</v>
      </c>
      <c r="G3264" s="4">
        <v>42717</v>
      </c>
      <c r="H3264" s="1">
        <v>6600935</v>
      </c>
      <c r="I3264" s="1">
        <v>1626764</v>
      </c>
      <c r="J3264" s="1" t="s">
        <v>191</v>
      </c>
      <c r="K3264" s="1" t="s">
        <v>210</v>
      </c>
      <c r="L3264" s="1" t="str">
        <f t="shared" si="178"/>
        <v>Vallentunasjön Va2</v>
      </c>
      <c r="M3264" s="1" t="s">
        <v>212</v>
      </c>
      <c r="N3264" s="1">
        <v>2</v>
      </c>
      <c r="O3264" s="1">
        <v>2</v>
      </c>
      <c r="Q3264" s="1">
        <v>0.6</v>
      </c>
      <c r="R3264" s="1">
        <v>15.1</v>
      </c>
      <c r="S3264" s="1">
        <v>104</v>
      </c>
    </row>
    <row r="3265" spans="1:38" x14ac:dyDescent="0.3">
      <c r="A3265" s="1">
        <v>55158</v>
      </c>
      <c r="B3265" s="1" t="s">
        <v>237</v>
      </c>
      <c r="C3265" s="1" t="s">
        <v>209</v>
      </c>
      <c r="D3265" s="2">
        <f t="shared" si="175"/>
        <v>2016</v>
      </c>
      <c r="E3265" s="2">
        <f t="shared" si="176"/>
        <v>12</v>
      </c>
      <c r="F3265" s="3" t="s">
        <v>175</v>
      </c>
      <c r="G3265" s="4">
        <v>42717</v>
      </c>
      <c r="H3265" s="1">
        <v>6600935</v>
      </c>
      <c r="I3265" s="1">
        <v>1626764</v>
      </c>
      <c r="J3265" s="1" t="s">
        <v>191</v>
      </c>
      <c r="K3265" s="1" t="s">
        <v>210</v>
      </c>
      <c r="L3265" s="1" t="str">
        <f t="shared" si="178"/>
        <v>Vallentunasjön Va2</v>
      </c>
      <c r="M3265" s="1" t="s">
        <v>213</v>
      </c>
      <c r="N3265" s="1">
        <v>3</v>
      </c>
      <c r="O3265" s="1">
        <v>3</v>
      </c>
      <c r="Q3265" s="1">
        <v>1.8</v>
      </c>
      <c r="R3265" s="1">
        <v>7.9</v>
      </c>
      <c r="S3265" s="1">
        <v>56</v>
      </c>
    </row>
    <row r="3266" spans="1:38" x14ac:dyDescent="0.3">
      <c r="A3266" s="1">
        <v>55159</v>
      </c>
      <c r="B3266" s="1" t="s">
        <v>237</v>
      </c>
      <c r="C3266" s="1" t="s">
        <v>209</v>
      </c>
      <c r="D3266" s="2">
        <f t="shared" si="175"/>
        <v>2016</v>
      </c>
      <c r="E3266" s="2">
        <f t="shared" si="176"/>
        <v>12</v>
      </c>
      <c r="F3266" s="3" t="s">
        <v>175</v>
      </c>
      <c r="G3266" s="4">
        <v>42717</v>
      </c>
      <c r="H3266" s="1">
        <v>6600935</v>
      </c>
      <c r="I3266" s="1">
        <v>1626764</v>
      </c>
      <c r="J3266" s="1" t="s">
        <v>191</v>
      </c>
      <c r="K3266" s="1" t="s">
        <v>210</v>
      </c>
      <c r="L3266" s="1" t="str">
        <f t="shared" si="178"/>
        <v>Vallentunasjön Va2</v>
      </c>
      <c r="M3266" s="1" t="s">
        <v>214</v>
      </c>
      <c r="N3266" s="1">
        <v>4</v>
      </c>
      <c r="O3266" s="1">
        <v>4</v>
      </c>
      <c r="Q3266" s="1">
        <v>2.6</v>
      </c>
      <c r="R3266" s="1">
        <v>4.5999999999999996</v>
      </c>
      <c r="S3266" s="1">
        <v>33</v>
      </c>
    </row>
    <row r="3267" spans="1:38" x14ac:dyDescent="0.3">
      <c r="A3267" s="1">
        <v>55160</v>
      </c>
      <c r="B3267" s="1" t="s">
        <v>237</v>
      </c>
      <c r="C3267" s="1" t="s">
        <v>209</v>
      </c>
      <c r="D3267" s="2">
        <f t="shared" si="175"/>
        <v>2016</v>
      </c>
      <c r="E3267" s="2">
        <f t="shared" si="176"/>
        <v>12</v>
      </c>
      <c r="F3267" s="3" t="s">
        <v>175</v>
      </c>
      <c r="G3267" s="4">
        <v>42717</v>
      </c>
      <c r="H3267" s="1">
        <v>6600935</v>
      </c>
      <c r="I3267" s="1">
        <v>1626764</v>
      </c>
      <c r="J3267" s="1" t="s">
        <v>191</v>
      </c>
      <c r="K3267" s="1" t="s">
        <v>210</v>
      </c>
      <c r="L3267" s="1" t="str">
        <f t="shared" si="178"/>
        <v>Vallentunasjön Va2</v>
      </c>
      <c r="M3267" s="1" t="s">
        <v>184</v>
      </c>
      <c r="Q3267" s="1">
        <v>2.6</v>
      </c>
      <c r="R3267" s="1">
        <v>4.2</v>
      </c>
      <c r="S3267" s="1">
        <v>31</v>
      </c>
    </row>
    <row r="3268" spans="1:38" x14ac:dyDescent="0.3">
      <c r="A3268" s="1">
        <v>55161</v>
      </c>
      <c r="B3268" s="1" t="s">
        <v>237</v>
      </c>
      <c r="C3268" s="1" t="s">
        <v>209</v>
      </c>
      <c r="D3268" s="2">
        <f t="shared" si="175"/>
        <v>2016</v>
      </c>
      <c r="E3268" s="2">
        <f t="shared" si="176"/>
        <v>12</v>
      </c>
      <c r="F3268" s="3" t="s">
        <v>175</v>
      </c>
      <c r="G3268" s="4">
        <v>42717</v>
      </c>
      <c r="J3268" s="1" t="s">
        <v>191</v>
      </c>
      <c r="K3268" s="1" t="s">
        <v>206</v>
      </c>
      <c r="L3268" s="1" t="str">
        <f t="shared" si="178"/>
        <v>Vallentunasjön Blandprov</v>
      </c>
      <c r="M3268" s="1" t="s">
        <v>177</v>
      </c>
      <c r="N3268" s="1">
        <v>4</v>
      </c>
      <c r="O3268" s="1">
        <v>0</v>
      </c>
      <c r="W3268" s="1">
        <v>137.42259999999999</v>
      </c>
      <c r="Z3268" s="1">
        <v>0</v>
      </c>
      <c r="AB3268" s="1">
        <v>38.982419999999998</v>
      </c>
      <c r="AD3268" s="1">
        <v>161.69</v>
      </c>
      <c r="AG3268" s="1">
        <v>9.6</v>
      </c>
      <c r="AK3268" s="1">
        <v>30.46</v>
      </c>
      <c r="AL3268" s="1">
        <v>1125.55</v>
      </c>
    </row>
    <row r="3269" spans="1:38" x14ac:dyDescent="0.3">
      <c r="A3269" s="1">
        <v>55349</v>
      </c>
      <c r="B3269" s="1" t="s">
        <v>252</v>
      </c>
      <c r="C3269" s="1" t="s">
        <v>209</v>
      </c>
      <c r="D3269" s="2">
        <f t="shared" si="175"/>
        <v>2017</v>
      </c>
      <c r="E3269" s="2">
        <f t="shared" si="176"/>
        <v>1</v>
      </c>
      <c r="F3269" s="3" t="s">
        <v>175</v>
      </c>
      <c r="G3269" s="4">
        <v>42752</v>
      </c>
      <c r="H3269" s="1">
        <v>6600935</v>
      </c>
      <c r="I3269" s="1">
        <v>1626764</v>
      </c>
      <c r="J3269" s="1" t="s">
        <v>191</v>
      </c>
      <c r="K3269" s="1" t="s">
        <v>210</v>
      </c>
      <c r="L3269" s="1" t="str">
        <f t="shared" si="178"/>
        <v>Vallentunasjön Va2</v>
      </c>
      <c r="M3269" s="1" t="s">
        <v>177</v>
      </c>
      <c r="N3269" s="1">
        <v>0.5</v>
      </c>
      <c r="O3269" s="1">
        <v>0.5</v>
      </c>
      <c r="P3269" s="1">
        <v>2.4</v>
      </c>
      <c r="Q3269" s="1">
        <v>1.3</v>
      </c>
      <c r="R3269" s="1">
        <v>15.9</v>
      </c>
      <c r="S3269" s="1">
        <v>113</v>
      </c>
    </row>
    <row r="3270" spans="1:38" x14ac:dyDescent="0.3">
      <c r="A3270" s="1">
        <v>55350</v>
      </c>
      <c r="B3270" s="1" t="s">
        <v>252</v>
      </c>
      <c r="C3270" s="1" t="s">
        <v>209</v>
      </c>
      <c r="D3270" s="2">
        <f t="shared" ref="D3270:D3333" si="179">YEAR(G3270)</f>
        <v>2017</v>
      </c>
      <c r="E3270" s="2">
        <f t="shared" ref="E3270:E3333" si="180">MONTH(G3270)</f>
        <v>1</v>
      </c>
      <c r="F3270" s="3" t="s">
        <v>175</v>
      </c>
      <c r="G3270" s="4">
        <v>42752</v>
      </c>
      <c r="H3270" s="1">
        <v>6600935</v>
      </c>
      <c r="I3270" s="1">
        <v>1626764</v>
      </c>
      <c r="J3270" s="1" t="s">
        <v>191</v>
      </c>
      <c r="K3270" s="1" t="s">
        <v>210</v>
      </c>
      <c r="L3270" s="1" t="str">
        <f t="shared" si="178"/>
        <v>Vallentunasjön Va2</v>
      </c>
      <c r="M3270" s="1" t="s">
        <v>211</v>
      </c>
      <c r="N3270" s="1">
        <v>1</v>
      </c>
      <c r="O3270" s="1">
        <v>1</v>
      </c>
      <c r="Q3270" s="1">
        <v>2</v>
      </c>
      <c r="R3270" s="1">
        <v>16.100000000000001</v>
      </c>
      <c r="S3270" s="1">
        <v>115</v>
      </c>
    </row>
    <row r="3271" spans="1:38" x14ac:dyDescent="0.3">
      <c r="A3271" s="1">
        <v>55351</v>
      </c>
      <c r="B3271" s="1" t="s">
        <v>252</v>
      </c>
      <c r="C3271" s="1" t="s">
        <v>209</v>
      </c>
      <c r="D3271" s="2">
        <f t="shared" si="179"/>
        <v>2017</v>
      </c>
      <c r="E3271" s="2">
        <f t="shared" si="180"/>
        <v>1</v>
      </c>
      <c r="F3271" s="3" t="s">
        <v>175</v>
      </c>
      <c r="G3271" s="4">
        <v>42752</v>
      </c>
      <c r="H3271" s="1">
        <v>6600935</v>
      </c>
      <c r="I3271" s="1">
        <v>1626764</v>
      </c>
      <c r="J3271" s="1" t="s">
        <v>191</v>
      </c>
      <c r="K3271" s="1" t="s">
        <v>210</v>
      </c>
      <c r="L3271" s="1" t="str">
        <f t="shared" si="178"/>
        <v>Vallentunasjön Va2</v>
      </c>
      <c r="M3271" s="1" t="s">
        <v>212</v>
      </c>
      <c r="N3271" s="1">
        <v>2</v>
      </c>
      <c r="O3271" s="1">
        <v>2</v>
      </c>
      <c r="Q3271" s="1">
        <v>2.6</v>
      </c>
      <c r="R3271" s="1">
        <v>9.1</v>
      </c>
      <c r="S3271" s="1">
        <v>65</v>
      </c>
    </row>
    <row r="3272" spans="1:38" x14ac:dyDescent="0.3">
      <c r="A3272" s="1">
        <v>55352</v>
      </c>
      <c r="B3272" s="1" t="s">
        <v>252</v>
      </c>
      <c r="C3272" s="1" t="s">
        <v>209</v>
      </c>
      <c r="D3272" s="2">
        <f t="shared" si="179"/>
        <v>2017</v>
      </c>
      <c r="E3272" s="2">
        <f t="shared" si="180"/>
        <v>1</v>
      </c>
      <c r="F3272" s="3" t="s">
        <v>175</v>
      </c>
      <c r="G3272" s="4">
        <v>42752</v>
      </c>
      <c r="H3272" s="1">
        <v>6600935</v>
      </c>
      <c r="I3272" s="1">
        <v>1626764</v>
      </c>
      <c r="J3272" s="1" t="s">
        <v>191</v>
      </c>
      <c r="K3272" s="1" t="s">
        <v>210</v>
      </c>
      <c r="L3272" s="1" t="str">
        <f t="shared" si="178"/>
        <v>Vallentunasjön Va2</v>
      </c>
      <c r="M3272" s="1" t="s">
        <v>213</v>
      </c>
      <c r="N3272" s="1">
        <v>3</v>
      </c>
      <c r="O3272" s="1">
        <v>3</v>
      </c>
      <c r="Q3272" s="1">
        <v>3.2</v>
      </c>
      <c r="R3272" s="1">
        <v>1</v>
      </c>
      <c r="S3272" s="1">
        <v>7</v>
      </c>
    </row>
    <row r="3273" spans="1:38" x14ac:dyDescent="0.3">
      <c r="A3273" s="1">
        <v>55353</v>
      </c>
      <c r="B3273" s="1" t="s">
        <v>252</v>
      </c>
      <c r="C3273" s="1" t="s">
        <v>209</v>
      </c>
      <c r="D3273" s="2">
        <f t="shared" si="179"/>
        <v>2017</v>
      </c>
      <c r="E3273" s="2">
        <f t="shared" si="180"/>
        <v>1</v>
      </c>
      <c r="F3273" s="3" t="s">
        <v>175</v>
      </c>
      <c r="G3273" s="4">
        <v>42752</v>
      </c>
      <c r="H3273" s="1">
        <v>6600935</v>
      </c>
      <c r="I3273" s="1">
        <v>1626764</v>
      </c>
      <c r="J3273" s="1" t="s">
        <v>191</v>
      </c>
      <c r="K3273" s="1" t="s">
        <v>210</v>
      </c>
      <c r="L3273" s="1" t="str">
        <f t="shared" si="178"/>
        <v>Vallentunasjön Va2</v>
      </c>
      <c r="M3273" s="1" t="s">
        <v>214</v>
      </c>
      <c r="N3273" s="1">
        <v>4</v>
      </c>
      <c r="O3273" s="1">
        <v>4</v>
      </c>
      <c r="Q3273" s="1">
        <v>4</v>
      </c>
      <c r="R3273" s="1">
        <v>0.6</v>
      </c>
      <c r="S3273" s="1">
        <v>4</v>
      </c>
    </row>
    <row r="3274" spans="1:38" x14ac:dyDescent="0.3">
      <c r="A3274" s="1">
        <v>55354</v>
      </c>
      <c r="B3274" s="1" t="s">
        <v>252</v>
      </c>
      <c r="C3274" s="1" t="s">
        <v>209</v>
      </c>
      <c r="D3274" s="2">
        <f t="shared" si="179"/>
        <v>2017</v>
      </c>
      <c r="E3274" s="2">
        <f t="shared" si="180"/>
        <v>1</v>
      </c>
      <c r="F3274" s="3" t="s">
        <v>175</v>
      </c>
      <c r="G3274" s="4">
        <v>42752</v>
      </c>
      <c r="H3274" s="1">
        <v>6600935</v>
      </c>
      <c r="I3274" s="1">
        <v>1626764</v>
      </c>
      <c r="J3274" s="1" t="s">
        <v>191</v>
      </c>
      <c r="K3274" s="1" t="s">
        <v>210</v>
      </c>
      <c r="L3274" s="1" t="str">
        <f t="shared" si="178"/>
        <v>Vallentunasjön Va2</v>
      </c>
      <c r="M3274" s="1" t="s">
        <v>184</v>
      </c>
      <c r="Q3274" s="1">
        <v>4.3</v>
      </c>
      <c r="R3274" s="1">
        <v>0.4</v>
      </c>
      <c r="S3274" s="1">
        <v>2</v>
      </c>
    </row>
    <row r="3275" spans="1:38" x14ac:dyDescent="0.3">
      <c r="A3275" s="1">
        <v>55355</v>
      </c>
      <c r="B3275" s="1" t="s">
        <v>252</v>
      </c>
      <c r="C3275" s="1" t="s">
        <v>209</v>
      </c>
      <c r="D3275" s="2">
        <f t="shared" si="179"/>
        <v>2017</v>
      </c>
      <c r="E3275" s="2">
        <f t="shared" si="180"/>
        <v>1</v>
      </c>
      <c r="F3275" s="3" t="s">
        <v>175</v>
      </c>
      <c r="G3275" s="4">
        <v>42752</v>
      </c>
      <c r="J3275" s="1" t="s">
        <v>191</v>
      </c>
      <c r="K3275" s="1" t="s">
        <v>206</v>
      </c>
      <c r="L3275" s="1" t="str">
        <f t="shared" si="178"/>
        <v>Vallentunasjön Blandprov</v>
      </c>
      <c r="M3275" s="1" t="s">
        <v>177</v>
      </c>
      <c r="N3275" s="1">
        <v>4</v>
      </c>
      <c r="O3275" s="1">
        <v>0</v>
      </c>
      <c r="W3275" s="1">
        <v>238.19710000000001</v>
      </c>
      <c r="Y3275" s="1">
        <v>3.9E-2</v>
      </c>
      <c r="Z3275" s="1">
        <v>1.67</v>
      </c>
      <c r="AB3275" s="1">
        <v>19.724399999999999</v>
      </c>
      <c r="AD3275" s="1">
        <v>149.57</v>
      </c>
      <c r="AG3275" s="1">
        <v>6.8</v>
      </c>
      <c r="AK3275" s="1">
        <v>26.53</v>
      </c>
      <c r="AL3275" s="1">
        <v>1260.46</v>
      </c>
    </row>
    <row r="3276" spans="1:38" x14ac:dyDescent="0.3">
      <c r="A3276" s="1">
        <v>55367</v>
      </c>
      <c r="B3276" s="1" t="s">
        <v>252</v>
      </c>
      <c r="C3276" s="1" t="s">
        <v>209</v>
      </c>
      <c r="D3276" s="2">
        <f t="shared" si="179"/>
        <v>2017</v>
      </c>
      <c r="E3276" s="2">
        <f t="shared" si="180"/>
        <v>1</v>
      </c>
      <c r="F3276" s="3" t="s">
        <v>175</v>
      </c>
      <c r="G3276" s="4">
        <v>42752</v>
      </c>
      <c r="H3276" s="1">
        <v>6602742</v>
      </c>
      <c r="I3276" s="1">
        <v>1627620</v>
      </c>
      <c r="J3276" s="1" t="s">
        <v>191</v>
      </c>
      <c r="K3276" s="1" t="s">
        <v>253</v>
      </c>
      <c r="L3276" s="1" t="str">
        <f t="shared" si="178"/>
        <v>Vallentunasjön Va1</v>
      </c>
      <c r="M3276" s="1" t="s">
        <v>177</v>
      </c>
      <c r="N3276" s="1">
        <v>0.5</v>
      </c>
      <c r="O3276" s="1">
        <v>0.5</v>
      </c>
    </row>
    <row r="3277" spans="1:38" x14ac:dyDescent="0.3">
      <c r="A3277" s="1">
        <v>55368</v>
      </c>
      <c r="B3277" s="1" t="s">
        <v>252</v>
      </c>
      <c r="C3277" s="1" t="s">
        <v>209</v>
      </c>
      <c r="D3277" s="2">
        <f t="shared" si="179"/>
        <v>2017</v>
      </c>
      <c r="E3277" s="2">
        <f t="shared" si="180"/>
        <v>1</v>
      </c>
      <c r="F3277" s="3" t="s">
        <v>175</v>
      </c>
      <c r="G3277" s="4">
        <v>42752</v>
      </c>
      <c r="H3277" s="1">
        <v>6602742</v>
      </c>
      <c r="I3277" s="1">
        <v>1627620</v>
      </c>
      <c r="J3277" s="1" t="s">
        <v>191</v>
      </c>
      <c r="K3277" s="1" t="s">
        <v>253</v>
      </c>
      <c r="L3277" s="1" t="str">
        <f t="shared" si="178"/>
        <v>Vallentunasjön Va1</v>
      </c>
      <c r="M3277" s="1" t="s">
        <v>211</v>
      </c>
      <c r="N3277" s="1">
        <v>1</v>
      </c>
      <c r="O3277" s="1">
        <v>1</v>
      </c>
    </row>
    <row r="3278" spans="1:38" x14ac:dyDescent="0.3">
      <c r="A3278" s="1">
        <v>55369</v>
      </c>
      <c r="B3278" s="1" t="s">
        <v>252</v>
      </c>
      <c r="C3278" s="1" t="s">
        <v>209</v>
      </c>
      <c r="D3278" s="2">
        <f t="shared" si="179"/>
        <v>2017</v>
      </c>
      <c r="E3278" s="2">
        <f t="shared" si="180"/>
        <v>1</v>
      </c>
      <c r="F3278" s="3" t="s">
        <v>175</v>
      </c>
      <c r="G3278" s="4">
        <v>42752</v>
      </c>
      <c r="H3278" s="1">
        <v>6602742</v>
      </c>
      <c r="I3278" s="1">
        <v>1627620</v>
      </c>
      <c r="J3278" s="1" t="s">
        <v>191</v>
      </c>
      <c r="K3278" s="1" t="s">
        <v>253</v>
      </c>
      <c r="L3278" s="1" t="str">
        <f t="shared" si="178"/>
        <v>Vallentunasjön Va1</v>
      </c>
      <c r="M3278" s="1" t="s">
        <v>184</v>
      </c>
      <c r="N3278" s="1">
        <v>2</v>
      </c>
      <c r="O3278" s="1">
        <v>2</v>
      </c>
    </row>
    <row r="3279" spans="1:38" x14ac:dyDescent="0.3">
      <c r="A3279" s="1">
        <v>55987</v>
      </c>
      <c r="B3279" s="1" t="s">
        <v>254</v>
      </c>
      <c r="C3279" s="1" t="s">
        <v>231</v>
      </c>
      <c r="D3279" s="2">
        <f t="shared" si="179"/>
        <v>2017</v>
      </c>
      <c r="E3279" s="2">
        <f t="shared" si="180"/>
        <v>2</v>
      </c>
      <c r="F3279" s="3" t="s">
        <v>175</v>
      </c>
      <c r="G3279" s="4">
        <v>42787</v>
      </c>
      <c r="H3279" s="1">
        <v>6595400</v>
      </c>
      <c r="I3279" s="1">
        <v>1624045</v>
      </c>
      <c r="J3279" s="1" t="s">
        <v>183</v>
      </c>
      <c r="K3279" s="1"/>
      <c r="L3279" s="1" t="str">
        <f t="shared" si="178"/>
        <v xml:space="preserve">Fjäturen </v>
      </c>
      <c r="M3279" s="1" t="s">
        <v>177</v>
      </c>
      <c r="N3279" s="1">
        <v>0.5</v>
      </c>
      <c r="O3279" s="1">
        <v>0.5</v>
      </c>
      <c r="P3279" s="1">
        <v>4.5999999999999996</v>
      </c>
      <c r="Q3279" s="1">
        <v>2.6</v>
      </c>
      <c r="R3279" s="1">
        <v>11.7</v>
      </c>
      <c r="S3279" s="1">
        <v>87</v>
      </c>
      <c r="W3279" s="1">
        <v>3.9087000000000001</v>
      </c>
      <c r="Y3279" s="1">
        <v>5.7000000000000002E-2</v>
      </c>
      <c r="Z3279" s="1">
        <v>2.13</v>
      </c>
      <c r="AA3279" s="1">
        <v>0.67</v>
      </c>
      <c r="AD3279" s="1">
        <v>165.33</v>
      </c>
      <c r="AK3279" s="1">
        <v>14.16</v>
      </c>
      <c r="AL3279" s="1">
        <v>788.15</v>
      </c>
    </row>
    <row r="3280" spans="1:38" x14ac:dyDescent="0.3">
      <c r="A3280" s="1">
        <v>55988</v>
      </c>
      <c r="B3280" s="1" t="s">
        <v>254</v>
      </c>
      <c r="C3280" s="1" t="s">
        <v>231</v>
      </c>
      <c r="D3280" s="2">
        <f t="shared" si="179"/>
        <v>2017</v>
      </c>
      <c r="E3280" s="2">
        <f t="shared" si="180"/>
        <v>2</v>
      </c>
      <c r="F3280" s="3" t="s">
        <v>175</v>
      </c>
      <c r="G3280" s="4">
        <v>42787</v>
      </c>
      <c r="H3280" s="1">
        <v>6595400</v>
      </c>
      <c r="I3280" s="1">
        <v>1624045</v>
      </c>
      <c r="J3280" s="1" t="s">
        <v>183</v>
      </c>
      <c r="K3280" s="1"/>
      <c r="L3280" s="1" t="str">
        <f t="shared" si="178"/>
        <v xml:space="preserve">Fjäturen </v>
      </c>
      <c r="M3280" s="1" t="s">
        <v>211</v>
      </c>
      <c r="N3280" s="1">
        <v>1</v>
      </c>
      <c r="O3280" s="1">
        <v>1</v>
      </c>
      <c r="Q3280" s="1">
        <v>2.7</v>
      </c>
      <c r="R3280" s="1">
        <v>11.7</v>
      </c>
      <c r="S3280" s="1">
        <v>87</v>
      </c>
    </row>
    <row r="3281" spans="1:38" x14ac:dyDescent="0.3">
      <c r="A3281" s="1">
        <v>55989</v>
      </c>
      <c r="B3281" s="1" t="s">
        <v>254</v>
      </c>
      <c r="C3281" s="1" t="s">
        <v>231</v>
      </c>
      <c r="D3281" s="2">
        <f t="shared" si="179"/>
        <v>2017</v>
      </c>
      <c r="E3281" s="2">
        <f t="shared" si="180"/>
        <v>2</v>
      </c>
      <c r="F3281" s="3" t="s">
        <v>175</v>
      </c>
      <c r="G3281" s="4">
        <v>42787</v>
      </c>
      <c r="H3281" s="1">
        <v>6595400</v>
      </c>
      <c r="I3281" s="1">
        <v>1624045</v>
      </c>
      <c r="J3281" s="1" t="s">
        <v>183</v>
      </c>
      <c r="K3281" s="1"/>
      <c r="L3281" s="1" t="str">
        <f t="shared" si="178"/>
        <v xml:space="preserve">Fjäturen </v>
      </c>
      <c r="M3281" s="1" t="s">
        <v>212</v>
      </c>
      <c r="N3281" s="1">
        <v>2</v>
      </c>
      <c r="O3281" s="1">
        <v>2</v>
      </c>
      <c r="Q3281" s="1">
        <v>2.8</v>
      </c>
      <c r="R3281" s="1">
        <v>11.4</v>
      </c>
      <c r="S3281" s="1">
        <v>85</v>
      </c>
    </row>
    <row r="3282" spans="1:38" x14ac:dyDescent="0.3">
      <c r="A3282" s="1">
        <v>55990</v>
      </c>
      <c r="B3282" s="1" t="s">
        <v>254</v>
      </c>
      <c r="C3282" s="1" t="s">
        <v>231</v>
      </c>
      <c r="D3282" s="2">
        <f t="shared" si="179"/>
        <v>2017</v>
      </c>
      <c r="E3282" s="2">
        <f t="shared" si="180"/>
        <v>2</v>
      </c>
      <c r="F3282" s="3" t="s">
        <v>175</v>
      </c>
      <c r="G3282" s="4">
        <v>42787</v>
      </c>
      <c r="H3282" s="1">
        <v>6595400</v>
      </c>
      <c r="I3282" s="1">
        <v>1624045</v>
      </c>
      <c r="J3282" s="1" t="s">
        <v>183</v>
      </c>
      <c r="K3282" s="1"/>
      <c r="L3282" s="1" t="str">
        <f t="shared" si="178"/>
        <v xml:space="preserve">Fjäturen </v>
      </c>
      <c r="M3282" s="1" t="s">
        <v>213</v>
      </c>
      <c r="N3282" s="1">
        <v>3</v>
      </c>
      <c r="O3282" s="1">
        <v>3</v>
      </c>
      <c r="Q3282" s="1">
        <v>3.1</v>
      </c>
      <c r="R3282" s="1">
        <v>9.3000000000000007</v>
      </c>
      <c r="S3282" s="1">
        <v>70</v>
      </c>
    </row>
    <row r="3283" spans="1:38" x14ac:dyDescent="0.3">
      <c r="A3283" s="1">
        <v>55991</v>
      </c>
      <c r="B3283" s="1" t="s">
        <v>254</v>
      </c>
      <c r="C3283" s="1" t="s">
        <v>231</v>
      </c>
      <c r="D3283" s="2">
        <f t="shared" si="179"/>
        <v>2017</v>
      </c>
      <c r="E3283" s="2">
        <f t="shared" si="180"/>
        <v>2</v>
      </c>
      <c r="F3283" s="3" t="s">
        <v>175</v>
      </c>
      <c r="G3283" s="4">
        <v>42787</v>
      </c>
      <c r="H3283" s="1">
        <v>6595400</v>
      </c>
      <c r="I3283" s="1">
        <v>1624045</v>
      </c>
      <c r="J3283" s="1" t="s">
        <v>183</v>
      </c>
      <c r="K3283" s="1"/>
      <c r="L3283" s="1" t="str">
        <f t="shared" si="178"/>
        <v xml:space="preserve">Fjäturen </v>
      </c>
      <c r="M3283" s="1" t="s">
        <v>214</v>
      </c>
      <c r="N3283" s="1">
        <v>4</v>
      </c>
      <c r="O3283" s="1">
        <v>4</v>
      </c>
      <c r="Q3283" s="1">
        <v>3.3</v>
      </c>
      <c r="R3283" s="1">
        <v>6.6</v>
      </c>
      <c r="S3283" s="1">
        <v>50</v>
      </c>
    </row>
    <row r="3284" spans="1:38" x14ac:dyDescent="0.3">
      <c r="A3284" s="1">
        <v>55992</v>
      </c>
      <c r="B3284" s="1" t="s">
        <v>254</v>
      </c>
      <c r="C3284" s="1" t="s">
        <v>231</v>
      </c>
      <c r="D3284" s="2">
        <f t="shared" si="179"/>
        <v>2017</v>
      </c>
      <c r="E3284" s="2">
        <f t="shared" si="180"/>
        <v>2</v>
      </c>
      <c r="F3284" s="3" t="s">
        <v>175</v>
      </c>
      <c r="G3284" s="4">
        <v>42787</v>
      </c>
      <c r="H3284" s="1">
        <v>6595400</v>
      </c>
      <c r="I3284" s="1">
        <v>1624045</v>
      </c>
      <c r="J3284" s="1" t="s">
        <v>183</v>
      </c>
      <c r="K3284" s="1"/>
      <c r="L3284" s="1" t="str">
        <f t="shared" si="178"/>
        <v xml:space="preserve">Fjäturen </v>
      </c>
      <c r="M3284" s="1" t="s">
        <v>217</v>
      </c>
      <c r="N3284" s="1">
        <v>5</v>
      </c>
      <c r="O3284" s="1">
        <v>5</v>
      </c>
      <c r="Q3284" s="1">
        <v>3.4</v>
      </c>
      <c r="R3284" s="1">
        <v>5.0999999999999996</v>
      </c>
      <c r="S3284" s="1">
        <v>38</v>
      </c>
    </row>
    <row r="3285" spans="1:38" x14ac:dyDescent="0.3">
      <c r="A3285" s="1">
        <v>55993</v>
      </c>
      <c r="B3285" s="1" t="s">
        <v>254</v>
      </c>
      <c r="C3285" s="1" t="s">
        <v>231</v>
      </c>
      <c r="D3285" s="2">
        <f t="shared" si="179"/>
        <v>2017</v>
      </c>
      <c r="E3285" s="2">
        <f t="shared" si="180"/>
        <v>2</v>
      </c>
      <c r="F3285" s="3" t="s">
        <v>175</v>
      </c>
      <c r="G3285" s="4">
        <v>42787</v>
      </c>
      <c r="H3285" s="1">
        <v>6595400</v>
      </c>
      <c r="I3285" s="1">
        <v>1624045</v>
      </c>
      <c r="J3285" s="1" t="s">
        <v>183</v>
      </c>
      <c r="K3285" s="1"/>
      <c r="L3285" s="1" t="str">
        <f t="shared" si="178"/>
        <v xml:space="preserve">Fjäturen </v>
      </c>
      <c r="M3285" s="1" t="s">
        <v>218</v>
      </c>
      <c r="N3285" s="1">
        <v>6</v>
      </c>
      <c r="O3285" s="1">
        <v>6</v>
      </c>
      <c r="Q3285" s="1">
        <v>3.6</v>
      </c>
      <c r="R3285" s="1">
        <v>3.7</v>
      </c>
      <c r="S3285" s="1">
        <v>28</v>
      </c>
    </row>
    <row r="3286" spans="1:38" x14ac:dyDescent="0.3">
      <c r="A3286" s="1">
        <v>55994</v>
      </c>
      <c r="B3286" s="1" t="s">
        <v>254</v>
      </c>
      <c r="C3286" s="1" t="s">
        <v>231</v>
      </c>
      <c r="D3286" s="2">
        <f t="shared" si="179"/>
        <v>2017</v>
      </c>
      <c r="E3286" s="2">
        <f t="shared" si="180"/>
        <v>2</v>
      </c>
      <c r="F3286" s="3" t="s">
        <v>175</v>
      </c>
      <c r="G3286" s="4">
        <v>42787</v>
      </c>
      <c r="H3286" s="1">
        <v>6595400</v>
      </c>
      <c r="I3286" s="1">
        <v>1624045</v>
      </c>
      <c r="J3286" s="1" t="s">
        <v>183</v>
      </c>
      <c r="K3286" s="1"/>
      <c r="L3286" s="1" t="str">
        <f t="shared" si="178"/>
        <v xml:space="preserve">Fjäturen </v>
      </c>
      <c r="M3286" s="1" t="s">
        <v>219</v>
      </c>
      <c r="N3286" s="1">
        <v>7</v>
      </c>
      <c r="O3286" s="1">
        <v>7</v>
      </c>
      <c r="Q3286" s="1">
        <v>3.8</v>
      </c>
      <c r="R3286" s="1">
        <v>2.2999999999999998</v>
      </c>
      <c r="S3286" s="1">
        <v>18</v>
      </c>
    </row>
    <row r="3287" spans="1:38" x14ac:dyDescent="0.3">
      <c r="A3287" s="1">
        <v>55995</v>
      </c>
      <c r="B3287" s="1" t="s">
        <v>254</v>
      </c>
      <c r="C3287" s="1" t="s">
        <v>231</v>
      </c>
      <c r="D3287" s="2">
        <f t="shared" si="179"/>
        <v>2017</v>
      </c>
      <c r="E3287" s="2">
        <f t="shared" si="180"/>
        <v>2</v>
      </c>
      <c r="F3287" s="3" t="s">
        <v>175</v>
      </c>
      <c r="G3287" s="4">
        <v>42787</v>
      </c>
      <c r="H3287" s="1">
        <v>6595400</v>
      </c>
      <c r="I3287" s="1">
        <v>1624045</v>
      </c>
      <c r="J3287" s="1" t="s">
        <v>183</v>
      </c>
      <c r="K3287" s="1"/>
      <c r="L3287" s="1" t="str">
        <f t="shared" si="178"/>
        <v xml:space="preserve">Fjäturen </v>
      </c>
      <c r="M3287" s="1" t="s">
        <v>220</v>
      </c>
      <c r="N3287" s="1">
        <v>8</v>
      </c>
      <c r="O3287" s="1">
        <v>8</v>
      </c>
      <c r="Q3287" s="1">
        <v>4</v>
      </c>
      <c r="R3287" s="1">
        <v>1</v>
      </c>
      <c r="S3287" s="1">
        <v>7</v>
      </c>
    </row>
    <row r="3288" spans="1:38" x14ac:dyDescent="0.3">
      <c r="A3288" s="1">
        <v>55996</v>
      </c>
      <c r="B3288" s="1" t="s">
        <v>254</v>
      </c>
      <c r="C3288" s="1" t="s">
        <v>231</v>
      </c>
      <c r="D3288" s="2">
        <f t="shared" si="179"/>
        <v>2017</v>
      </c>
      <c r="E3288" s="2">
        <f t="shared" si="180"/>
        <v>2</v>
      </c>
      <c r="F3288" s="3" t="s">
        <v>175</v>
      </c>
      <c r="G3288" s="4">
        <v>42787</v>
      </c>
      <c r="H3288" s="1">
        <v>6595400</v>
      </c>
      <c r="I3288" s="1">
        <v>1624045</v>
      </c>
      <c r="J3288" s="1" t="s">
        <v>183</v>
      </c>
      <c r="K3288" s="1"/>
      <c r="L3288" s="1" t="str">
        <f t="shared" si="178"/>
        <v xml:space="preserve">Fjäturen </v>
      </c>
      <c r="M3288" s="1" t="s">
        <v>184</v>
      </c>
      <c r="N3288" s="1">
        <v>9</v>
      </c>
      <c r="O3288" s="1">
        <v>9</v>
      </c>
      <c r="Q3288" s="1">
        <v>4.4000000000000004</v>
      </c>
      <c r="R3288" s="1">
        <v>0.5</v>
      </c>
      <c r="S3288" s="1">
        <v>4</v>
      </c>
      <c r="W3288" s="1">
        <v>48.3125</v>
      </c>
      <c r="Y3288" s="1">
        <v>5.0999999999999997E-2</v>
      </c>
      <c r="Z3288" s="1">
        <v>9.02</v>
      </c>
      <c r="AA3288" s="1">
        <v>1.65</v>
      </c>
      <c r="AD3288" s="1">
        <v>311.01</v>
      </c>
      <c r="AK3288" s="1">
        <v>22.11</v>
      </c>
      <c r="AL3288" s="1">
        <v>963.86</v>
      </c>
    </row>
    <row r="3289" spans="1:38" x14ac:dyDescent="0.3">
      <c r="A3289" s="1">
        <v>55998</v>
      </c>
      <c r="B3289" s="1" t="s">
        <v>254</v>
      </c>
      <c r="C3289" s="1" t="s">
        <v>231</v>
      </c>
      <c r="D3289" s="2">
        <f t="shared" si="179"/>
        <v>2017</v>
      </c>
      <c r="E3289" s="2">
        <f t="shared" si="180"/>
        <v>2</v>
      </c>
      <c r="F3289" s="3" t="s">
        <v>175</v>
      </c>
      <c r="G3289" s="4">
        <v>42787</v>
      </c>
      <c r="H3289" s="1">
        <v>6593820</v>
      </c>
      <c r="I3289" s="1">
        <v>1619360</v>
      </c>
      <c r="J3289" s="1" t="s">
        <v>188</v>
      </c>
      <c r="K3289" s="1"/>
      <c r="L3289" s="1" t="str">
        <f t="shared" si="178"/>
        <v xml:space="preserve">Ravalen </v>
      </c>
      <c r="M3289" s="1" t="s">
        <v>177</v>
      </c>
      <c r="N3289" s="1">
        <v>0.5</v>
      </c>
      <c r="O3289" s="1">
        <v>0.5</v>
      </c>
      <c r="P3289" s="1">
        <v>1.5</v>
      </c>
      <c r="Q3289" s="1">
        <v>1.5</v>
      </c>
      <c r="R3289" s="1">
        <v>5</v>
      </c>
      <c r="S3289" s="1">
        <v>37</v>
      </c>
      <c r="W3289" s="1">
        <v>154.28</v>
      </c>
      <c r="Y3289" s="1">
        <v>6.4000000000000001E-2</v>
      </c>
      <c r="Z3289" s="1">
        <v>0</v>
      </c>
      <c r="AA3289" s="1">
        <v>3.1</v>
      </c>
      <c r="AD3289" s="1">
        <v>63.17</v>
      </c>
      <c r="AK3289" s="1">
        <v>38.42</v>
      </c>
      <c r="AL3289" s="1">
        <v>1145.3399999999999</v>
      </c>
    </row>
    <row r="3290" spans="1:38" x14ac:dyDescent="0.3">
      <c r="A3290" s="1">
        <v>55999</v>
      </c>
      <c r="B3290" s="1" t="s">
        <v>254</v>
      </c>
      <c r="C3290" s="1" t="s">
        <v>231</v>
      </c>
      <c r="D3290" s="2">
        <f t="shared" si="179"/>
        <v>2017</v>
      </c>
      <c r="E3290" s="2">
        <f t="shared" si="180"/>
        <v>2</v>
      </c>
      <c r="F3290" s="3" t="s">
        <v>175</v>
      </c>
      <c r="G3290" s="4">
        <v>42787</v>
      </c>
      <c r="H3290" s="1">
        <v>6593820</v>
      </c>
      <c r="I3290" s="1">
        <v>1619360</v>
      </c>
      <c r="J3290" s="1" t="s">
        <v>188</v>
      </c>
      <c r="K3290" s="1"/>
      <c r="L3290" s="1" t="str">
        <f t="shared" si="178"/>
        <v xml:space="preserve">Ravalen </v>
      </c>
      <c r="M3290" s="1" t="s">
        <v>211</v>
      </c>
      <c r="N3290" s="1">
        <v>1</v>
      </c>
      <c r="O3290" s="1">
        <v>1</v>
      </c>
      <c r="Q3290" s="1">
        <v>2.7</v>
      </c>
      <c r="R3290" s="1">
        <v>2</v>
      </c>
      <c r="S3290" s="1">
        <v>15</v>
      </c>
    </row>
    <row r="3291" spans="1:38" x14ac:dyDescent="0.3">
      <c r="A3291" s="1">
        <v>56000</v>
      </c>
      <c r="B3291" s="1" t="s">
        <v>254</v>
      </c>
      <c r="C3291" s="1" t="s">
        <v>231</v>
      </c>
      <c r="D3291" s="2">
        <f t="shared" si="179"/>
        <v>2017</v>
      </c>
      <c r="E3291" s="2">
        <f t="shared" si="180"/>
        <v>2</v>
      </c>
      <c r="F3291" s="3" t="s">
        <v>175</v>
      </c>
      <c r="G3291" s="4">
        <v>42787</v>
      </c>
      <c r="H3291" s="1">
        <v>6593820</v>
      </c>
      <c r="I3291" s="1">
        <v>1619360</v>
      </c>
      <c r="J3291" s="1" t="s">
        <v>188</v>
      </c>
      <c r="K3291" s="1"/>
      <c r="L3291" s="1" t="str">
        <f t="shared" si="178"/>
        <v xml:space="preserve">Ravalen </v>
      </c>
      <c r="M3291" s="1" t="s">
        <v>184</v>
      </c>
      <c r="N3291" s="1">
        <v>2</v>
      </c>
      <c r="O3291" s="1">
        <v>2</v>
      </c>
      <c r="Q3291" s="1">
        <v>3.2</v>
      </c>
      <c r="R3291" s="1">
        <v>0.5</v>
      </c>
      <c r="S3291" s="1">
        <v>4</v>
      </c>
      <c r="W3291" s="1">
        <v>137.9967</v>
      </c>
      <c r="Y3291" s="1">
        <v>8.1000000000000003E-2</v>
      </c>
      <c r="Z3291" s="1">
        <v>0.74</v>
      </c>
      <c r="AA3291" s="1">
        <v>4.9000000000000004</v>
      </c>
      <c r="AD3291" s="1">
        <v>25.85</v>
      </c>
      <c r="AK3291" s="1">
        <v>58.11</v>
      </c>
      <c r="AL3291" s="1">
        <v>1320.93</v>
      </c>
    </row>
    <row r="3292" spans="1:38" x14ac:dyDescent="0.3">
      <c r="A3292" s="1">
        <v>56002</v>
      </c>
      <c r="B3292" s="1" t="s">
        <v>254</v>
      </c>
      <c r="C3292" s="1" t="s">
        <v>231</v>
      </c>
      <c r="D3292" s="2">
        <f t="shared" si="179"/>
        <v>2017</v>
      </c>
      <c r="E3292" s="2">
        <f t="shared" si="180"/>
        <v>2</v>
      </c>
      <c r="F3292" s="3" t="s">
        <v>175</v>
      </c>
      <c r="G3292" s="4">
        <v>42787</v>
      </c>
      <c r="H3292" s="1">
        <v>6594420</v>
      </c>
      <c r="I3292" s="1">
        <v>1615795</v>
      </c>
      <c r="J3292" s="1" t="s">
        <v>193</v>
      </c>
      <c r="K3292" s="1"/>
      <c r="L3292" s="1" t="str">
        <f t="shared" si="178"/>
        <v xml:space="preserve">Översjön </v>
      </c>
      <c r="M3292" s="1" t="s">
        <v>177</v>
      </c>
      <c r="N3292" s="1">
        <v>0.5</v>
      </c>
      <c r="O3292" s="1">
        <v>0.5</v>
      </c>
      <c r="P3292" s="1">
        <v>3.8</v>
      </c>
      <c r="Q3292" s="1">
        <v>1.8</v>
      </c>
      <c r="R3292" s="1">
        <v>15</v>
      </c>
      <c r="S3292" s="1">
        <v>112</v>
      </c>
      <c r="W3292" s="1">
        <v>165.85640000000001</v>
      </c>
      <c r="Y3292" s="1">
        <v>4.2999999999999997E-2</v>
      </c>
      <c r="Z3292" s="1">
        <v>0</v>
      </c>
      <c r="AA3292" s="1">
        <v>0.93</v>
      </c>
      <c r="AD3292" s="1">
        <v>115.75</v>
      </c>
      <c r="AK3292" s="1">
        <v>20.98</v>
      </c>
      <c r="AL3292" s="1">
        <v>1117.81</v>
      </c>
    </row>
    <row r="3293" spans="1:38" x14ac:dyDescent="0.3">
      <c r="A3293" s="1">
        <v>56003</v>
      </c>
      <c r="B3293" s="1" t="s">
        <v>254</v>
      </c>
      <c r="C3293" s="1" t="s">
        <v>231</v>
      </c>
      <c r="D3293" s="2">
        <f t="shared" si="179"/>
        <v>2017</v>
      </c>
      <c r="E3293" s="2">
        <f t="shared" si="180"/>
        <v>2</v>
      </c>
      <c r="F3293" s="3" t="s">
        <v>175</v>
      </c>
      <c r="G3293" s="4">
        <v>42787</v>
      </c>
      <c r="H3293" s="1">
        <v>6594420</v>
      </c>
      <c r="I3293" s="1">
        <v>1615795</v>
      </c>
      <c r="J3293" s="1" t="s">
        <v>193</v>
      </c>
      <c r="K3293" s="1"/>
      <c r="L3293" s="1" t="str">
        <f t="shared" si="178"/>
        <v xml:space="preserve">Översjön </v>
      </c>
      <c r="M3293" s="1" t="s">
        <v>211</v>
      </c>
      <c r="N3293" s="1">
        <v>1</v>
      </c>
      <c r="O3293" s="1">
        <v>1</v>
      </c>
      <c r="Q3293" s="1">
        <v>2.4</v>
      </c>
      <c r="R3293" s="1">
        <v>14</v>
      </c>
      <c r="S3293" s="1">
        <v>106</v>
      </c>
    </row>
    <row r="3294" spans="1:38" x14ac:dyDescent="0.3">
      <c r="A3294" s="1">
        <v>56004</v>
      </c>
      <c r="B3294" s="1" t="s">
        <v>254</v>
      </c>
      <c r="C3294" s="1" t="s">
        <v>231</v>
      </c>
      <c r="D3294" s="2">
        <f t="shared" si="179"/>
        <v>2017</v>
      </c>
      <c r="E3294" s="2">
        <f t="shared" si="180"/>
        <v>2</v>
      </c>
      <c r="F3294" s="3" t="s">
        <v>175</v>
      </c>
      <c r="G3294" s="4">
        <v>42787</v>
      </c>
      <c r="H3294" s="1">
        <v>6594420</v>
      </c>
      <c r="I3294" s="1">
        <v>1615795</v>
      </c>
      <c r="J3294" s="1" t="s">
        <v>193</v>
      </c>
      <c r="K3294" s="1"/>
      <c r="L3294" s="1" t="str">
        <f t="shared" si="178"/>
        <v xml:space="preserve">Översjön </v>
      </c>
      <c r="M3294" s="1" t="s">
        <v>212</v>
      </c>
      <c r="N3294" s="1">
        <v>2</v>
      </c>
      <c r="O3294" s="1">
        <v>2</v>
      </c>
      <c r="Q3294" s="1">
        <v>3.1</v>
      </c>
      <c r="R3294" s="1">
        <v>3.2</v>
      </c>
      <c r="S3294" s="1">
        <v>25</v>
      </c>
    </row>
    <row r="3295" spans="1:38" x14ac:dyDescent="0.3">
      <c r="A3295" s="1">
        <v>56005</v>
      </c>
      <c r="B3295" s="1" t="s">
        <v>254</v>
      </c>
      <c r="C3295" s="1" t="s">
        <v>231</v>
      </c>
      <c r="D3295" s="2">
        <f t="shared" si="179"/>
        <v>2017</v>
      </c>
      <c r="E3295" s="2">
        <f t="shared" si="180"/>
        <v>2</v>
      </c>
      <c r="F3295" s="3" t="s">
        <v>175</v>
      </c>
      <c r="G3295" s="4">
        <v>42787</v>
      </c>
      <c r="H3295" s="1">
        <v>6594420</v>
      </c>
      <c r="I3295" s="1">
        <v>1615795</v>
      </c>
      <c r="J3295" s="1" t="s">
        <v>193</v>
      </c>
      <c r="K3295" s="1"/>
      <c r="L3295" s="1" t="str">
        <f t="shared" si="178"/>
        <v xml:space="preserve">Översjön </v>
      </c>
      <c r="M3295" s="1" t="s">
        <v>213</v>
      </c>
      <c r="N3295" s="1">
        <v>3</v>
      </c>
      <c r="O3295" s="1">
        <v>3</v>
      </c>
      <c r="Q3295" s="1">
        <v>3.7</v>
      </c>
      <c r="R3295" s="1">
        <v>0.4</v>
      </c>
      <c r="S3295" s="1">
        <v>3</v>
      </c>
    </row>
    <row r="3296" spans="1:38" x14ac:dyDescent="0.3">
      <c r="A3296" s="1">
        <v>56006</v>
      </c>
      <c r="B3296" s="1" t="s">
        <v>254</v>
      </c>
      <c r="C3296" s="1" t="s">
        <v>231</v>
      </c>
      <c r="D3296" s="2">
        <f t="shared" si="179"/>
        <v>2017</v>
      </c>
      <c r="E3296" s="2">
        <f t="shared" si="180"/>
        <v>2</v>
      </c>
      <c r="F3296" s="3" t="s">
        <v>175</v>
      </c>
      <c r="G3296" s="4">
        <v>42787</v>
      </c>
      <c r="H3296" s="1">
        <v>6594420</v>
      </c>
      <c r="I3296" s="1">
        <v>1615795</v>
      </c>
      <c r="J3296" s="1" t="s">
        <v>193</v>
      </c>
      <c r="K3296" s="1"/>
      <c r="L3296" s="1" t="str">
        <f t="shared" si="178"/>
        <v xml:space="preserve">Översjön </v>
      </c>
      <c r="M3296" s="1" t="s">
        <v>184</v>
      </c>
      <c r="N3296" s="1">
        <v>4</v>
      </c>
      <c r="O3296" s="1">
        <v>4</v>
      </c>
      <c r="Q3296" s="1">
        <v>4.3</v>
      </c>
      <c r="R3296" s="1">
        <v>0.3</v>
      </c>
      <c r="S3296" s="1">
        <v>2</v>
      </c>
      <c r="W3296" s="1">
        <v>472.04520000000002</v>
      </c>
      <c r="Y3296" s="1">
        <v>4.2999999999999997E-2</v>
      </c>
      <c r="Z3296" s="1">
        <v>3.75</v>
      </c>
      <c r="AA3296" s="1">
        <v>1.31</v>
      </c>
      <c r="AD3296" s="1">
        <v>151.63</v>
      </c>
      <c r="AK3296" s="1">
        <v>44.81</v>
      </c>
      <c r="AL3296" s="1">
        <v>1475.61</v>
      </c>
    </row>
    <row r="3297" spans="1:91" x14ac:dyDescent="0.3">
      <c r="A3297" s="1">
        <v>56008</v>
      </c>
      <c r="B3297" s="1" t="s">
        <v>254</v>
      </c>
      <c r="C3297" s="1" t="s">
        <v>231</v>
      </c>
      <c r="D3297" s="2">
        <f t="shared" si="179"/>
        <v>2017</v>
      </c>
      <c r="E3297" s="2">
        <f t="shared" si="180"/>
        <v>2</v>
      </c>
      <c r="F3297" s="3" t="s">
        <v>175</v>
      </c>
      <c r="G3297" s="4">
        <v>42787</v>
      </c>
      <c r="H3297" s="1">
        <v>6593820</v>
      </c>
      <c r="I3297" s="1">
        <v>1624215</v>
      </c>
      <c r="J3297" s="1" t="s">
        <v>189</v>
      </c>
      <c r="K3297" s="1"/>
      <c r="L3297" s="1" t="str">
        <f t="shared" si="178"/>
        <v xml:space="preserve">Rösjön </v>
      </c>
      <c r="M3297" s="1" t="s">
        <v>177</v>
      </c>
      <c r="N3297" s="1">
        <v>0.5</v>
      </c>
      <c r="O3297" s="1">
        <v>0.5</v>
      </c>
      <c r="P3297" s="1">
        <v>4.7</v>
      </c>
      <c r="Q3297" s="1">
        <v>2.1</v>
      </c>
      <c r="R3297" s="1">
        <v>15.4</v>
      </c>
      <c r="S3297" s="1">
        <v>113</v>
      </c>
      <c r="W3297" s="1">
        <v>14.474399999999999</v>
      </c>
      <c r="X3297" s="1">
        <v>0.17665260012587775</v>
      </c>
      <c r="Y3297" s="1">
        <v>0.03</v>
      </c>
      <c r="Z3297" s="1">
        <v>0</v>
      </c>
      <c r="AA3297" s="1">
        <v>0.97</v>
      </c>
      <c r="AD3297" s="1">
        <v>35.159999999999997</v>
      </c>
      <c r="AE3297" s="1">
        <v>8.1</v>
      </c>
      <c r="AI3297" s="1">
        <v>8.1790000000000003</v>
      </c>
      <c r="AJ3297" s="1">
        <v>7.577</v>
      </c>
      <c r="AK3297" s="1">
        <v>12.05</v>
      </c>
      <c r="AL3297" s="1">
        <v>556.97</v>
      </c>
      <c r="AR3297" s="1">
        <v>27.3</v>
      </c>
      <c r="AS3297" s="1">
        <v>2.58E-2</v>
      </c>
      <c r="AT3297" s="1">
        <v>1.82</v>
      </c>
      <c r="AU3297" s="1">
        <v>3.71</v>
      </c>
      <c r="AW3297" s="1">
        <v>13.1</v>
      </c>
      <c r="AY3297" s="1">
        <v>0.6</v>
      </c>
      <c r="AZ3297" s="1">
        <v>30.1</v>
      </c>
      <c r="BA3297" s="1">
        <v>0.72299999999999898</v>
      </c>
      <c r="BB3297" s="1">
        <v>15.4</v>
      </c>
      <c r="BC3297" s="1">
        <v>4.5799999999999903E-3</v>
      </c>
      <c r="BD3297" s="1">
        <v>2.7900000000000001E-2</v>
      </c>
      <c r="BE3297" s="1">
        <v>0.121</v>
      </c>
      <c r="BF3297" s="1">
        <v>0.75700000000000001</v>
      </c>
      <c r="BG3297" s="1">
        <v>1E-3</v>
      </c>
      <c r="BH3297" s="1">
        <v>2.4900000000000002</v>
      </c>
      <c r="BI3297" s="1">
        <v>0.61399999999999899</v>
      </c>
      <c r="BJ3297" s="1">
        <v>0.38900000000000001</v>
      </c>
      <c r="BK3297" s="1">
        <v>10.6</v>
      </c>
      <c r="BL3297" s="1">
        <v>0.17</v>
      </c>
      <c r="BM3297" s="1">
        <v>63.1</v>
      </c>
      <c r="BN3297" s="1">
        <v>0.23899999999999899</v>
      </c>
      <c r="BO3297" s="1">
        <v>1.22</v>
      </c>
      <c r="BQ3297" s="1">
        <v>5.76</v>
      </c>
      <c r="BR3297" s="6">
        <v>1E-3</v>
      </c>
      <c r="BS3297" s="1">
        <v>2.35E-2</v>
      </c>
      <c r="BT3297" s="1">
        <v>4.5999999999999902E-2</v>
      </c>
      <c r="BU3297" s="1">
        <v>0.63700000000000001</v>
      </c>
      <c r="BV3297" s="1">
        <v>0.22800000000000001</v>
      </c>
      <c r="BW3297" s="1">
        <v>0.372</v>
      </c>
      <c r="BX3297" s="1">
        <v>2.7300000000000001E-2</v>
      </c>
      <c r="BY3297" s="1">
        <v>1.49</v>
      </c>
      <c r="BZ3297" s="1">
        <v>27.7</v>
      </c>
      <c r="CA3297" s="1">
        <v>3.77</v>
      </c>
      <c r="CC3297" s="1">
        <v>5.4400000000000004E-3</v>
      </c>
      <c r="CD3297" s="1">
        <v>1.83</v>
      </c>
      <c r="CE3297" s="1">
        <v>13.3</v>
      </c>
      <c r="CF3297" s="1">
        <v>0.56599999999999895</v>
      </c>
      <c r="CG3297" s="1">
        <v>0.67600000000000005</v>
      </c>
      <c r="CH3297" s="1">
        <v>14.6</v>
      </c>
      <c r="CI3297" s="6">
        <v>1E-3</v>
      </c>
      <c r="CJ3297" s="1">
        <v>0.55100000000000005</v>
      </c>
      <c r="CK3297" s="1">
        <v>5.1100000000000003</v>
      </c>
      <c r="CL3297" s="1">
        <v>0.20599999999999899</v>
      </c>
      <c r="CM3297" s="1">
        <v>63.9</v>
      </c>
    </row>
    <row r="3298" spans="1:91" x14ac:dyDescent="0.3">
      <c r="A3298" s="1">
        <v>56009</v>
      </c>
      <c r="B3298" s="1" t="s">
        <v>254</v>
      </c>
      <c r="C3298" s="1" t="s">
        <v>231</v>
      </c>
      <c r="D3298" s="2">
        <f t="shared" si="179"/>
        <v>2017</v>
      </c>
      <c r="E3298" s="2">
        <f t="shared" si="180"/>
        <v>2</v>
      </c>
      <c r="F3298" s="3" t="s">
        <v>175</v>
      </c>
      <c r="G3298" s="4">
        <v>42787</v>
      </c>
      <c r="H3298" s="1">
        <v>6593820</v>
      </c>
      <c r="I3298" s="1">
        <v>1624215</v>
      </c>
      <c r="J3298" s="1" t="s">
        <v>189</v>
      </c>
      <c r="K3298" s="1"/>
      <c r="L3298" s="1" t="str">
        <f t="shared" si="178"/>
        <v xml:space="preserve">Rösjön </v>
      </c>
      <c r="M3298" s="1" t="s">
        <v>211</v>
      </c>
      <c r="N3298" s="1">
        <v>1</v>
      </c>
      <c r="O3298" s="1">
        <v>1</v>
      </c>
      <c r="Q3298" s="1">
        <v>2.2999999999999998</v>
      </c>
      <c r="R3298" s="1">
        <v>15.5</v>
      </c>
      <c r="S3298" s="1">
        <v>114</v>
      </c>
    </row>
    <row r="3299" spans="1:91" x14ac:dyDescent="0.3">
      <c r="A3299" s="1">
        <v>56010</v>
      </c>
      <c r="B3299" s="1" t="s">
        <v>254</v>
      </c>
      <c r="C3299" s="1" t="s">
        <v>231</v>
      </c>
      <c r="D3299" s="2">
        <f t="shared" si="179"/>
        <v>2017</v>
      </c>
      <c r="E3299" s="2">
        <f t="shared" si="180"/>
        <v>2</v>
      </c>
      <c r="F3299" s="3" t="s">
        <v>175</v>
      </c>
      <c r="G3299" s="4">
        <v>42787</v>
      </c>
      <c r="H3299" s="1">
        <v>6593820</v>
      </c>
      <c r="I3299" s="1">
        <v>1624215</v>
      </c>
      <c r="J3299" s="1" t="s">
        <v>189</v>
      </c>
      <c r="K3299" s="1"/>
      <c r="L3299" s="1" t="str">
        <f t="shared" si="178"/>
        <v xml:space="preserve">Rösjön </v>
      </c>
      <c r="M3299" s="1" t="s">
        <v>212</v>
      </c>
      <c r="N3299" s="1">
        <v>2</v>
      </c>
      <c r="O3299" s="1">
        <v>2</v>
      </c>
      <c r="Q3299" s="1">
        <v>2.8</v>
      </c>
      <c r="R3299" s="1">
        <v>14.8</v>
      </c>
      <c r="S3299" s="1">
        <v>111</v>
      </c>
    </row>
    <row r="3300" spans="1:91" x14ac:dyDescent="0.3">
      <c r="A3300" s="1">
        <v>56011</v>
      </c>
      <c r="B3300" s="1" t="s">
        <v>254</v>
      </c>
      <c r="C3300" s="1" t="s">
        <v>231</v>
      </c>
      <c r="D3300" s="2">
        <f t="shared" si="179"/>
        <v>2017</v>
      </c>
      <c r="E3300" s="2">
        <f t="shared" si="180"/>
        <v>2</v>
      </c>
      <c r="F3300" s="3" t="s">
        <v>175</v>
      </c>
      <c r="G3300" s="4">
        <v>42787</v>
      </c>
      <c r="H3300" s="1">
        <v>6593820</v>
      </c>
      <c r="I3300" s="1">
        <v>1624215</v>
      </c>
      <c r="J3300" s="1" t="s">
        <v>189</v>
      </c>
      <c r="K3300" s="1"/>
      <c r="L3300" s="1" t="str">
        <f t="shared" si="178"/>
        <v xml:space="preserve">Rösjön </v>
      </c>
      <c r="M3300" s="1" t="s">
        <v>213</v>
      </c>
      <c r="N3300" s="1">
        <v>3</v>
      </c>
      <c r="O3300" s="1">
        <v>3</v>
      </c>
      <c r="Q3300" s="1">
        <v>3.2</v>
      </c>
      <c r="R3300" s="1">
        <v>12.2</v>
      </c>
      <c r="S3300" s="1">
        <v>92</v>
      </c>
    </row>
    <row r="3301" spans="1:91" x14ac:dyDescent="0.3">
      <c r="A3301" s="1">
        <v>56012</v>
      </c>
      <c r="B3301" s="1" t="s">
        <v>254</v>
      </c>
      <c r="C3301" s="1" t="s">
        <v>231</v>
      </c>
      <c r="D3301" s="2">
        <f t="shared" si="179"/>
        <v>2017</v>
      </c>
      <c r="E3301" s="2">
        <f t="shared" si="180"/>
        <v>2</v>
      </c>
      <c r="F3301" s="3" t="s">
        <v>175</v>
      </c>
      <c r="G3301" s="4">
        <v>42787</v>
      </c>
      <c r="H3301" s="1">
        <v>6593820</v>
      </c>
      <c r="I3301" s="1">
        <v>1624215</v>
      </c>
      <c r="J3301" s="1" t="s">
        <v>189</v>
      </c>
      <c r="K3301" s="1"/>
      <c r="L3301" s="1" t="str">
        <f t="shared" si="178"/>
        <v xml:space="preserve">Rösjön </v>
      </c>
      <c r="M3301" s="1" t="s">
        <v>214</v>
      </c>
      <c r="N3301" s="1">
        <v>4</v>
      </c>
      <c r="O3301" s="1">
        <v>4</v>
      </c>
      <c r="Q3301" s="1">
        <v>4.3</v>
      </c>
      <c r="R3301" s="1">
        <v>7.4</v>
      </c>
      <c r="S3301" s="1">
        <v>57</v>
      </c>
    </row>
    <row r="3302" spans="1:91" x14ac:dyDescent="0.3">
      <c r="A3302" s="1">
        <v>56013</v>
      </c>
      <c r="B3302" s="1" t="s">
        <v>254</v>
      </c>
      <c r="C3302" s="1" t="s">
        <v>231</v>
      </c>
      <c r="D3302" s="2">
        <f t="shared" si="179"/>
        <v>2017</v>
      </c>
      <c r="E3302" s="2">
        <f t="shared" si="180"/>
        <v>2</v>
      </c>
      <c r="F3302" s="3" t="s">
        <v>175</v>
      </c>
      <c r="G3302" s="4">
        <v>42787</v>
      </c>
      <c r="H3302" s="1">
        <v>6593820</v>
      </c>
      <c r="I3302" s="1">
        <v>1624215</v>
      </c>
      <c r="J3302" s="1" t="s">
        <v>189</v>
      </c>
      <c r="K3302" s="1"/>
      <c r="L3302" s="1" t="str">
        <f t="shared" si="178"/>
        <v xml:space="preserve">Rösjön </v>
      </c>
      <c r="M3302" s="1" t="s">
        <v>217</v>
      </c>
      <c r="N3302" s="1">
        <v>5</v>
      </c>
      <c r="O3302" s="1">
        <v>5</v>
      </c>
      <c r="Q3302" s="1">
        <v>4.8</v>
      </c>
      <c r="R3302" s="1">
        <v>2.2999999999999998</v>
      </c>
      <c r="S3302" s="1">
        <v>18</v>
      </c>
    </row>
    <row r="3303" spans="1:91" x14ac:dyDescent="0.3">
      <c r="A3303" s="1">
        <v>56014</v>
      </c>
      <c r="B3303" s="1" t="s">
        <v>254</v>
      </c>
      <c r="C3303" s="1" t="s">
        <v>231</v>
      </c>
      <c r="D3303" s="2">
        <f t="shared" si="179"/>
        <v>2017</v>
      </c>
      <c r="E3303" s="2">
        <f t="shared" si="180"/>
        <v>2</v>
      </c>
      <c r="F3303" s="3" t="s">
        <v>175</v>
      </c>
      <c r="G3303" s="4">
        <v>42787</v>
      </c>
      <c r="H3303" s="1">
        <v>6593820</v>
      </c>
      <c r="I3303" s="1">
        <v>1624215</v>
      </c>
      <c r="J3303" s="1" t="s">
        <v>189</v>
      </c>
      <c r="K3303" s="1"/>
      <c r="L3303" s="1" t="str">
        <f t="shared" si="178"/>
        <v xml:space="preserve">Rösjön </v>
      </c>
      <c r="M3303" s="1" t="s">
        <v>218</v>
      </c>
      <c r="N3303" s="1">
        <v>6</v>
      </c>
      <c r="O3303" s="1">
        <v>6</v>
      </c>
      <c r="Q3303" s="1">
        <v>4.8</v>
      </c>
      <c r="R3303" s="1">
        <v>1</v>
      </c>
      <c r="S3303" s="1">
        <v>8</v>
      </c>
    </row>
    <row r="3304" spans="1:91" x14ac:dyDescent="0.3">
      <c r="A3304" s="1">
        <v>56015</v>
      </c>
      <c r="B3304" s="1" t="s">
        <v>254</v>
      </c>
      <c r="C3304" s="1" t="s">
        <v>231</v>
      </c>
      <c r="D3304" s="2">
        <f t="shared" si="179"/>
        <v>2017</v>
      </c>
      <c r="E3304" s="2">
        <f t="shared" si="180"/>
        <v>2</v>
      </c>
      <c r="F3304" s="3" t="s">
        <v>175</v>
      </c>
      <c r="G3304" s="4">
        <v>42787</v>
      </c>
      <c r="H3304" s="1">
        <v>6593820</v>
      </c>
      <c r="I3304" s="1">
        <v>1624215</v>
      </c>
      <c r="J3304" s="1" t="s">
        <v>189</v>
      </c>
      <c r="K3304" s="1"/>
      <c r="L3304" s="1" t="str">
        <f t="shared" si="178"/>
        <v xml:space="preserve">Rösjön </v>
      </c>
      <c r="M3304" s="1" t="s">
        <v>184</v>
      </c>
      <c r="N3304" s="1">
        <v>7</v>
      </c>
      <c r="O3304" s="1">
        <v>7</v>
      </c>
      <c r="Q3304" s="1">
        <v>4.9000000000000004</v>
      </c>
      <c r="R3304" s="1">
        <v>0.6</v>
      </c>
      <c r="S3304" s="1">
        <v>4</v>
      </c>
      <c r="W3304" s="1">
        <v>142.04830000000001</v>
      </c>
      <c r="Y3304" s="1">
        <v>4.8000000000000001E-2</v>
      </c>
      <c r="Z3304" s="1">
        <v>45.85</v>
      </c>
      <c r="AA3304" s="1">
        <v>3.9</v>
      </c>
      <c r="AD3304" s="1">
        <v>281.57</v>
      </c>
      <c r="AK3304" s="1">
        <v>71.86</v>
      </c>
      <c r="AL3304" s="1">
        <v>980.83</v>
      </c>
    </row>
    <row r="3305" spans="1:91" x14ac:dyDescent="0.3">
      <c r="A3305" s="1">
        <v>56017</v>
      </c>
      <c r="B3305" s="1" t="s">
        <v>254</v>
      </c>
      <c r="C3305" s="1" t="s">
        <v>231</v>
      </c>
      <c r="D3305" s="2">
        <f t="shared" si="179"/>
        <v>2017</v>
      </c>
      <c r="E3305" s="2">
        <f t="shared" si="180"/>
        <v>2</v>
      </c>
      <c r="F3305" s="3" t="s">
        <v>175</v>
      </c>
      <c r="G3305" s="4">
        <v>42787</v>
      </c>
      <c r="H3305" s="1">
        <v>6594980</v>
      </c>
      <c r="I3305" s="1">
        <v>1622960</v>
      </c>
      <c r="J3305" s="1" t="s">
        <v>192</v>
      </c>
      <c r="K3305" s="1"/>
      <c r="L3305" s="1" t="str">
        <f t="shared" si="178"/>
        <v xml:space="preserve">Väsjön </v>
      </c>
      <c r="M3305" s="1" t="s">
        <v>177</v>
      </c>
      <c r="N3305" s="1">
        <v>0.5</v>
      </c>
      <c r="O3305" s="1">
        <v>0.5</v>
      </c>
      <c r="P3305" s="1">
        <v>1.5</v>
      </c>
      <c r="Q3305" s="1">
        <v>2.4</v>
      </c>
      <c r="R3305" s="1">
        <v>8.1</v>
      </c>
      <c r="S3305" s="1">
        <v>59</v>
      </c>
      <c r="W3305" s="1">
        <v>1.2162999999999999</v>
      </c>
      <c r="X3305" s="1">
        <v>3.5191093511296734E-3</v>
      </c>
      <c r="Y3305" s="1">
        <v>8.6999999999999994E-2</v>
      </c>
      <c r="Z3305" s="1">
        <v>1.53</v>
      </c>
      <c r="AA3305" s="1">
        <v>3.8</v>
      </c>
      <c r="AD3305" s="1">
        <v>304.69</v>
      </c>
      <c r="AE3305" s="1">
        <v>7.46</v>
      </c>
      <c r="AI3305" s="1">
        <v>12.43</v>
      </c>
      <c r="AJ3305" s="1">
        <v>11.42</v>
      </c>
      <c r="AK3305" s="1">
        <v>17.52</v>
      </c>
      <c r="AL3305" s="1">
        <v>727.9</v>
      </c>
      <c r="AR3305" s="1">
        <v>49</v>
      </c>
      <c r="AS3305" s="1">
        <v>0.183</v>
      </c>
      <c r="AT3305" s="1">
        <v>3.99</v>
      </c>
      <c r="AU3305" s="1">
        <v>6.28</v>
      </c>
      <c r="AW3305" s="1">
        <v>31.6</v>
      </c>
      <c r="AY3305" s="1">
        <v>2.98</v>
      </c>
      <c r="AZ3305" s="1">
        <v>171</v>
      </c>
      <c r="BA3305" s="1">
        <v>0.69299999999999895</v>
      </c>
      <c r="BB3305" s="1">
        <v>28.7</v>
      </c>
      <c r="BC3305" s="1">
        <v>5.5100000000000001E-3</v>
      </c>
      <c r="BD3305" s="1">
        <v>0.14199999999999899</v>
      </c>
      <c r="BE3305" s="1">
        <v>0.42499999999999899</v>
      </c>
      <c r="BF3305" s="1">
        <v>1.97</v>
      </c>
      <c r="BG3305" s="1">
        <v>1E-3</v>
      </c>
      <c r="BH3305" s="1">
        <v>330</v>
      </c>
      <c r="BI3305" s="1">
        <v>1.77</v>
      </c>
      <c r="BJ3305" s="1">
        <v>0.65600000000000003</v>
      </c>
      <c r="BK3305" s="1">
        <v>13.6</v>
      </c>
      <c r="BL3305" s="1">
        <v>0.47499999999999898</v>
      </c>
      <c r="BM3305" s="1">
        <v>112</v>
      </c>
      <c r="BN3305" s="1">
        <v>0.56299999999999895</v>
      </c>
      <c r="BO3305" s="1">
        <v>3.08</v>
      </c>
      <c r="BQ3305" s="1">
        <v>16.600000000000001</v>
      </c>
      <c r="BR3305" s="1">
        <v>2.2200000000000002E-3</v>
      </c>
      <c r="BS3305" s="1">
        <v>8.70999999999999E-2</v>
      </c>
      <c r="BT3305" s="1">
        <v>0.12</v>
      </c>
      <c r="BU3305" s="1">
        <v>1.28</v>
      </c>
      <c r="BV3305" s="1">
        <v>313</v>
      </c>
      <c r="BW3305" s="1">
        <v>0.56499999999999895</v>
      </c>
      <c r="BX3305" s="1">
        <v>3.0499999999999899E-2</v>
      </c>
      <c r="BY3305" s="1">
        <v>2.08</v>
      </c>
      <c r="BZ3305" s="1">
        <v>49.8</v>
      </c>
      <c r="CA3305" s="1">
        <v>6.3</v>
      </c>
      <c r="CC3305" s="1">
        <v>2.3900000000000001E-2</v>
      </c>
      <c r="CD3305" s="1">
        <v>3.97</v>
      </c>
      <c r="CE3305" s="1">
        <v>32.1</v>
      </c>
      <c r="CF3305" s="1">
        <v>2.68</v>
      </c>
      <c r="CG3305" s="1">
        <v>0.65600000000000003</v>
      </c>
      <c r="CH3305" s="1">
        <v>26.3</v>
      </c>
      <c r="CI3305" s="6">
        <v>1E-3</v>
      </c>
      <c r="CJ3305" s="1">
        <v>1.53</v>
      </c>
      <c r="CK3305" s="1">
        <v>6.48</v>
      </c>
      <c r="CL3305" s="1">
        <v>0.24099999999999899</v>
      </c>
      <c r="CM3305" s="1">
        <v>113</v>
      </c>
    </row>
    <row r="3306" spans="1:91" x14ac:dyDescent="0.3">
      <c r="A3306" s="1">
        <v>56018</v>
      </c>
      <c r="B3306" s="1" t="s">
        <v>254</v>
      </c>
      <c r="C3306" s="1" t="s">
        <v>231</v>
      </c>
      <c r="D3306" s="2">
        <f t="shared" si="179"/>
        <v>2017</v>
      </c>
      <c r="E3306" s="2">
        <f t="shared" si="180"/>
        <v>2</v>
      </c>
      <c r="F3306" s="3" t="s">
        <v>175</v>
      </c>
      <c r="G3306" s="4">
        <v>42787</v>
      </c>
      <c r="H3306" s="1">
        <v>6594980</v>
      </c>
      <c r="I3306" s="1">
        <v>1622960</v>
      </c>
      <c r="J3306" s="1" t="s">
        <v>192</v>
      </c>
      <c r="K3306" s="1"/>
      <c r="L3306" s="1" t="str">
        <f t="shared" si="178"/>
        <v xml:space="preserve">Väsjön </v>
      </c>
      <c r="M3306" s="1" t="s">
        <v>211</v>
      </c>
      <c r="N3306" s="1">
        <v>1</v>
      </c>
      <c r="O3306" s="1">
        <v>1</v>
      </c>
      <c r="Q3306" s="1">
        <v>3.1</v>
      </c>
      <c r="R3306" s="1">
        <v>5.6</v>
      </c>
      <c r="S3306" s="1">
        <v>42</v>
      </c>
    </row>
    <row r="3307" spans="1:91" x14ac:dyDescent="0.3">
      <c r="A3307" s="1">
        <v>56019</v>
      </c>
      <c r="B3307" s="1" t="s">
        <v>254</v>
      </c>
      <c r="C3307" s="1" t="s">
        <v>231</v>
      </c>
      <c r="D3307" s="2">
        <f t="shared" si="179"/>
        <v>2017</v>
      </c>
      <c r="E3307" s="2">
        <f t="shared" si="180"/>
        <v>2</v>
      </c>
      <c r="F3307" s="3" t="s">
        <v>175</v>
      </c>
      <c r="G3307" s="4">
        <v>42787</v>
      </c>
      <c r="H3307" s="1">
        <v>6594980</v>
      </c>
      <c r="I3307" s="1">
        <v>1622960</v>
      </c>
      <c r="J3307" s="1" t="s">
        <v>192</v>
      </c>
      <c r="K3307" s="1"/>
      <c r="L3307" s="1" t="str">
        <f t="shared" si="178"/>
        <v xml:space="preserve">Väsjön </v>
      </c>
      <c r="M3307" s="1" t="s">
        <v>212</v>
      </c>
      <c r="N3307" s="1">
        <v>2</v>
      </c>
      <c r="O3307" s="1">
        <v>2</v>
      </c>
      <c r="Q3307" s="1">
        <v>4.5</v>
      </c>
      <c r="R3307" s="1">
        <v>0.6</v>
      </c>
      <c r="S3307" s="1">
        <v>5</v>
      </c>
    </row>
    <row r="3308" spans="1:91" x14ac:dyDescent="0.3">
      <c r="A3308" s="1">
        <v>56020</v>
      </c>
      <c r="B3308" s="1" t="s">
        <v>254</v>
      </c>
      <c r="C3308" s="1" t="s">
        <v>231</v>
      </c>
      <c r="D3308" s="2">
        <f t="shared" si="179"/>
        <v>2017</v>
      </c>
      <c r="E3308" s="2">
        <f t="shared" si="180"/>
        <v>2</v>
      </c>
      <c r="F3308" s="3" t="s">
        <v>175</v>
      </c>
      <c r="G3308" s="4">
        <v>42787</v>
      </c>
      <c r="H3308" s="1">
        <v>6594980</v>
      </c>
      <c r="I3308" s="1">
        <v>1622960</v>
      </c>
      <c r="J3308" s="1" t="s">
        <v>192</v>
      </c>
      <c r="K3308" s="1"/>
      <c r="L3308" s="1" t="str">
        <f t="shared" si="178"/>
        <v xml:space="preserve">Väsjön </v>
      </c>
      <c r="M3308" s="1" t="s">
        <v>184</v>
      </c>
      <c r="N3308" s="1">
        <v>2.5</v>
      </c>
      <c r="O3308" s="1">
        <v>2.5</v>
      </c>
      <c r="Q3308" s="1">
        <v>4.8</v>
      </c>
      <c r="R3308" s="1">
        <v>0.2</v>
      </c>
      <c r="S3308" s="1">
        <v>2</v>
      </c>
      <c r="W3308" s="1">
        <v>22.970800000000001</v>
      </c>
      <c r="Y3308" s="1">
        <v>8.7999999999999995E-2</v>
      </c>
      <c r="Z3308" s="1">
        <v>3.29</v>
      </c>
      <c r="AA3308" s="1">
        <v>4.5</v>
      </c>
      <c r="AD3308" s="1">
        <v>152.33000000000001</v>
      </c>
      <c r="AK3308" s="1">
        <v>23.7</v>
      </c>
      <c r="AL3308" s="1">
        <v>923.07</v>
      </c>
    </row>
    <row r="3309" spans="1:91" x14ac:dyDescent="0.3">
      <c r="A3309" s="1">
        <v>56022</v>
      </c>
      <c r="B3309" s="1" t="s">
        <v>254</v>
      </c>
      <c r="C3309" s="1" t="s">
        <v>231</v>
      </c>
      <c r="D3309" s="2">
        <f t="shared" si="179"/>
        <v>2017</v>
      </c>
      <c r="E3309" s="2">
        <f t="shared" si="180"/>
        <v>2</v>
      </c>
      <c r="F3309" s="3" t="s">
        <v>175</v>
      </c>
      <c r="G3309" s="4">
        <v>42787</v>
      </c>
      <c r="H3309" s="1">
        <v>6595470</v>
      </c>
      <c r="I3309" s="1">
        <v>1622370</v>
      </c>
      <c r="J3309" s="1" t="s">
        <v>190</v>
      </c>
      <c r="K3309" s="1"/>
      <c r="L3309" s="1" t="str">
        <f t="shared" si="178"/>
        <v xml:space="preserve">Snuggan </v>
      </c>
      <c r="M3309" s="1" t="s">
        <v>177</v>
      </c>
      <c r="N3309" s="1">
        <v>0.5</v>
      </c>
      <c r="O3309" s="1">
        <v>0.5</v>
      </c>
      <c r="P3309" s="1">
        <v>0.8</v>
      </c>
      <c r="Q3309" s="1">
        <v>0.9</v>
      </c>
      <c r="R3309" s="1">
        <v>10.6</v>
      </c>
      <c r="S3309" s="1">
        <v>78</v>
      </c>
      <c r="W3309" s="1">
        <v>339.95740000000001</v>
      </c>
      <c r="Y3309" s="1">
        <v>0.51200000000000001</v>
      </c>
      <c r="Z3309" s="1">
        <v>0</v>
      </c>
      <c r="AA3309" s="1">
        <v>2.4</v>
      </c>
      <c r="AD3309" s="1">
        <v>48.89</v>
      </c>
      <c r="AK3309" s="1">
        <v>24.43</v>
      </c>
      <c r="AL3309" s="1">
        <v>1427.1</v>
      </c>
    </row>
    <row r="3310" spans="1:91" x14ac:dyDescent="0.3">
      <c r="A3310" s="1">
        <v>56023</v>
      </c>
      <c r="B3310" s="1" t="s">
        <v>254</v>
      </c>
      <c r="C3310" s="1" t="s">
        <v>231</v>
      </c>
      <c r="D3310" s="2">
        <f t="shared" si="179"/>
        <v>2017</v>
      </c>
      <c r="E3310" s="2">
        <f t="shared" si="180"/>
        <v>2</v>
      </c>
      <c r="F3310" s="3" t="s">
        <v>175</v>
      </c>
      <c r="G3310" s="4">
        <v>42787</v>
      </c>
      <c r="H3310" s="1">
        <v>6595470</v>
      </c>
      <c r="I3310" s="1">
        <v>1622370</v>
      </c>
      <c r="J3310" s="1" t="s">
        <v>190</v>
      </c>
      <c r="K3310" s="1"/>
      <c r="L3310" s="1" t="str">
        <f t="shared" si="178"/>
        <v xml:space="preserve">Snuggan </v>
      </c>
      <c r="M3310" s="1" t="s">
        <v>211</v>
      </c>
      <c r="N3310" s="1">
        <v>1</v>
      </c>
      <c r="O3310" s="1">
        <v>1</v>
      </c>
      <c r="Q3310" s="1">
        <v>2</v>
      </c>
      <c r="R3310" s="1">
        <v>8.1999999999999993</v>
      </c>
      <c r="S3310" s="1">
        <v>62</v>
      </c>
    </row>
    <row r="3311" spans="1:91" x14ac:dyDescent="0.3">
      <c r="A3311" s="1">
        <v>56024</v>
      </c>
      <c r="B3311" s="1" t="s">
        <v>254</v>
      </c>
      <c r="C3311" s="1" t="s">
        <v>231</v>
      </c>
      <c r="D3311" s="2">
        <f t="shared" si="179"/>
        <v>2017</v>
      </c>
      <c r="E3311" s="2">
        <f t="shared" si="180"/>
        <v>2</v>
      </c>
      <c r="F3311" s="3" t="s">
        <v>175</v>
      </c>
      <c r="G3311" s="4">
        <v>42787</v>
      </c>
      <c r="H3311" s="1">
        <v>6595470</v>
      </c>
      <c r="I3311" s="1">
        <v>1622370</v>
      </c>
      <c r="J3311" s="1" t="s">
        <v>190</v>
      </c>
      <c r="K3311" s="1"/>
      <c r="L3311" s="1" t="str">
        <f t="shared" si="178"/>
        <v xml:space="preserve">Snuggan </v>
      </c>
      <c r="M3311" s="1" t="s">
        <v>212</v>
      </c>
      <c r="N3311" s="1">
        <v>2</v>
      </c>
      <c r="O3311" s="1">
        <v>2</v>
      </c>
      <c r="Q3311" s="1">
        <v>3</v>
      </c>
      <c r="R3311" s="1">
        <v>3.8</v>
      </c>
      <c r="S3311" s="1">
        <v>30</v>
      </c>
    </row>
    <row r="3312" spans="1:91" x14ac:dyDescent="0.3">
      <c r="A3312" s="1">
        <v>56025</v>
      </c>
      <c r="B3312" s="1" t="s">
        <v>254</v>
      </c>
      <c r="C3312" s="1" t="s">
        <v>231</v>
      </c>
      <c r="D3312" s="2">
        <f t="shared" si="179"/>
        <v>2017</v>
      </c>
      <c r="E3312" s="2">
        <f t="shared" si="180"/>
        <v>2</v>
      </c>
      <c r="F3312" s="3" t="s">
        <v>175</v>
      </c>
      <c r="G3312" s="4">
        <v>42787</v>
      </c>
      <c r="H3312" s="1">
        <v>6595470</v>
      </c>
      <c r="I3312" s="1">
        <v>1622370</v>
      </c>
      <c r="J3312" s="1" t="s">
        <v>190</v>
      </c>
      <c r="K3312" s="1"/>
      <c r="L3312" s="1" t="str">
        <f t="shared" si="178"/>
        <v xml:space="preserve">Snuggan </v>
      </c>
      <c r="M3312" s="1" t="s">
        <v>184</v>
      </c>
      <c r="N3312" s="1">
        <v>3</v>
      </c>
      <c r="O3312" s="1">
        <v>3</v>
      </c>
      <c r="Q3312" s="1">
        <v>3.8</v>
      </c>
      <c r="R3312" s="1">
        <v>1</v>
      </c>
      <c r="S3312" s="1">
        <v>8</v>
      </c>
      <c r="W3312" s="1">
        <v>364.21420000000001</v>
      </c>
      <c r="Y3312" s="1">
        <v>0.56399999999999995</v>
      </c>
      <c r="Z3312" s="1">
        <v>0</v>
      </c>
      <c r="AA3312" s="1">
        <v>1.86</v>
      </c>
      <c r="AD3312" s="1">
        <v>32.85</v>
      </c>
      <c r="AK3312" s="1">
        <v>21.11</v>
      </c>
      <c r="AL3312" s="1">
        <v>1415.09</v>
      </c>
    </row>
    <row r="3313" spans="1:38" x14ac:dyDescent="0.3">
      <c r="A3313" s="1">
        <v>56027</v>
      </c>
      <c r="B3313" s="1" t="s">
        <v>254</v>
      </c>
      <c r="C3313" s="1" t="s">
        <v>231</v>
      </c>
      <c r="D3313" s="2">
        <f t="shared" si="179"/>
        <v>2017</v>
      </c>
      <c r="E3313" s="2">
        <f t="shared" si="180"/>
        <v>2</v>
      </c>
      <c r="F3313" s="3" t="s">
        <v>175</v>
      </c>
      <c r="G3313" s="4">
        <v>42787</v>
      </c>
      <c r="H3313" s="1">
        <v>6597555</v>
      </c>
      <c r="I3313" s="1">
        <v>1629125</v>
      </c>
      <c r="J3313" s="1" t="s">
        <v>185</v>
      </c>
      <c r="K3313" s="1"/>
      <c r="L3313" s="1" t="str">
        <f t="shared" si="178"/>
        <v xml:space="preserve">Gullsjön </v>
      </c>
      <c r="M3313" s="1" t="s">
        <v>177</v>
      </c>
      <c r="N3313" s="1">
        <v>0.5</v>
      </c>
      <c r="O3313" s="1">
        <v>0.5</v>
      </c>
      <c r="P3313" s="1">
        <v>1.8</v>
      </c>
      <c r="Q3313" s="1">
        <v>1.6</v>
      </c>
      <c r="R3313" s="1">
        <v>3</v>
      </c>
      <c r="S3313" s="1">
        <v>22</v>
      </c>
      <c r="W3313" s="1">
        <v>5.1332000000000004</v>
      </c>
      <c r="Y3313" s="1">
        <v>0.122</v>
      </c>
      <c r="Z3313" s="1">
        <v>0.26</v>
      </c>
      <c r="AA3313" s="1">
        <v>2.5</v>
      </c>
      <c r="AD3313" s="1">
        <v>18.73</v>
      </c>
      <c r="AK3313" s="1">
        <v>19.88</v>
      </c>
      <c r="AL3313" s="1">
        <v>666.35</v>
      </c>
    </row>
    <row r="3314" spans="1:38" x14ac:dyDescent="0.3">
      <c r="A3314" s="1">
        <v>56028</v>
      </c>
      <c r="B3314" s="1" t="s">
        <v>254</v>
      </c>
      <c r="C3314" s="1" t="s">
        <v>231</v>
      </c>
      <c r="D3314" s="2">
        <f t="shared" si="179"/>
        <v>2017</v>
      </c>
      <c r="E3314" s="2">
        <f t="shared" si="180"/>
        <v>2</v>
      </c>
      <c r="F3314" s="3" t="s">
        <v>175</v>
      </c>
      <c r="G3314" s="4">
        <v>42787</v>
      </c>
      <c r="H3314" s="1">
        <v>6597555</v>
      </c>
      <c r="I3314" s="1">
        <v>1629125</v>
      </c>
      <c r="J3314" s="1" t="s">
        <v>185</v>
      </c>
      <c r="K3314" s="1"/>
      <c r="L3314" s="1" t="str">
        <f t="shared" si="178"/>
        <v xml:space="preserve">Gullsjön </v>
      </c>
      <c r="M3314" s="1" t="s">
        <v>211</v>
      </c>
      <c r="N3314" s="1">
        <v>1</v>
      </c>
      <c r="O3314" s="1">
        <v>1</v>
      </c>
      <c r="Q3314" s="1">
        <v>2.7</v>
      </c>
      <c r="R3314" s="1">
        <v>0.6</v>
      </c>
      <c r="S3314" s="1">
        <v>5</v>
      </c>
    </row>
    <row r="3315" spans="1:38" x14ac:dyDescent="0.3">
      <c r="A3315" s="1">
        <v>56029</v>
      </c>
      <c r="B3315" s="1" t="s">
        <v>254</v>
      </c>
      <c r="C3315" s="1" t="s">
        <v>231</v>
      </c>
      <c r="D3315" s="2">
        <f t="shared" si="179"/>
        <v>2017</v>
      </c>
      <c r="E3315" s="2">
        <f t="shared" si="180"/>
        <v>2</v>
      </c>
      <c r="F3315" s="3" t="s">
        <v>175</v>
      </c>
      <c r="G3315" s="4">
        <v>42787</v>
      </c>
      <c r="H3315" s="1">
        <v>6597555</v>
      </c>
      <c r="I3315" s="1">
        <v>1629125</v>
      </c>
      <c r="J3315" s="1" t="s">
        <v>185</v>
      </c>
      <c r="K3315" s="1"/>
      <c r="L3315" s="1" t="str">
        <f t="shared" si="178"/>
        <v xml:space="preserve">Gullsjön </v>
      </c>
      <c r="M3315" s="1" t="s">
        <v>184</v>
      </c>
      <c r="N3315" s="1">
        <v>2</v>
      </c>
      <c r="O3315" s="1">
        <v>2</v>
      </c>
      <c r="Q3315" s="1">
        <v>3.7</v>
      </c>
      <c r="R3315" s="1">
        <v>0.1</v>
      </c>
      <c r="S3315" s="1">
        <v>1</v>
      </c>
      <c r="W3315" s="1">
        <v>11.9764</v>
      </c>
      <c r="Y3315" s="1">
        <v>0.13300000000000001</v>
      </c>
      <c r="Z3315" s="1">
        <v>0.26</v>
      </c>
      <c r="AA3315" s="1">
        <v>2.5</v>
      </c>
      <c r="AD3315" s="1">
        <v>8.2200000000000006</v>
      </c>
      <c r="AK3315" s="1">
        <v>21.82</v>
      </c>
      <c r="AL3315" s="1">
        <v>766.47</v>
      </c>
    </row>
    <row r="3316" spans="1:38" x14ac:dyDescent="0.3">
      <c r="A3316" s="1">
        <v>56031</v>
      </c>
      <c r="B3316" s="1" t="s">
        <v>254</v>
      </c>
      <c r="C3316" s="1" t="s">
        <v>231</v>
      </c>
      <c r="D3316" s="2">
        <f t="shared" si="179"/>
        <v>2017</v>
      </c>
      <c r="E3316" s="2">
        <f t="shared" si="180"/>
        <v>2</v>
      </c>
      <c r="F3316" s="3" t="s">
        <v>175</v>
      </c>
      <c r="G3316" s="4">
        <v>42787</v>
      </c>
      <c r="H3316" s="1">
        <v>6595515</v>
      </c>
      <c r="I3316" s="1">
        <v>1624630</v>
      </c>
      <c r="J3316" s="1" t="s">
        <v>207</v>
      </c>
      <c r="K3316" s="1"/>
      <c r="L3316" s="1" t="str">
        <f t="shared" si="178"/>
        <v xml:space="preserve">Käringsjön </v>
      </c>
      <c r="M3316" s="1" t="s">
        <v>177</v>
      </c>
      <c r="N3316" s="1">
        <v>0.5</v>
      </c>
      <c r="O3316" s="1">
        <v>1</v>
      </c>
      <c r="P3316" s="1">
        <v>1.4</v>
      </c>
      <c r="Q3316" s="1">
        <v>1.5</v>
      </c>
      <c r="R3316" s="1">
        <v>8.5</v>
      </c>
      <c r="S3316" s="1">
        <v>62</v>
      </c>
      <c r="W3316" s="1">
        <v>0</v>
      </c>
      <c r="Y3316" s="1">
        <v>0.42499999999999999</v>
      </c>
      <c r="Z3316" s="1">
        <v>6.07</v>
      </c>
      <c r="AA3316" s="1">
        <v>1.05</v>
      </c>
      <c r="AD3316" s="1">
        <v>149.63999999999999</v>
      </c>
      <c r="AK3316" s="1">
        <v>20.91</v>
      </c>
      <c r="AL3316" s="1">
        <v>1114.3699999999999</v>
      </c>
    </row>
    <row r="3317" spans="1:38" x14ac:dyDescent="0.3">
      <c r="A3317" s="1">
        <v>56032</v>
      </c>
      <c r="B3317" s="1" t="s">
        <v>254</v>
      </c>
      <c r="C3317" s="1" t="s">
        <v>231</v>
      </c>
      <c r="D3317" s="2">
        <f t="shared" si="179"/>
        <v>2017</v>
      </c>
      <c r="E3317" s="2">
        <f t="shared" si="180"/>
        <v>2</v>
      </c>
      <c r="F3317" s="3" t="s">
        <v>175</v>
      </c>
      <c r="G3317" s="4">
        <v>42787</v>
      </c>
      <c r="H3317" s="1">
        <v>6595515</v>
      </c>
      <c r="I3317" s="1">
        <v>1624630</v>
      </c>
      <c r="J3317" s="1" t="s">
        <v>207</v>
      </c>
      <c r="K3317" s="1"/>
      <c r="L3317" s="1" t="str">
        <f t="shared" si="178"/>
        <v xml:space="preserve">Käringsjön </v>
      </c>
      <c r="M3317" s="1" t="s">
        <v>211</v>
      </c>
      <c r="N3317" s="1">
        <v>1</v>
      </c>
      <c r="O3317" s="1">
        <v>1</v>
      </c>
      <c r="Q3317" s="1">
        <v>2.1</v>
      </c>
      <c r="R3317" s="1">
        <v>8.3000000000000007</v>
      </c>
      <c r="S3317" s="1">
        <v>61</v>
      </c>
    </row>
    <row r="3318" spans="1:38" x14ac:dyDescent="0.3">
      <c r="A3318" s="1">
        <v>56033</v>
      </c>
      <c r="B3318" s="1" t="s">
        <v>254</v>
      </c>
      <c r="C3318" s="1" t="s">
        <v>231</v>
      </c>
      <c r="D3318" s="2">
        <f t="shared" si="179"/>
        <v>2017</v>
      </c>
      <c r="E3318" s="2">
        <f t="shared" si="180"/>
        <v>2</v>
      </c>
      <c r="F3318" s="3" t="s">
        <v>175</v>
      </c>
      <c r="G3318" s="4">
        <v>42787</v>
      </c>
      <c r="H3318" s="1">
        <v>6595515</v>
      </c>
      <c r="I3318" s="1">
        <v>1624630</v>
      </c>
      <c r="J3318" s="1" t="s">
        <v>207</v>
      </c>
      <c r="K3318" s="1"/>
      <c r="L3318" s="1" t="str">
        <f t="shared" si="178"/>
        <v xml:space="preserve">Käringsjön </v>
      </c>
      <c r="M3318" s="1" t="s">
        <v>212</v>
      </c>
      <c r="N3318" s="1">
        <v>2</v>
      </c>
      <c r="O3318" s="1">
        <v>2</v>
      </c>
      <c r="Q3318" s="1">
        <v>2.6</v>
      </c>
      <c r="R3318" s="1">
        <v>4.5</v>
      </c>
      <c r="S3318" s="1">
        <v>34</v>
      </c>
    </row>
    <row r="3319" spans="1:38" x14ac:dyDescent="0.3">
      <c r="A3319" s="1">
        <v>56034</v>
      </c>
      <c r="B3319" s="1" t="s">
        <v>254</v>
      </c>
      <c r="C3319" s="1" t="s">
        <v>231</v>
      </c>
      <c r="D3319" s="2">
        <f t="shared" si="179"/>
        <v>2017</v>
      </c>
      <c r="E3319" s="2">
        <f t="shared" si="180"/>
        <v>2</v>
      </c>
      <c r="F3319" s="3" t="s">
        <v>175</v>
      </c>
      <c r="G3319" s="4">
        <v>42787</v>
      </c>
      <c r="H3319" s="1">
        <v>6595515</v>
      </c>
      <c r="I3319" s="1">
        <v>1624630</v>
      </c>
      <c r="J3319" s="1" t="s">
        <v>207</v>
      </c>
      <c r="K3319" s="1"/>
      <c r="L3319" s="1" t="str">
        <f t="shared" si="178"/>
        <v xml:space="preserve">Käringsjön </v>
      </c>
      <c r="M3319" s="1" t="s">
        <v>213</v>
      </c>
      <c r="N3319" s="1">
        <v>3</v>
      </c>
      <c r="O3319" s="1">
        <v>3</v>
      </c>
      <c r="Q3319" s="1">
        <v>3.1</v>
      </c>
      <c r="R3319" s="1">
        <v>1</v>
      </c>
      <c r="S3319" s="1">
        <v>7</v>
      </c>
    </row>
    <row r="3320" spans="1:38" x14ac:dyDescent="0.3">
      <c r="A3320" s="1">
        <v>56035</v>
      </c>
      <c r="B3320" s="1" t="s">
        <v>254</v>
      </c>
      <c r="C3320" s="1" t="s">
        <v>231</v>
      </c>
      <c r="D3320" s="2">
        <f t="shared" si="179"/>
        <v>2017</v>
      </c>
      <c r="E3320" s="2">
        <f t="shared" si="180"/>
        <v>2</v>
      </c>
      <c r="F3320" s="3" t="s">
        <v>175</v>
      </c>
      <c r="G3320" s="4">
        <v>42787</v>
      </c>
      <c r="H3320" s="1">
        <v>6595515</v>
      </c>
      <c r="I3320" s="1">
        <v>1624630</v>
      </c>
      <c r="J3320" s="1" t="s">
        <v>207</v>
      </c>
      <c r="K3320" s="1"/>
      <c r="L3320" s="1" t="str">
        <f t="shared" si="178"/>
        <v xml:space="preserve">Käringsjön </v>
      </c>
      <c r="M3320" s="1" t="s">
        <v>184</v>
      </c>
      <c r="N3320" s="1">
        <v>4</v>
      </c>
      <c r="O3320" s="1">
        <v>4</v>
      </c>
      <c r="Q3320" s="1">
        <v>3.6</v>
      </c>
      <c r="R3320" s="1">
        <v>0.2</v>
      </c>
      <c r="S3320" s="1">
        <v>2</v>
      </c>
      <c r="W3320" s="1">
        <v>0.4405</v>
      </c>
      <c r="Y3320" s="1">
        <v>0.47199999999999998</v>
      </c>
      <c r="Z3320" s="1">
        <v>5.9</v>
      </c>
      <c r="AA3320" s="1">
        <v>1.71</v>
      </c>
      <c r="AD3320" s="1">
        <v>156.05000000000001</v>
      </c>
      <c r="AK3320" s="1">
        <v>20.29</v>
      </c>
      <c r="AL3320" s="1">
        <v>1176.6500000000001</v>
      </c>
    </row>
    <row r="3321" spans="1:38" x14ac:dyDescent="0.3">
      <c r="A3321" s="1">
        <v>56037</v>
      </c>
      <c r="B3321" s="1" t="s">
        <v>254</v>
      </c>
      <c r="C3321" s="1" t="s">
        <v>231</v>
      </c>
      <c r="D3321" s="2">
        <f t="shared" si="179"/>
        <v>2017</v>
      </c>
      <c r="E3321" s="2">
        <f t="shared" si="180"/>
        <v>2</v>
      </c>
      <c r="F3321" s="3" t="s">
        <v>175</v>
      </c>
      <c r="G3321" s="4">
        <v>42787</v>
      </c>
      <c r="H3321" s="1">
        <v>6594430</v>
      </c>
      <c r="I3321" s="1">
        <v>1625370</v>
      </c>
      <c r="J3321" s="1" t="s">
        <v>201</v>
      </c>
      <c r="K3321" s="1"/>
      <c r="L3321" s="1" t="str">
        <f t="shared" si="178"/>
        <v xml:space="preserve">Mörtsjön </v>
      </c>
      <c r="M3321" s="1" t="s">
        <v>177</v>
      </c>
      <c r="N3321" s="1">
        <v>0.5</v>
      </c>
      <c r="O3321" s="1">
        <v>0.5</v>
      </c>
      <c r="P3321" s="1">
        <v>3</v>
      </c>
      <c r="Q3321" s="1">
        <v>2.4</v>
      </c>
      <c r="R3321" s="1">
        <v>7.8</v>
      </c>
      <c r="S3321" s="1">
        <v>57</v>
      </c>
      <c r="W3321" s="1">
        <v>0</v>
      </c>
      <c r="Y3321" s="1">
        <v>0.17199999999999999</v>
      </c>
      <c r="Z3321" s="1">
        <v>0</v>
      </c>
      <c r="AA3321" s="1">
        <v>1.05</v>
      </c>
      <c r="AD3321" s="1">
        <v>677.47</v>
      </c>
      <c r="AK3321" s="1">
        <v>22.99</v>
      </c>
      <c r="AL3321" s="1">
        <v>1422.59</v>
      </c>
    </row>
    <row r="3322" spans="1:38" x14ac:dyDescent="0.3">
      <c r="A3322" s="1">
        <v>56038</v>
      </c>
      <c r="B3322" s="1" t="s">
        <v>254</v>
      </c>
      <c r="C3322" s="1" t="s">
        <v>231</v>
      </c>
      <c r="D3322" s="2">
        <f t="shared" si="179"/>
        <v>2017</v>
      </c>
      <c r="E3322" s="2">
        <f t="shared" si="180"/>
        <v>2</v>
      </c>
      <c r="F3322" s="3" t="s">
        <v>175</v>
      </c>
      <c r="G3322" s="4">
        <v>42787</v>
      </c>
      <c r="H3322" s="1">
        <v>6594430</v>
      </c>
      <c r="I3322" s="1">
        <v>1625370</v>
      </c>
      <c r="J3322" s="1" t="s">
        <v>201</v>
      </c>
      <c r="K3322" s="1"/>
      <c r="L3322" s="1" t="str">
        <f t="shared" si="178"/>
        <v xml:space="preserve">Mörtsjön </v>
      </c>
      <c r="M3322" s="1" t="s">
        <v>211</v>
      </c>
      <c r="N3322" s="1">
        <v>1</v>
      </c>
      <c r="O3322" s="1">
        <v>1</v>
      </c>
      <c r="Q3322" s="1">
        <v>3.1</v>
      </c>
      <c r="R3322" s="1">
        <v>5.9</v>
      </c>
      <c r="S3322" s="1">
        <v>45</v>
      </c>
    </row>
    <row r="3323" spans="1:38" x14ac:dyDescent="0.3">
      <c r="A3323" s="1">
        <v>56039</v>
      </c>
      <c r="B3323" s="1" t="s">
        <v>254</v>
      </c>
      <c r="C3323" s="1" t="s">
        <v>231</v>
      </c>
      <c r="D3323" s="2">
        <f t="shared" si="179"/>
        <v>2017</v>
      </c>
      <c r="E3323" s="2">
        <f t="shared" si="180"/>
        <v>2</v>
      </c>
      <c r="F3323" s="3" t="s">
        <v>175</v>
      </c>
      <c r="G3323" s="4">
        <v>42787</v>
      </c>
      <c r="H3323" s="1">
        <v>6594430</v>
      </c>
      <c r="I3323" s="1">
        <v>1625370</v>
      </c>
      <c r="J3323" s="1" t="s">
        <v>201</v>
      </c>
      <c r="K3323" s="1"/>
      <c r="L3323" s="1" t="str">
        <f t="shared" si="178"/>
        <v xml:space="preserve">Mörtsjön </v>
      </c>
      <c r="M3323" s="1" t="s">
        <v>212</v>
      </c>
      <c r="N3323" s="1">
        <v>2</v>
      </c>
      <c r="O3323" s="1">
        <v>2</v>
      </c>
      <c r="Q3323" s="1">
        <v>4.5</v>
      </c>
      <c r="R3323" s="1">
        <v>1</v>
      </c>
      <c r="S3323" s="1">
        <v>8</v>
      </c>
    </row>
    <row r="3324" spans="1:38" x14ac:dyDescent="0.3">
      <c r="A3324" s="1">
        <v>56040</v>
      </c>
      <c r="B3324" s="1" t="s">
        <v>254</v>
      </c>
      <c r="C3324" s="1" t="s">
        <v>231</v>
      </c>
      <c r="D3324" s="2">
        <f t="shared" si="179"/>
        <v>2017</v>
      </c>
      <c r="E3324" s="2">
        <f t="shared" si="180"/>
        <v>2</v>
      </c>
      <c r="F3324" s="3" t="s">
        <v>175</v>
      </c>
      <c r="G3324" s="4">
        <v>42787</v>
      </c>
      <c r="H3324" s="1">
        <v>6594430</v>
      </c>
      <c r="I3324" s="1">
        <v>1625370</v>
      </c>
      <c r="J3324" s="1" t="s">
        <v>201</v>
      </c>
      <c r="K3324" s="1"/>
      <c r="L3324" s="1" t="str">
        <f t="shared" si="178"/>
        <v xml:space="preserve">Mörtsjön </v>
      </c>
      <c r="M3324" s="1" t="s">
        <v>213</v>
      </c>
      <c r="N3324" s="1">
        <v>3</v>
      </c>
      <c r="O3324" s="1">
        <v>3</v>
      </c>
      <c r="Q3324" s="1">
        <v>4.7</v>
      </c>
      <c r="R3324" s="1">
        <v>0.4</v>
      </c>
      <c r="S3324" s="1">
        <v>3</v>
      </c>
    </row>
    <row r="3325" spans="1:38" x14ac:dyDescent="0.3">
      <c r="A3325" s="1">
        <v>56041</v>
      </c>
      <c r="B3325" s="1" t="s">
        <v>254</v>
      </c>
      <c r="C3325" s="1" t="s">
        <v>231</v>
      </c>
      <c r="D3325" s="2">
        <f t="shared" si="179"/>
        <v>2017</v>
      </c>
      <c r="E3325" s="2">
        <f t="shared" si="180"/>
        <v>2</v>
      </c>
      <c r="F3325" s="3" t="s">
        <v>175</v>
      </c>
      <c r="G3325" s="4">
        <v>42787</v>
      </c>
      <c r="H3325" s="1">
        <v>6594430</v>
      </c>
      <c r="I3325" s="1">
        <v>1625370</v>
      </c>
      <c r="J3325" s="1" t="s">
        <v>201</v>
      </c>
      <c r="K3325" s="1"/>
      <c r="L3325" s="1" t="str">
        <f t="shared" si="178"/>
        <v xml:space="preserve">Mörtsjön </v>
      </c>
      <c r="M3325" s="1" t="s">
        <v>184</v>
      </c>
      <c r="N3325" s="1">
        <v>4</v>
      </c>
      <c r="O3325" s="1">
        <v>4</v>
      </c>
      <c r="Q3325" s="1">
        <v>4.9000000000000004</v>
      </c>
      <c r="R3325" s="1">
        <v>0.3</v>
      </c>
      <c r="S3325" s="1">
        <v>3</v>
      </c>
      <c r="W3325" s="1">
        <v>62.930999999999997</v>
      </c>
      <c r="Y3325" s="1">
        <v>0.13200000000000001</v>
      </c>
      <c r="Z3325" s="1">
        <v>13.54</v>
      </c>
      <c r="AA3325" s="1">
        <v>3.5</v>
      </c>
      <c r="AD3325" s="1">
        <v>854.31</v>
      </c>
      <c r="AK3325" s="1">
        <v>32.71</v>
      </c>
      <c r="AL3325" s="1">
        <v>1530.89</v>
      </c>
    </row>
    <row r="3326" spans="1:38" x14ac:dyDescent="0.3">
      <c r="A3326" s="1">
        <v>56043</v>
      </c>
      <c r="B3326" s="1" t="s">
        <v>254</v>
      </c>
      <c r="C3326" s="1" t="s">
        <v>231</v>
      </c>
      <c r="D3326" s="2">
        <f t="shared" si="179"/>
        <v>2017</v>
      </c>
      <c r="E3326" s="2">
        <f t="shared" si="180"/>
        <v>2</v>
      </c>
      <c r="F3326" s="3" t="s">
        <v>175</v>
      </c>
      <c r="G3326" s="4">
        <v>42787</v>
      </c>
      <c r="H3326" s="1">
        <v>6599245</v>
      </c>
      <c r="I3326" s="1">
        <v>1622345</v>
      </c>
      <c r="J3326" s="1" t="s">
        <v>186</v>
      </c>
      <c r="K3326" s="1" t="s">
        <v>211</v>
      </c>
      <c r="L3326" s="1" t="str">
        <f t="shared" ref="L3326:L3389" si="181">CONCATENATE(J3326," ",K3326)</f>
        <v>Norrviken 1</v>
      </c>
      <c r="M3326" s="1" t="s">
        <v>177</v>
      </c>
      <c r="N3326" s="1">
        <v>0.5</v>
      </c>
      <c r="O3326" s="1">
        <v>0.5</v>
      </c>
      <c r="P3326" s="1">
        <v>1.6</v>
      </c>
      <c r="Q3326" s="1">
        <v>1.4</v>
      </c>
      <c r="R3326" s="1">
        <v>11.9</v>
      </c>
      <c r="S3326" s="1">
        <v>87</v>
      </c>
      <c r="W3326" s="1">
        <v>227.59970000000001</v>
      </c>
      <c r="Y3326" s="1">
        <v>6.3E-2</v>
      </c>
      <c r="Z3326" s="1">
        <v>3.25</v>
      </c>
      <c r="AA3326" s="1">
        <v>4.2</v>
      </c>
      <c r="AD3326" s="1">
        <v>357.63</v>
      </c>
      <c r="AK3326" s="1">
        <v>31.79</v>
      </c>
      <c r="AL3326" s="1">
        <v>1430.15</v>
      </c>
    </row>
    <row r="3327" spans="1:38" x14ac:dyDescent="0.3">
      <c r="A3327" s="1">
        <v>56044</v>
      </c>
      <c r="B3327" s="1" t="s">
        <v>254</v>
      </c>
      <c r="C3327" s="1" t="s">
        <v>231</v>
      </c>
      <c r="D3327" s="2">
        <f t="shared" si="179"/>
        <v>2017</v>
      </c>
      <c r="E3327" s="2">
        <f t="shared" si="180"/>
        <v>2</v>
      </c>
      <c r="F3327" s="3" t="s">
        <v>175</v>
      </c>
      <c r="G3327" s="4">
        <v>42787</v>
      </c>
      <c r="H3327" s="1">
        <v>6599245</v>
      </c>
      <c r="I3327" s="1">
        <v>1622345</v>
      </c>
      <c r="J3327" s="1" t="s">
        <v>186</v>
      </c>
      <c r="K3327" s="1" t="s">
        <v>211</v>
      </c>
      <c r="L3327" s="1" t="str">
        <f t="shared" si="181"/>
        <v>Norrviken 1</v>
      </c>
      <c r="M3327" s="1" t="s">
        <v>211</v>
      </c>
      <c r="N3327" s="1">
        <v>1</v>
      </c>
      <c r="O3327" s="1">
        <v>1</v>
      </c>
      <c r="Q3327" s="1">
        <v>1.9</v>
      </c>
      <c r="R3327" s="1">
        <v>11.7</v>
      </c>
      <c r="S3327" s="1">
        <v>87</v>
      </c>
    </row>
    <row r="3328" spans="1:38" x14ac:dyDescent="0.3">
      <c r="A3328" s="1">
        <v>56045</v>
      </c>
      <c r="B3328" s="1" t="s">
        <v>254</v>
      </c>
      <c r="C3328" s="1" t="s">
        <v>231</v>
      </c>
      <c r="D3328" s="2">
        <f t="shared" si="179"/>
        <v>2017</v>
      </c>
      <c r="E3328" s="2">
        <f t="shared" si="180"/>
        <v>2</v>
      </c>
      <c r="F3328" s="3" t="s">
        <v>175</v>
      </c>
      <c r="G3328" s="4">
        <v>42787</v>
      </c>
      <c r="H3328" s="1">
        <v>6599245</v>
      </c>
      <c r="I3328" s="1">
        <v>1622345</v>
      </c>
      <c r="J3328" s="1" t="s">
        <v>186</v>
      </c>
      <c r="K3328" s="1" t="s">
        <v>211</v>
      </c>
      <c r="L3328" s="1" t="str">
        <f t="shared" si="181"/>
        <v>Norrviken 1</v>
      </c>
      <c r="M3328" s="1" t="s">
        <v>212</v>
      </c>
      <c r="N3328" s="1">
        <v>2</v>
      </c>
      <c r="O3328" s="1">
        <v>2</v>
      </c>
      <c r="Q3328" s="1">
        <v>2.1</v>
      </c>
      <c r="R3328" s="1">
        <v>9.6</v>
      </c>
      <c r="S3328" s="1">
        <v>72</v>
      </c>
    </row>
    <row r="3329" spans="1:38" x14ac:dyDescent="0.3">
      <c r="A3329" s="1">
        <v>56046</v>
      </c>
      <c r="B3329" s="1" t="s">
        <v>254</v>
      </c>
      <c r="C3329" s="1" t="s">
        <v>231</v>
      </c>
      <c r="D3329" s="2">
        <f t="shared" si="179"/>
        <v>2017</v>
      </c>
      <c r="E3329" s="2">
        <f t="shared" si="180"/>
        <v>2</v>
      </c>
      <c r="F3329" s="3" t="s">
        <v>175</v>
      </c>
      <c r="G3329" s="4">
        <v>42787</v>
      </c>
      <c r="H3329" s="1">
        <v>6599245</v>
      </c>
      <c r="I3329" s="1">
        <v>1622345</v>
      </c>
      <c r="J3329" s="1" t="s">
        <v>186</v>
      </c>
      <c r="K3329" s="1" t="s">
        <v>211</v>
      </c>
      <c r="L3329" s="1" t="str">
        <f t="shared" si="181"/>
        <v>Norrviken 1</v>
      </c>
      <c r="M3329" s="1" t="s">
        <v>184</v>
      </c>
      <c r="N3329" s="1">
        <v>2.5</v>
      </c>
      <c r="O3329" s="1">
        <v>2.5</v>
      </c>
      <c r="Q3329" s="1">
        <v>2.2999999999999998</v>
      </c>
      <c r="R3329" s="1">
        <v>6.8</v>
      </c>
      <c r="S3329" s="1">
        <v>52</v>
      </c>
      <c r="W3329" s="1">
        <v>197.8047</v>
      </c>
      <c r="Y3329" s="1">
        <v>6.6000000000000003E-2</v>
      </c>
      <c r="Z3329" s="1">
        <v>1.98</v>
      </c>
      <c r="AA3329" s="1">
        <v>4.4000000000000004</v>
      </c>
      <c r="AD3329" s="1">
        <v>387.69</v>
      </c>
      <c r="AK3329" s="1">
        <v>34.97</v>
      </c>
      <c r="AL3329" s="1">
        <v>1397.74</v>
      </c>
    </row>
    <row r="3330" spans="1:38" x14ac:dyDescent="0.3">
      <c r="A3330" s="1">
        <v>56048</v>
      </c>
      <c r="B3330" s="1" t="s">
        <v>254</v>
      </c>
      <c r="C3330" s="1" t="s">
        <v>231</v>
      </c>
      <c r="D3330" s="2">
        <f t="shared" si="179"/>
        <v>2017</v>
      </c>
      <c r="E3330" s="2">
        <f t="shared" si="180"/>
        <v>2</v>
      </c>
      <c r="F3330" s="3" t="s">
        <v>175</v>
      </c>
      <c r="G3330" s="4">
        <v>42787</v>
      </c>
      <c r="H3330" s="1">
        <v>6596620</v>
      </c>
      <c r="I3330" s="1">
        <v>1620350</v>
      </c>
      <c r="J3330" s="1" t="s">
        <v>186</v>
      </c>
      <c r="K3330" s="1" t="s">
        <v>212</v>
      </c>
      <c r="L3330" s="1" t="str">
        <f t="shared" si="181"/>
        <v>Norrviken 2</v>
      </c>
      <c r="M3330" s="1" t="s">
        <v>177</v>
      </c>
      <c r="N3330" s="1">
        <v>0.5</v>
      </c>
      <c r="O3330" s="1">
        <v>0.5</v>
      </c>
      <c r="P3330" s="1">
        <v>2.6</v>
      </c>
      <c r="Q3330" s="1">
        <v>1.4</v>
      </c>
      <c r="R3330" s="1">
        <v>16.600000000000001</v>
      </c>
      <c r="S3330" s="1">
        <v>122</v>
      </c>
      <c r="W3330" s="1">
        <v>4.2700000000000002E-2</v>
      </c>
      <c r="Y3330" s="1">
        <v>0.04</v>
      </c>
      <c r="Z3330" s="1">
        <v>24.69</v>
      </c>
      <c r="AA3330" s="1">
        <v>2.2999999999999998</v>
      </c>
      <c r="AD3330" s="1">
        <v>193.51</v>
      </c>
      <c r="AK3330" s="1">
        <v>98.83</v>
      </c>
      <c r="AL3330" s="1">
        <v>1174.81</v>
      </c>
    </row>
    <row r="3331" spans="1:38" x14ac:dyDescent="0.3">
      <c r="A3331" s="1">
        <v>56049</v>
      </c>
      <c r="B3331" s="1" t="s">
        <v>254</v>
      </c>
      <c r="C3331" s="1" t="s">
        <v>231</v>
      </c>
      <c r="D3331" s="2">
        <f t="shared" si="179"/>
        <v>2017</v>
      </c>
      <c r="E3331" s="2">
        <f t="shared" si="180"/>
        <v>2</v>
      </c>
      <c r="F3331" s="3" t="s">
        <v>175</v>
      </c>
      <c r="G3331" s="4">
        <v>42787</v>
      </c>
      <c r="H3331" s="1">
        <v>6596620</v>
      </c>
      <c r="I3331" s="1">
        <v>1620350</v>
      </c>
      <c r="J3331" s="1" t="s">
        <v>186</v>
      </c>
      <c r="K3331" s="1" t="s">
        <v>212</v>
      </c>
      <c r="L3331" s="1" t="str">
        <f t="shared" si="181"/>
        <v>Norrviken 2</v>
      </c>
      <c r="M3331" s="1" t="s">
        <v>211</v>
      </c>
      <c r="N3331" s="1">
        <v>1</v>
      </c>
      <c r="O3331" s="1">
        <v>1</v>
      </c>
      <c r="Q3331" s="1">
        <v>2.7</v>
      </c>
      <c r="R3331" s="1">
        <v>13.3</v>
      </c>
      <c r="S3331" s="1">
        <v>101</v>
      </c>
    </row>
    <row r="3332" spans="1:38" x14ac:dyDescent="0.3">
      <c r="A3332" s="1">
        <v>56050</v>
      </c>
      <c r="B3332" s="1" t="s">
        <v>254</v>
      </c>
      <c r="C3332" s="1" t="s">
        <v>231</v>
      </c>
      <c r="D3332" s="2">
        <f t="shared" si="179"/>
        <v>2017</v>
      </c>
      <c r="E3332" s="2">
        <f t="shared" si="180"/>
        <v>2</v>
      </c>
      <c r="F3332" s="3" t="s">
        <v>175</v>
      </c>
      <c r="G3332" s="4">
        <v>42787</v>
      </c>
      <c r="H3332" s="1">
        <v>6596620</v>
      </c>
      <c r="I3332" s="1">
        <v>1620350</v>
      </c>
      <c r="J3332" s="1" t="s">
        <v>186</v>
      </c>
      <c r="K3332" s="1" t="s">
        <v>212</v>
      </c>
      <c r="L3332" s="1" t="str">
        <f t="shared" si="181"/>
        <v>Norrviken 2</v>
      </c>
      <c r="M3332" s="1" t="s">
        <v>212</v>
      </c>
      <c r="N3332" s="1">
        <v>2</v>
      </c>
      <c r="O3332" s="1">
        <v>2</v>
      </c>
      <c r="Q3332" s="1">
        <v>3</v>
      </c>
      <c r="R3332" s="1">
        <v>10.8</v>
      </c>
      <c r="S3332" s="1">
        <v>83</v>
      </c>
    </row>
    <row r="3333" spans="1:38" x14ac:dyDescent="0.3">
      <c r="A3333" s="1">
        <v>56051</v>
      </c>
      <c r="B3333" s="1" t="s">
        <v>254</v>
      </c>
      <c r="C3333" s="1" t="s">
        <v>231</v>
      </c>
      <c r="D3333" s="2">
        <f t="shared" si="179"/>
        <v>2017</v>
      </c>
      <c r="E3333" s="2">
        <f t="shared" si="180"/>
        <v>2</v>
      </c>
      <c r="F3333" s="3" t="s">
        <v>175</v>
      </c>
      <c r="G3333" s="4">
        <v>42787</v>
      </c>
      <c r="H3333" s="1">
        <v>6596620</v>
      </c>
      <c r="I3333" s="1">
        <v>1620350</v>
      </c>
      <c r="J3333" s="1" t="s">
        <v>186</v>
      </c>
      <c r="K3333" s="1" t="s">
        <v>212</v>
      </c>
      <c r="L3333" s="1" t="str">
        <f t="shared" si="181"/>
        <v>Norrviken 2</v>
      </c>
      <c r="M3333" s="1" t="s">
        <v>213</v>
      </c>
      <c r="N3333" s="1">
        <v>3</v>
      </c>
      <c r="O3333" s="1">
        <v>3</v>
      </c>
      <c r="Q3333" s="1">
        <v>3.2</v>
      </c>
      <c r="R3333" s="1">
        <v>10.199999999999999</v>
      </c>
      <c r="S3333" s="1">
        <v>79</v>
      </c>
    </row>
    <row r="3334" spans="1:38" x14ac:dyDescent="0.3">
      <c r="A3334" s="1">
        <v>56052</v>
      </c>
      <c r="B3334" s="1" t="s">
        <v>254</v>
      </c>
      <c r="C3334" s="1" t="s">
        <v>231</v>
      </c>
      <c r="D3334" s="2">
        <f t="shared" ref="D3334:D3397" si="182">YEAR(G3334)</f>
        <v>2017</v>
      </c>
      <c r="E3334" s="2">
        <f t="shared" ref="E3334:E3397" si="183">MONTH(G3334)</f>
        <v>2</v>
      </c>
      <c r="F3334" s="3" t="s">
        <v>175</v>
      </c>
      <c r="G3334" s="4">
        <v>42787</v>
      </c>
      <c r="H3334" s="1">
        <v>6596620</v>
      </c>
      <c r="I3334" s="1">
        <v>1620350</v>
      </c>
      <c r="J3334" s="1" t="s">
        <v>186</v>
      </c>
      <c r="K3334" s="1" t="s">
        <v>212</v>
      </c>
      <c r="L3334" s="1" t="str">
        <f t="shared" si="181"/>
        <v>Norrviken 2</v>
      </c>
      <c r="M3334" s="1" t="s">
        <v>214</v>
      </c>
      <c r="N3334" s="1">
        <v>4</v>
      </c>
      <c r="O3334" s="1">
        <v>4</v>
      </c>
      <c r="Q3334" s="1">
        <v>3.2</v>
      </c>
      <c r="R3334" s="1">
        <v>10.199999999999999</v>
      </c>
      <c r="S3334" s="1">
        <v>79</v>
      </c>
    </row>
    <row r="3335" spans="1:38" x14ac:dyDescent="0.3">
      <c r="A3335" s="1">
        <v>56053</v>
      </c>
      <c r="B3335" s="1" t="s">
        <v>254</v>
      </c>
      <c r="C3335" s="1" t="s">
        <v>231</v>
      </c>
      <c r="D3335" s="2">
        <f t="shared" si="182"/>
        <v>2017</v>
      </c>
      <c r="E3335" s="2">
        <f t="shared" si="183"/>
        <v>2</v>
      </c>
      <c r="F3335" s="3" t="s">
        <v>175</v>
      </c>
      <c r="G3335" s="4">
        <v>42787</v>
      </c>
      <c r="H3335" s="1">
        <v>6596620</v>
      </c>
      <c r="I3335" s="1">
        <v>1620350</v>
      </c>
      <c r="J3335" s="1" t="s">
        <v>186</v>
      </c>
      <c r="K3335" s="1" t="s">
        <v>212</v>
      </c>
      <c r="L3335" s="1" t="str">
        <f t="shared" si="181"/>
        <v>Norrviken 2</v>
      </c>
      <c r="M3335" s="1" t="s">
        <v>217</v>
      </c>
      <c r="N3335" s="1">
        <v>5</v>
      </c>
      <c r="O3335" s="1">
        <v>5</v>
      </c>
      <c r="Q3335" s="1">
        <v>3.2</v>
      </c>
      <c r="R3335" s="1">
        <v>9.5</v>
      </c>
      <c r="S3335" s="1">
        <v>73</v>
      </c>
    </row>
    <row r="3336" spans="1:38" x14ac:dyDescent="0.3">
      <c r="A3336" s="1">
        <v>56054</v>
      </c>
      <c r="B3336" s="1" t="s">
        <v>254</v>
      </c>
      <c r="C3336" s="1" t="s">
        <v>231</v>
      </c>
      <c r="D3336" s="2">
        <f t="shared" si="182"/>
        <v>2017</v>
      </c>
      <c r="E3336" s="2">
        <f t="shared" si="183"/>
        <v>2</v>
      </c>
      <c r="F3336" s="3" t="s">
        <v>175</v>
      </c>
      <c r="G3336" s="4">
        <v>42787</v>
      </c>
      <c r="H3336" s="1">
        <v>6596620</v>
      </c>
      <c r="I3336" s="1">
        <v>1620350</v>
      </c>
      <c r="J3336" s="1" t="s">
        <v>186</v>
      </c>
      <c r="K3336" s="1" t="s">
        <v>212</v>
      </c>
      <c r="L3336" s="1" t="str">
        <f t="shared" si="181"/>
        <v>Norrviken 2</v>
      </c>
      <c r="M3336" s="1" t="s">
        <v>218</v>
      </c>
      <c r="N3336" s="1">
        <v>6</v>
      </c>
      <c r="O3336" s="1">
        <v>6</v>
      </c>
      <c r="Q3336" s="1">
        <v>3.2</v>
      </c>
      <c r="R3336" s="1">
        <v>9.1999999999999993</v>
      </c>
      <c r="S3336" s="1">
        <v>71</v>
      </c>
    </row>
    <row r="3337" spans="1:38" x14ac:dyDescent="0.3">
      <c r="A3337" s="1">
        <v>56055</v>
      </c>
      <c r="B3337" s="1" t="s">
        <v>254</v>
      </c>
      <c r="C3337" s="1" t="s">
        <v>231</v>
      </c>
      <c r="D3337" s="2">
        <f t="shared" si="182"/>
        <v>2017</v>
      </c>
      <c r="E3337" s="2">
        <f t="shared" si="183"/>
        <v>2</v>
      </c>
      <c r="F3337" s="3" t="s">
        <v>175</v>
      </c>
      <c r="G3337" s="4">
        <v>42787</v>
      </c>
      <c r="H3337" s="1">
        <v>6596620</v>
      </c>
      <c r="I3337" s="1">
        <v>1620350</v>
      </c>
      <c r="J3337" s="1" t="s">
        <v>186</v>
      </c>
      <c r="K3337" s="1" t="s">
        <v>212</v>
      </c>
      <c r="L3337" s="1" t="str">
        <f t="shared" si="181"/>
        <v>Norrviken 2</v>
      </c>
      <c r="M3337" s="1" t="s">
        <v>219</v>
      </c>
      <c r="N3337" s="1">
        <v>7</v>
      </c>
      <c r="O3337" s="1">
        <v>7</v>
      </c>
      <c r="Q3337" s="1">
        <v>3.4</v>
      </c>
      <c r="R3337" s="1">
        <v>6.7</v>
      </c>
      <c r="S3337" s="1">
        <v>52</v>
      </c>
    </row>
    <row r="3338" spans="1:38" x14ac:dyDescent="0.3">
      <c r="A3338" s="1">
        <v>56056</v>
      </c>
      <c r="B3338" s="1" t="s">
        <v>254</v>
      </c>
      <c r="C3338" s="1" t="s">
        <v>231</v>
      </c>
      <c r="D3338" s="2">
        <f t="shared" si="182"/>
        <v>2017</v>
      </c>
      <c r="E3338" s="2">
        <f t="shared" si="183"/>
        <v>2</v>
      </c>
      <c r="F3338" s="3" t="s">
        <v>175</v>
      </c>
      <c r="G3338" s="4">
        <v>42787</v>
      </c>
      <c r="H3338" s="1">
        <v>6596620</v>
      </c>
      <c r="I3338" s="1">
        <v>1620350</v>
      </c>
      <c r="J3338" s="1" t="s">
        <v>186</v>
      </c>
      <c r="K3338" s="1" t="s">
        <v>212</v>
      </c>
      <c r="L3338" s="1" t="str">
        <f t="shared" si="181"/>
        <v>Norrviken 2</v>
      </c>
      <c r="M3338" s="1" t="s">
        <v>220</v>
      </c>
      <c r="N3338" s="1">
        <v>8</v>
      </c>
      <c r="O3338" s="1">
        <v>8</v>
      </c>
      <c r="Q3338" s="1">
        <v>3.7</v>
      </c>
      <c r="R3338" s="1">
        <v>3.5</v>
      </c>
      <c r="S3338" s="1">
        <v>27</v>
      </c>
    </row>
    <row r="3339" spans="1:38" x14ac:dyDescent="0.3">
      <c r="A3339" s="1">
        <v>56057</v>
      </c>
      <c r="B3339" s="1" t="s">
        <v>254</v>
      </c>
      <c r="C3339" s="1" t="s">
        <v>231</v>
      </c>
      <c r="D3339" s="2">
        <f t="shared" si="182"/>
        <v>2017</v>
      </c>
      <c r="E3339" s="2">
        <f t="shared" si="183"/>
        <v>2</v>
      </c>
      <c r="F3339" s="3" t="s">
        <v>175</v>
      </c>
      <c r="G3339" s="4">
        <v>42787</v>
      </c>
      <c r="H3339" s="1">
        <v>6596620</v>
      </c>
      <c r="I3339" s="1">
        <v>1620350</v>
      </c>
      <c r="J3339" s="1" t="s">
        <v>186</v>
      </c>
      <c r="K3339" s="1" t="s">
        <v>212</v>
      </c>
      <c r="L3339" s="1" t="str">
        <f t="shared" si="181"/>
        <v>Norrviken 2</v>
      </c>
      <c r="M3339" s="1" t="s">
        <v>184</v>
      </c>
      <c r="N3339" s="1">
        <v>9</v>
      </c>
      <c r="O3339" s="1">
        <v>9</v>
      </c>
      <c r="Q3339" s="1">
        <v>4.2</v>
      </c>
      <c r="R3339" s="1">
        <v>2.2000000000000002</v>
      </c>
      <c r="S3339" s="1">
        <v>18</v>
      </c>
      <c r="W3339" s="1">
        <v>61.408999999999999</v>
      </c>
      <c r="Y3339" s="1">
        <v>4.2999999999999997E-2</v>
      </c>
      <c r="Z3339" s="1">
        <v>49.74</v>
      </c>
      <c r="AA3339" s="1">
        <v>2.4</v>
      </c>
      <c r="AD3339" s="1">
        <v>430.05</v>
      </c>
      <c r="AK3339" s="1">
        <v>66.48</v>
      </c>
      <c r="AL3339" s="1">
        <v>1097.6300000000001</v>
      </c>
    </row>
    <row r="3340" spans="1:38" x14ac:dyDescent="0.3">
      <c r="A3340" s="1">
        <v>56058</v>
      </c>
      <c r="B3340" s="1" t="s">
        <v>254</v>
      </c>
      <c r="C3340" s="1" t="s">
        <v>231</v>
      </c>
      <c r="D3340" s="2">
        <f t="shared" si="182"/>
        <v>2017</v>
      </c>
      <c r="E3340" s="2">
        <f t="shared" si="183"/>
        <v>2</v>
      </c>
      <c r="F3340" s="3" t="s">
        <v>175</v>
      </c>
      <c r="G3340" s="4">
        <v>42787</v>
      </c>
      <c r="H3340" s="1">
        <v>6594885</v>
      </c>
      <c r="I3340" s="1">
        <v>1620750</v>
      </c>
      <c r="J3340" s="1" t="s">
        <v>186</v>
      </c>
      <c r="K3340" s="1" t="s">
        <v>213</v>
      </c>
      <c r="L3340" s="1" t="str">
        <f t="shared" si="181"/>
        <v>Norrviken 3</v>
      </c>
      <c r="M3340" s="1" t="s">
        <v>177</v>
      </c>
      <c r="N3340" s="1">
        <v>0.5</v>
      </c>
      <c r="O3340" s="1">
        <v>0.5</v>
      </c>
      <c r="P3340" s="1">
        <v>4.5999999999999996</v>
      </c>
      <c r="Q3340" s="1">
        <v>1.8</v>
      </c>
      <c r="R3340" s="1">
        <v>13.7</v>
      </c>
      <c r="S3340" s="1">
        <v>102</v>
      </c>
      <c r="W3340" s="1">
        <v>9.0700000000000003E-2</v>
      </c>
      <c r="Y3340" s="1">
        <v>3.2000000000000001E-2</v>
      </c>
      <c r="Z3340" s="1">
        <v>42.58</v>
      </c>
      <c r="AA3340" s="1">
        <v>1.1000000000000001</v>
      </c>
      <c r="AD3340" s="1">
        <v>291.16000000000003</v>
      </c>
      <c r="AK3340" s="1">
        <v>70.81</v>
      </c>
      <c r="AL3340" s="1">
        <v>978</v>
      </c>
    </row>
    <row r="3341" spans="1:38" x14ac:dyDescent="0.3">
      <c r="A3341" s="1">
        <v>56059</v>
      </c>
      <c r="B3341" s="1" t="s">
        <v>254</v>
      </c>
      <c r="C3341" s="1" t="s">
        <v>231</v>
      </c>
      <c r="D3341" s="2">
        <f t="shared" si="182"/>
        <v>2017</v>
      </c>
      <c r="E3341" s="2">
        <f t="shared" si="183"/>
        <v>2</v>
      </c>
      <c r="F3341" s="3" t="s">
        <v>175</v>
      </c>
      <c r="G3341" s="4">
        <v>42787</v>
      </c>
      <c r="H3341" s="1">
        <v>6594885</v>
      </c>
      <c r="I3341" s="1">
        <v>1620750</v>
      </c>
      <c r="J3341" s="1" t="s">
        <v>186</v>
      </c>
      <c r="K3341" s="1" t="s">
        <v>213</v>
      </c>
      <c r="L3341" s="1" t="str">
        <f t="shared" si="181"/>
        <v>Norrviken 3</v>
      </c>
      <c r="M3341" s="1" t="s">
        <v>211</v>
      </c>
      <c r="N3341" s="1">
        <v>1</v>
      </c>
      <c r="O3341" s="1">
        <v>1</v>
      </c>
      <c r="Q3341" s="1">
        <v>3.3</v>
      </c>
      <c r="R3341" s="1">
        <v>10.7</v>
      </c>
      <c r="S3341" s="1">
        <v>83</v>
      </c>
    </row>
    <row r="3342" spans="1:38" x14ac:dyDescent="0.3">
      <c r="A3342" s="1">
        <v>56060</v>
      </c>
      <c r="B3342" s="1" t="s">
        <v>254</v>
      </c>
      <c r="C3342" s="1" t="s">
        <v>231</v>
      </c>
      <c r="D3342" s="2">
        <f t="shared" si="182"/>
        <v>2017</v>
      </c>
      <c r="E3342" s="2">
        <f t="shared" si="183"/>
        <v>2</v>
      </c>
      <c r="F3342" s="3" t="s">
        <v>175</v>
      </c>
      <c r="G3342" s="4">
        <v>42787</v>
      </c>
      <c r="H3342" s="1">
        <v>6594885</v>
      </c>
      <c r="I3342" s="1">
        <v>1620750</v>
      </c>
      <c r="J3342" s="1" t="s">
        <v>186</v>
      </c>
      <c r="K3342" s="1" t="s">
        <v>213</v>
      </c>
      <c r="L3342" s="1" t="str">
        <f t="shared" si="181"/>
        <v>Norrviken 3</v>
      </c>
      <c r="M3342" s="1" t="s">
        <v>212</v>
      </c>
      <c r="N3342" s="1">
        <v>2</v>
      </c>
      <c r="O3342" s="1">
        <v>2</v>
      </c>
      <c r="Q3342" s="1">
        <v>3.4</v>
      </c>
      <c r="R3342" s="1">
        <v>10.5</v>
      </c>
      <c r="S3342" s="1">
        <v>82</v>
      </c>
    </row>
    <row r="3343" spans="1:38" x14ac:dyDescent="0.3">
      <c r="A3343" s="1">
        <v>56061</v>
      </c>
      <c r="B3343" s="1" t="s">
        <v>254</v>
      </c>
      <c r="C3343" s="1" t="s">
        <v>231</v>
      </c>
      <c r="D3343" s="2">
        <f t="shared" si="182"/>
        <v>2017</v>
      </c>
      <c r="E3343" s="2">
        <f t="shared" si="183"/>
        <v>2</v>
      </c>
      <c r="F3343" s="3" t="s">
        <v>175</v>
      </c>
      <c r="G3343" s="4">
        <v>42787</v>
      </c>
      <c r="H3343" s="1">
        <v>6594885</v>
      </c>
      <c r="I3343" s="1">
        <v>1620750</v>
      </c>
      <c r="J3343" s="1" t="s">
        <v>186</v>
      </c>
      <c r="K3343" s="1" t="s">
        <v>213</v>
      </c>
      <c r="L3343" s="1" t="str">
        <f t="shared" si="181"/>
        <v>Norrviken 3</v>
      </c>
      <c r="M3343" s="1" t="s">
        <v>213</v>
      </c>
      <c r="N3343" s="1">
        <v>3</v>
      </c>
      <c r="O3343" s="1">
        <v>3</v>
      </c>
      <c r="Q3343" s="1">
        <v>3.4</v>
      </c>
      <c r="R3343" s="1">
        <v>8.5</v>
      </c>
      <c r="S3343" s="1">
        <v>65</v>
      </c>
    </row>
    <row r="3344" spans="1:38" x14ac:dyDescent="0.3">
      <c r="A3344" s="1">
        <v>56062</v>
      </c>
      <c r="B3344" s="1" t="s">
        <v>254</v>
      </c>
      <c r="C3344" s="1" t="s">
        <v>231</v>
      </c>
      <c r="D3344" s="2">
        <f t="shared" si="182"/>
        <v>2017</v>
      </c>
      <c r="E3344" s="2">
        <f t="shared" si="183"/>
        <v>2</v>
      </c>
      <c r="F3344" s="3" t="s">
        <v>175</v>
      </c>
      <c r="G3344" s="4">
        <v>42787</v>
      </c>
      <c r="H3344" s="1">
        <v>6594885</v>
      </c>
      <c r="I3344" s="1">
        <v>1620750</v>
      </c>
      <c r="J3344" s="1" t="s">
        <v>186</v>
      </c>
      <c r="K3344" s="1" t="s">
        <v>213</v>
      </c>
      <c r="L3344" s="1" t="str">
        <f t="shared" si="181"/>
        <v>Norrviken 3</v>
      </c>
      <c r="M3344" s="1" t="s">
        <v>214</v>
      </c>
      <c r="N3344" s="1">
        <v>4</v>
      </c>
      <c r="O3344" s="1">
        <v>4</v>
      </c>
      <c r="Q3344" s="1">
        <v>3.3</v>
      </c>
      <c r="R3344" s="1">
        <v>7</v>
      </c>
      <c r="S3344" s="1">
        <v>54</v>
      </c>
    </row>
    <row r="3345" spans="1:38" x14ac:dyDescent="0.3">
      <c r="A3345" s="1">
        <v>56063</v>
      </c>
      <c r="B3345" s="1" t="s">
        <v>254</v>
      </c>
      <c r="C3345" s="1" t="s">
        <v>231</v>
      </c>
      <c r="D3345" s="2">
        <f t="shared" si="182"/>
        <v>2017</v>
      </c>
      <c r="E3345" s="2">
        <f t="shared" si="183"/>
        <v>2</v>
      </c>
      <c r="F3345" s="3" t="s">
        <v>175</v>
      </c>
      <c r="G3345" s="4">
        <v>42787</v>
      </c>
      <c r="H3345" s="1">
        <v>6594885</v>
      </c>
      <c r="I3345" s="1">
        <v>1620750</v>
      </c>
      <c r="J3345" s="1" t="s">
        <v>186</v>
      </c>
      <c r="K3345" s="1" t="s">
        <v>213</v>
      </c>
      <c r="L3345" s="1" t="str">
        <f t="shared" si="181"/>
        <v>Norrviken 3</v>
      </c>
      <c r="M3345" s="1" t="s">
        <v>217</v>
      </c>
      <c r="N3345" s="1">
        <v>5</v>
      </c>
      <c r="O3345" s="1">
        <v>5</v>
      </c>
      <c r="Q3345" s="1">
        <v>3.3</v>
      </c>
      <c r="R3345" s="1">
        <v>9.3000000000000007</v>
      </c>
      <c r="S3345" s="1">
        <v>72</v>
      </c>
    </row>
    <row r="3346" spans="1:38" x14ac:dyDescent="0.3">
      <c r="A3346" s="1">
        <v>56064</v>
      </c>
      <c r="B3346" s="1" t="s">
        <v>254</v>
      </c>
      <c r="C3346" s="1" t="s">
        <v>231</v>
      </c>
      <c r="D3346" s="2">
        <f t="shared" si="182"/>
        <v>2017</v>
      </c>
      <c r="E3346" s="2">
        <f t="shared" si="183"/>
        <v>2</v>
      </c>
      <c r="F3346" s="3" t="s">
        <v>175</v>
      </c>
      <c r="G3346" s="4">
        <v>42787</v>
      </c>
      <c r="H3346" s="1">
        <v>6594885</v>
      </c>
      <c r="I3346" s="1">
        <v>1620750</v>
      </c>
      <c r="J3346" s="1" t="s">
        <v>186</v>
      </c>
      <c r="K3346" s="1" t="s">
        <v>213</v>
      </c>
      <c r="L3346" s="1" t="str">
        <f t="shared" si="181"/>
        <v>Norrviken 3</v>
      </c>
      <c r="M3346" s="1" t="s">
        <v>218</v>
      </c>
      <c r="N3346" s="1">
        <v>6</v>
      </c>
      <c r="O3346" s="1">
        <v>6</v>
      </c>
      <c r="Q3346" s="1">
        <v>3.3</v>
      </c>
      <c r="R3346" s="1">
        <v>9.1999999999999993</v>
      </c>
      <c r="S3346" s="1">
        <v>71</v>
      </c>
    </row>
    <row r="3347" spans="1:38" x14ac:dyDescent="0.3">
      <c r="A3347" s="1">
        <v>56065</v>
      </c>
      <c r="B3347" s="1" t="s">
        <v>254</v>
      </c>
      <c r="C3347" s="1" t="s">
        <v>231</v>
      </c>
      <c r="D3347" s="2">
        <f t="shared" si="182"/>
        <v>2017</v>
      </c>
      <c r="E3347" s="2">
        <f t="shared" si="183"/>
        <v>2</v>
      </c>
      <c r="F3347" s="3" t="s">
        <v>175</v>
      </c>
      <c r="G3347" s="4">
        <v>42787</v>
      </c>
      <c r="H3347" s="1">
        <v>6594885</v>
      </c>
      <c r="I3347" s="1">
        <v>1620750</v>
      </c>
      <c r="J3347" s="1" t="s">
        <v>186</v>
      </c>
      <c r="K3347" s="1" t="s">
        <v>213</v>
      </c>
      <c r="L3347" s="1" t="str">
        <f t="shared" si="181"/>
        <v>Norrviken 3</v>
      </c>
      <c r="M3347" s="1" t="s">
        <v>219</v>
      </c>
      <c r="N3347" s="1">
        <v>7</v>
      </c>
      <c r="O3347" s="1">
        <v>7</v>
      </c>
      <c r="Q3347" s="1">
        <v>3.4</v>
      </c>
      <c r="R3347" s="1">
        <v>6.4</v>
      </c>
      <c r="S3347" s="1">
        <v>50</v>
      </c>
    </row>
    <row r="3348" spans="1:38" x14ac:dyDescent="0.3">
      <c r="A3348" s="1">
        <v>56066</v>
      </c>
      <c r="B3348" s="1" t="s">
        <v>254</v>
      </c>
      <c r="C3348" s="1" t="s">
        <v>231</v>
      </c>
      <c r="D3348" s="2">
        <f t="shared" si="182"/>
        <v>2017</v>
      </c>
      <c r="E3348" s="2">
        <f t="shared" si="183"/>
        <v>2</v>
      </c>
      <c r="F3348" s="3" t="s">
        <v>175</v>
      </c>
      <c r="G3348" s="4">
        <v>42787</v>
      </c>
      <c r="H3348" s="1">
        <v>6594885</v>
      </c>
      <c r="I3348" s="1">
        <v>1620750</v>
      </c>
      <c r="J3348" s="1" t="s">
        <v>186</v>
      </c>
      <c r="K3348" s="1" t="s">
        <v>213</v>
      </c>
      <c r="L3348" s="1" t="str">
        <f t="shared" si="181"/>
        <v>Norrviken 3</v>
      </c>
      <c r="M3348" s="1" t="s">
        <v>220</v>
      </c>
      <c r="N3348" s="1">
        <v>8</v>
      </c>
      <c r="O3348" s="1">
        <v>8</v>
      </c>
      <c r="Q3348" s="1">
        <v>3.7</v>
      </c>
      <c r="R3348" s="1">
        <v>3.1</v>
      </c>
      <c r="S3348" s="1">
        <v>24</v>
      </c>
    </row>
    <row r="3349" spans="1:38" x14ac:dyDescent="0.3">
      <c r="A3349" s="1">
        <v>56067</v>
      </c>
      <c r="B3349" s="1" t="s">
        <v>254</v>
      </c>
      <c r="C3349" s="1" t="s">
        <v>231</v>
      </c>
      <c r="D3349" s="2">
        <f t="shared" si="182"/>
        <v>2017</v>
      </c>
      <c r="E3349" s="2">
        <f t="shared" si="183"/>
        <v>2</v>
      </c>
      <c r="F3349" s="3" t="s">
        <v>175</v>
      </c>
      <c r="G3349" s="4">
        <v>42787</v>
      </c>
      <c r="H3349" s="1">
        <v>6594885</v>
      </c>
      <c r="I3349" s="1">
        <v>1620750</v>
      </c>
      <c r="J3349" s="1" t="s">
        <v>186</v>
      </c>
      <c r="K3349" s="1" t="s">
        <v>213</v>
      </c>
      <c r="L3349" s="1" t="str">
        <f t="shared" si="181"/>
        <v>Norrviken 3</v>
      </c>
      <c r="M3349" s="1" t="s">
        <v>221</v>
      </c>
      <c r="N3349" s="1">
        <v>9</v>
      </c>
      <c r="O3349" s="1">
        <v>9</v>
      </c>
      <c r="Q3349" s="1">
        <v>3.8</v>
      </c>
      <c r="R3349" s="1">
        <v>1.9</v>
      </c>
      <c r="S3349" s="1">
        <v>15</v>
      </c>
    </row>
    <row r="3350" spans="1:38" x14ac:dyDescent="0.3">
      <c r="A3350" s="1">
        <v>56068</v>
      </c>
      <c r="B3350" s="1" t="s">
        <v>254</v>
      </c>
      <c r="C3350" s="1" t="s">
        <v>231</v>
      </c>
      <c r="D3350" s="2">
        <f t="shared" si="182"/>
        <v>2017</v>
      </c>
      <c r="E3350" s="2">
        <f t="shared" si="183"/>
        <v>2</v>
      </c>
      <c r="F3350" s="3" t="s">
        <v>175</v>
      </c>
      <c r="G3350" s="4">
        <v>42787</v>
      </c>
      <c r="H3350" s="1">
        <v>6594885</v>
      </c>
      <c r="I3350" s="1">
        <v>1620750</v>
      </c>
      <c r="J3350" s="1" t="s">
        <v>186</v>
      </c>
      <c r="K3350" s="1" t="s">
        <v>213</v>
      </c>
      <c r="L3350" s="1" t="str">
        <f t="shared" si="181"/>
        <v>Norrviken 3</v>
      </c>
      <c r="M3350" s="1" t="s">
        <v>222</v>
      </c>
      <c r="N3350" s="1">
        <v>10</v>
      </c>
      <c r="O3350" s="1">
        <v>10</v>
      </c>
      <c r="Q3350" s="1">
        <v>4.2</v>
      </c>
      <c r="R3350" s="1">
        <v>0.3</v>
      </c>
      <c r="S3350" s="1">
        <v>2</v>
      </c>
    </row>
    <row r="3351" spans="1:38" x14ac:dyDescent="0.3">
      <c r="A3351" s="1">
        <v>56069</v>
      </c>
      <c r="B3351" s="1" t="s">
        <v>254</v>
      </c>
      <c r="C3351" s="1" t="s">
        <v>231</v>
      </c>
      <c r="D3351" s="2">
        <f t="shared" si="182"/>
        <v>2017</v>
      </c>
      <c r="E3351" s="2">
        <f t="shared" si="183"/>
        <v>2</v>
      </c>
      <c r="F3351" s="3" t="s">
        <v>175</v>
      </c>
      <c r="G3351" s="4">
        <v>42787</v>
      </c>
      <c r="H3351" s="1">
        <v>6594885</v>
      </c>
      <c r="I3351" s="1">
        <v>1620750</v>
      </c>
      <c r="J3351" s="1" t="s">
        <v>186</v>
      </c>
      <c r="K3351" s="1" t="s">
        <v>213</v>
      </c>
      <c r="L3351" s="1" t="str">
        <f t="shared" si="181"/>
        <v>Norrviken 3</v>
      </c>
      <c r="M3351" s="1" t="s">
        <v>223</v>
      </c>
      <c r="N3351" s="1">
        <v>11</v>
      </c>
      <c r="O3351" s="1">
        <v>11</v>
      </c>
      <c r="Q3351" s="1">
        <v>4.7</v>
      </c>
      <c r="R3351" s="1">
        <v>0.1</v>
      </c>
      <c r="S3351" s="1">
        <v>1</v>
      </c>
    </row>
    <row r="3352" spans="1:38" x14ac:dyDescent="0.3">
      <c r="A3352" s="1">
        <v>56070</v>
      </c>
      <c r="B3352" s="1" t="s">
        <v>254</v>
      </c>
      <c r="C3352" s="1" t="s">
        <v>231</v>
      </c>
      <c r="D3352" s="2">
        <f t="shared" si="182"/>
        <v>2017</v>
      </c>
      <c r="E3352" s="2">
        <f t="shared" si="183"/>
        <v>2</v>
      </c>
      <c r="F3352" s="3" t="s">
        <v>175</v>
      </c>
      <c r="G3352" s="4">
        <v>42787</v>
      </c>
      <c r="H3352" s="1">
        <v>6594885</v>
      </c>
      <c r="I3352" s="1">
        <v>1620750</v>
      </c>
      <c r="J3352" s="1" t="s">
        <v>186</v>
      </c>
      <c r="K3352" s="1" t="s">
        <v>213</v>
      </c>
      <c r="L3352" s="1" t="str">
        <f t="shared" si="181"/>
        <v>Norrviken 3</v>
      </c>
      <c r="M3352" s="1" t="s">
        <v>184</v>
      </c>
      <c r="N3352" s="1">
        <v>11.5</v>
      </c>
      <c r="O3352" s="1">
        <v>11.5</v>
      </c>
      <c r="Q3352" s="1">
        <v>4.8</v>
      </c>
      <c r="R3352" s="1">
        <v>0.1</v>
      </c>
      <c r="S3352" s="1">
        <v>1</v>
      </c>
      <c r="W3352" s="1">
        <v>114.78879999999999</v>
      </c>
      <c r="Y3352" s="1">
        <v>4.8000000000000001E-2</v>
      </c>
      <c r="Z3352" s="1">
        <v>43.83</v>
      </c>
      <c r="AA3352" s="1">
        <v>2.4</v>
      </c>
      <c r="AD3352" s="1">
        <v>607.75</v>
      </c>
      <c r="AK3352" s="1">
        <v>60.95</v>
      </c>
      <c r="AL3352" s="1">
        <v>1263.93</v>
      </c>
    </row>
    <row r="3353" spans="1:38" x14ac:dyDescent="0.3">
      <c r="A3353" s="1">
        <v>56072</v>
      </c>
      <c r="B3353" s="1" t="s">
        <v>254</v>
      </c>
      <c r="C3353" s="1" t="s">
        <v>231</v>
      </c>
      <c r="D3353" s="2">
        <f t="shared" si="182"/>
        <v>2017</v>
      </c>
      <c r="E3353" s="2">
        <f t="shared" si="183"/>
        <v>2</v>
      </c>
      <c r="F3353" s="3" t="s">
        <v>175</v>
      </c>
      <c r="G3353" s="4">
        <v>42787</v>
      </c>
      <c r="H3353" s="1">
        <v>6597300</v>
      </c>
      <c r="I3353" s="1">
        <v>1619975</v>
      </c>
      <c r="J3353" s="1" t="s">
        <v>186</v>
      </c>
      <c r="K3353" s="1" t="s">
        <v>214</v>
      </c>
      <c r="L3353" s="1" t="str">
        <f t="shared" si="181"/>
        <v>Norrviken 4</v>
      </c>
      <c r="M3353" s="1" t="s">
        <v>177</v>
      </c>
      <c r="N3353" s="1">
        <v>0.5</v>
      </c>
      <c r="O3353" s="1">
        <v>0.5</v>
      </c>
      <c r="P3353" s="1">
        <v>1.6</v>
      </c>
      <c r="Q3353" s="1">
        <v>1.6</v>
      </c>
      <c r="R3353" s="1">
        <v>14.7</v>
      </c>
      <c r="S3353" s="1">
        <v>109</v>
      </c>
      <c r="W3353" s="1">
        <v>0.19489999999999999</v>
      </c>
      <c r="Y3353" s="1">
        <v>0.04</v>
      </c>
      <c r="Z3353" s="1">
        <v>2.14</v>
      </c>
      <c r="AA3353" s="1">
        <v>3.3</v>
      </c>
      <c r="AD3353" s="1">
        <v>280.2</v>
      </c>
      <c r="AK3353" s="1">
        <v>69.27</v>
      </c>
      <c r="AL3353" s="1">
        <v>1138.72</v>
      </c>
    </row>
    <row r="3354" spans="1:38" x14ac:dyDescent="0.3">
      <c r="A3354" s="1">
        <v>56073</v>
      </c>
      <c r="B3354" s="1" t="s">
        <v>254</v>
      </c>
      <c r="C3354" s="1" t="s">
        <v>231</v>
      </c>
      <c r="D3354" s="2">
        <f t="shared" si="182"/>
        <v>2017</v>
      </c>
      <c r="E3354" s="2">
        <f t="shared" si="183"/>
        <v>2</v>
      </c>
      <c r="F3354" s="3" t="s">
        <v>175</v>
      </c>
      <c r="G3354" s="4">
        <v>42787</v>
      </c>
      <c r="H3354" s="1">
        <v>6597300</v>
      </c>
      <c r="I3354" s="1">
        <v>1619975</v>
      </c>
      <c r="J3354" s="1" t="s">
        <v>186</v>
      </c>
      <c r="K3354" s="1" t="s">
        <v>214</v>
      </c>
      <c r="L3354" s="1" t="str">
        <f t="shared" si="181"/>
        <v>Norrviken 4</v>
      </c>
      <c r="M3354" s="1" t="s">
        <v>211</v>
      </c>
      <c r="N3354" s="1">
        <v>1</v>
      </c>
      <c r="O3354" s="1">
        <v>1</v>
      </c>
      <c r="Q3354" s="1">
        <v>2.6</v>
      </c>
      <c r="R3354" s="1">
        <v>13.5</v>
      </c>
      <c r="S3354" s="1">
        <v>103</v>
      </c>
    </row>
    <row r="3355" spans="1:38" x14ac:dyDescent="0.3">
      <c r="A3355" s="1">
        <v>56074</v>
      </c>
      <c r="B3355" s="1" t="s">
        <v>254</v>
      </c>
      <c r="C3355" s="1" t="s">
        <v>231</v>
      </c>
      <c r="D3355" s="2">
        <f t="shared" si="182"/>
        <v>2017</v>
      </c>
      <c r="E3355" s="2">
        <f t="shared" si="183"/>
        <v>2</v>
      </c>
      <c r="F3355" s="3" t="s">
        <v>175</v>
      </c>
      <c r="G3355" s="4">
        <v>42787</v>
      </c>
      <c r="H3355" s="1">
        <v>6597300</v>
      </c>
      <c r="I3355" s="1">
        <v>1619975</v>
      </c>
      <c r="J3355" s="1" t="s">
        <v>186</v>
      </c>
      <c r="K3355" s="1" t="s">
        <v>214</v>
      </c>
      <c r="L3355" s="1" t="str">
        <f t="shared" si="181"/>
        <v>Norrviken 4</v>
      </c>
      <c r="M3355" s="1" t="s">
        <v>184</v>
      </c>
      <c r="N3355" s="1">
        <v>2</v>
      </c>
      <c r="O3355" s="1">
        <v>2</v>
      </c>
      <c r="Q3355" s="1">
        <v>2.9</v>
      </c>
      <c r="R3355" s="1">
        <v>13.1</v>
      </c>
      <c r="S3355" s="1">
        <v>101</v>
      </c>
      <c r="W3355" s="1">
        <v>0</v>
      </c>
      <c r="Y3355" s="1">
        <v>4.3999999999999997E-2</v>
      </c>
      <c r="Z3355" s="1">
        <v>13.53</v>
      </c>
      <c r="AA3355" s="1">
        <v>2.8</v>
      </c>
      <c r="AD3355" s="1">
        <v>315.24</v>
      </c>
      <c r="AK3355" s="1">
        <v>70.77</v>
      </c>
      <c r="AL3355" s="1">
        <v>1145.26</v>
      </c>
    </row>
    <row r="3356" spans="1:38" x14ac:dyDescent="0.3">
      <c r="A3356" s="1">
        <v>56076</v>
      </c>
      <c r="B3356" s="1" t="s">
        <v>254</v>
      </c>
      <c r="C3356" s="1" t="s">
        <v>231</v>
      </c>
      <c r="D3356" s="2">
        <f t="shared" si="182"/>
        <v>2017</v>
      </c>
      <c r="E3356" s="2">
        <f t="shared" si="183"/>
        <v>2</v>
      </c>
      <c r="F3356" s="3" t="s">
        <v>175</v>
      </c>
      <c r="G3356" s="4">
        <v>42787</v>
      </c>
      <c r="H3356" s="1">
        <v>6599695</v>
      </c>
      <c r="I3356" s="1">
        <v>1617290</v>
      </c>
      <c r="J3356" s="1" t="s">
        <v>182</v>
      </c>
      <c r="K3356" s="1"/>
      <c r="L3356" s="1" t="str">
        <f t="shared" si="181"/>
        <v xml:space="preserve">Edssjön </v>
      </c>
      <c r="M3356" s="1" t="s">
        <v>177</v>
      </c>
      <c r="N3356" s="1">
        <v>0.5</v>
      </c>
      <c r="O3356" s="1">
        <v>0.5</v>
      </c>
      <c r="P3356" s="1">
        <v>2.2000000000000002</v>
      </c>
      <c r="Q3356" s="1">
        <v>1.3</v>
      </c>
      <c r="R3356" s="1">
        <v>14.5</v>
      </c>
      <c r="S3356" s="1">
        <v>107</v>
      </c>
      <c r="W3356" s="1">
        <v>0.42409999999999998</v>
      </c>
      <c r="Y3356" s="1">
        <v>5.1999999999999998E-2</v>
      </c>
      <c r="Z3356" s="1">
        <v>7.02</v>
      </c>
      <c r="AA3356" s="1">
        <v>2.7</v>
      </c>
      <c r="AD3356" s="1">
        <v>318.2</v>
      </c>
      <c r="AK3356" s="1">
        <v>47.8</v>
      </c>
      <c r="AL3356" s="1">
        <v>1140.48</v>
      </c>
    </row>
    <row r="3357" spans="1:38" x14ac:dyDescent="0.3">
      <c r="A3357" s="1">
        <v>56077</v>
      </c>
      <c r="B3357" s="1" t="s">
        <v>254</v>
      </c>
      <c r="C3357" s="1" t="s">
        <v>231</v>
      </c>
      <c r="D3357" s="2">
        <f t="shared" si="182"/>
        <v>2017</v>
      </c>
      <c r="E3357" s="2">
        <f t="shared" si="183"/>
        <v>2</v>
      </c>
      <c r="F3357" s="3" t="s">
        <v>175</v>
      </c>
      <c r="G3357" s="4">
        <v>42787</v>
      </c>
      <c r="H3357" s="1">
        <v>6599695</v>
      </c>
      <c r="I3357" s="1">
        <v>1617290</v>
      </c>
      <c r="J3357" s="1" t="s">
        <v>182</v>
      </c>
      <c r="K3357" s="1"/>
      <c r="L3357" s="1" t="str">
        <f t="shared" si="181"/>
        <v xml:space="preserve">Edssjön </v>
      </c>
      <c r="M3357" s="1" t="s">
        <v>211</v>
      </c>
      <c r="N3357" s="1">
        <v>1</v>
      </c>
      <c r="O3357" s="1">
        <v>1</v>
      </c>
      <c r="Q3357" s="1">
        <v>1.9</v>
      </c>
      <c r="R3357" s="1">
        <v>12.3</v>
      </c>
      <c r="S3357" s="1">
        <v>92</v>
      </c>
    </row>
    <row r="3358" spans="1:38" x14ac:dyDescent="0.3">
      <c r="A3358" s="1">
        <v>56078</v>
      </c>
      <c r="B3358" s="1" t="s">
        <v>254</v>
      </c>
      <c r="C3358" s="1" t="s">
        <v>231</v>
      </c>
      <c r="D3358" s="2">
        <f t="shared" si="182"/>
        <v>2017</v>
      </c>
      <c r="E3358" s="2">
        <f t="shared" si="183"/>
        <v>2</v>
      </c>
      <c r="F3358" s="3" t="s">
        <v>175</v>
      </c>
      <c r="G3358" s="4">
        <v>42787</v>
      </c>
      <c r="H3358" s="1">
        <v>6599695</v>
      </c>
      <c r="I3358" s="1">
        <v>1617290</v>
      </c>
      <c r="J3358" s="1" t="s">
        <v>182</v>
      </c>
      <c r="K3358" s="1"/>
      <c r="L3358" s="1" t="str">
        <f t="shared" si="181"/>
        <v xml:space="preserve">Edssjön </v>
      </c>
      <c r="M3358" s="1" t="s">
        <v>212</v>
      </c>
      <c r="N3358" s="1">
        <v>2</v>
      </c>
      <c r="O3358" s="1">
        <v>2</v>
      </c>
      <c r="Q3358" s="1">
        <v>2.4</v>
      </c>
      <c r="R3358" s="1">
        <v>7</v>
      </c>
      <c r="S3358" s="1">
        <v>53</v>
      </c>
    </row>
    <row r="3359" spans="1:38" x14ac:dyDescent="0.3">
      <c r="A3359" s="1">
        <v>56079</v>
      </c>
      <c r="B3359" s="1" t="s">
        <v>254</v>
      </c>
      <c r="C3359" s="1" t="s">
        <v>231</v>
      </c>
      <c r="D3359" s="2">
        <f t="shared" si="182"/>
        <v>2017</v>
      </c>
      <c r="E3359" s="2">
        <f t="shared" si="183"/>
        <v>2</v>
      </c>
      <c r="F3359" s="3" t="s">
        <v>175</v>
      </c>
      <c r="G3359" s="4">
        <v>42787</v>
      </c>
      <c r="H3359" s="1">
        <v>6599695</v>
      </c>
      <c r="I3359" s="1">
        <v>1617290</v>
      </c>
      <c r="J3359" s="1" t="s">
        <v>182</v>
      </c>
      <c r="K3359" s="1"/>
      <c r="L3359" s="1" t="str">
        <f t="shared" si="181"/>
        <v xml:space="preserve">Edssjön </v>
      </c>
      <c r="M3359" s="1" t="s">
        <v>213</v>
      </c>
      <c r="N3359" s="1">
        <v>3</v>
      </c>
      <c r="O3359" s="1">
        <v>3</v>
      </c>
      <c r="Q3359" s="1">
        <v>2.9</v>
      </c>
      <c r="R3359" s="1">
        <v>1.4</v>
      </c>
      <c r="S3359" s="1">
        <v>11</v>
      </c>
    </row>
    <row r="3360" spans="1:38" x14ac:dyDescent="0.3">
      <c r="A3360" s="1">
        <v>56080</v>
      </c>
      <c r="B3360" s="1" t="s">
        <v>254</v>
      </c>
      <c r="C3360" s="1" t="s">
        <v>231</v>
      </c>
      <c r="D3360" s="2">
        <f t="shared" si="182"/>
        <v>2017</v>
      </c>
      <c r="E3360" s="2">
        <f t="shared" si="183"/>
        <v>2</v>
      </c>
      <c r="F3360" s="3" t="s">
        <v>175</v>
      </c>
      <c r="G3360" s="4">
        <v>42787</v>
      </c>
      <c r="H3360" s="1">
        <v>6599695</v>
      </c>
      <c r="I3360" s="1">
        <v>1617290</v>
      </c>
      <c r="J3360" s="1" t="s">
        <v>182</v>
      </c>
      <c r="K3360" s="1"/>
      <c r="L3360" s="1" t="str">
        <f t="shared" si="181"/>
        <v xml:space="preserve">Edssjön </v>
      </c>
      <c r="M3360" s="1" t="s">
        <v>214</v>
      </c>
      <c r="N3360" s="1">
        <v>4</v>
      </c>
      <c r="O3360" s="1">
        <v>4</v>
      </c>
      <c r="Q3360" s="1">
        <v>3.4</v>
      </c>
      <c r="R3360" s="1">
        <v>1</v>
      </c>
      <c r="S3360" s="1">
        <v>8</v>
      </c>
    </row>
    <row r="3361" spans="1:38" x14ac:dyDescent="0.3">
      <c r="A3361" s="1">
        <v>56081</v>
      </c>
      <c r="B3361" s="1" t="s">
        <v>254</v>
      </c>
      <c r="C3361" s="1" t="s">
        <v>231</v>
      </c>
      <c r="D3361" s="2">
        <f t="shared" si="182"/>
        <v>2017</v>
      </c>
      <c r="E3361" s="2">
        <f t="shared" si="183"/>
        <v>2</v>
      </c>
      <c r="F3361" s="3" t="s">
        <v>175</v>
      </c>
      <c r="G3361" s="4">
        <v>42787</v>
      </c>
      <c r="H3361" s="1">
        <v>6599695</v>
      </c>
      <c r="I3361" s="1">
        <v>1617290</v>
      </c>
      <c r="J3361" s="1" t="s">
        <v>182</v>
      </c>
      <c r="K3361" s="1"/>
      <c r="L3361" s="1" t="str">
        <f t="shared" si="181"/>
        <v xml:space="preserve">Edssjön </v>
      </c>
      <c r="M3361" s="1" t="s">
        <v>184</v>
      </c>
      <c r="Q3361" s="1">
        <v>3.8</v>
      </c>
      <c r="R3361" s="1">
        <v>0.4</v>
      </c>
      <c r="S3361" s="1">
        <v>3</v>
      </c>
      <c r="W3361" s="1">
        <v>9.3587000000000007</v>
      </c>
      <c r="Y3361" s="1">
        <v>0.05</v>
      </c>
      <c r="Z3361" s="1">
        <v>37.369999999999997</v>
      </c>
      <c r="AA3361" s="1">
        <v>2.8</v>
      </c>
      <c r="AD3361" s="1">
        <v>830.2</v>
      </c>
      <c r="AK3361" s="1">
        <v>61.48</v>
      </c>
      <c r="AL3361" s="1">
        <v>1588.5</v>
      </c>
    </row>
    <row r="3362" spans="1:38" x14ac:dyDescent="0.3">
      <c r="A3362" s="1">
        <v>56083</v>
      </c>
      <c r="B3362" s="1" t="s">
        <v>254</v>
      </c>
      <c r="C3362" s="1" t="s">
        <v>231</v>
      </c>
      <c r="D3362" s="2">
        <f t="shared" si="182"/>
        <v>2017</v>
      </c>
      <c r="E3362" s="2">
        <f t="shared" si="183"/>
        <v>2</v>
      </c>
      <c r="F3362" s="3" t="s">
        <v>175</v>
      </c>
      <c r="G3362" s="4">
        <v>42787</v>
      </c>
      <c r="H3362" s="1">
        <v>6606035</v>
      </c>
      <c r="I3362" s="1">
        <v>1615620</v>
      </c>
      <c r="J3362" s="1" t="s">
        <v>187</v>
      </c>
      <c r="K3362" s="1"/>
      <c r="L3362" s="1" t="str">
        <f t="shared" si="181"/>
        <v xml:space="preserve">Oxundasjön </v>
      </c>
      <c r="M3362" s="1" t="s">
        <v>177</v>
      </c>
      <c r="N3362" s="1">
        <v>0.5</v>
      </c>
      <c r="O3362" s="1">
        <v>0.5</v>
      </c>
      <c r="P3362" s="1">
        <v>2.6</v>
      </c>
      <c r="Q3362" s="1">
        <v>2.1</v>
      </c>
      <c r="R3362" s="1">
        <v>16.2</v>
      </c>
      <c r="S3362" s="1">
        <v>121</v>
      </c>
      <c r="W3362" s="1">
        <v>1.1202000000000001</v>
      </c>
      <c r="Y3362" s="1">
        <v>5.1999999999999998E-2</v>
      </c>
      <c r="Z3362" s="1">
        <v>2.39</v>
      </c>
      <c r="AA3362" s="1">
        <v>3.8</v>
      </c>
      <c r="AD3362" s="1">
        <v>215.16</v>
      </c>
      <c r="AK3362" s="1">
        <v>60.15</v>
      </c>
      <c r="AL3362" s="1">
        <v>1196.3</v>
      </c>
    </row>
    <row r="3363" spans="1:38" x14ac:dyDescent="0.3">
      <c r="A3363" s="1">
        <v>56084</v>
      </c>
      <c r="B3363" s="1" t="s">
        <v>254</v>
      </c>
      <c r="C3363" s="1" t="s">
        <v>231</v>
      </c>
      <c r="D3363" s="2">
        <f t="shared" si="182"/>
        <v>2017</v>
      </c>
      <c r="E3363" s="2">
        <f t="shared" si="183"/>
        <v>2</v>
      </c>
      <c r="F3363" s="3" t="s">
        <v>175</v>
      </c>
      <c r="G3363" s="4">
        <v>42787</v>
      </c>
      <c r="H3363" s="1">
        <v>6606035</v>
      </c>
      <c r="I3363" s="1">
        <v>1615620</v>
      </c>
      <c r="J3363" s="1" t="s">
        <v>187</v>
      </c>
      <c r="K3363" s="1"/>
      <c r="L3363" s="1" t="str">
        <f t="shared" si="181"/>
        <v xml:space="preserve">Oxundasjön </v>
      </c>
      <c r="M3363" s="1" t="s">
        <v>211</v>
      </c>
      <c r="N3363" s="1">
        <v>1</v>
      </c>
      <c r="O3363" s="1">
        <v>1</v>
      </c>
      <c r="Q3363" s="1">
        <v>2.1</v>
      </c>
      <c r="R3363" s="1">
        <v>12.5</v>
      </c>
      <c r="S3363" s="1">
        <v>94</v>
      </c>
    </row>
    <row r="3364" spans="1:38" x14ac:dyDescent="0.3">
      <c r="A3364" s="1">
        <v>56085</v>
      </c>
      <c r="B3364" s="1" t="s">
        <v>254</v>
      </c>
      <c r="C3364" s="1" t="s">
        <v>231</v>
      </c>
      <c r="D3364" s="2">
        <f t="shared" si="182"/>
        <v>2017</v>
      </c>
      <c r="E3364" s="2">
        <f t="shared" si="183"/>
        <v>2</v>
      </c>
      <c r="F3364" s="3" t="s">
        <v>175</v>
      </c>
      <c r="G3364" s="4">
        <v>42787</v>
      </c>
      <c r="H3364" s="1">
        <v>6606035</v>
      </c>
      <c r="I3364" s="1">
        <v>1615620</v>
      </c>
      <c r="J3364" s="1" t="s">
        <v>187</v>
      </c>
      <c r="K3364" s="1"/>
      <c r="L3364" s="1" t="str">
        <f t="shared" si="181"/>
        <v xml:space="preserve">Oxundasjön </v>
      </c>
      <c r="M3364" s="1" t="s">
        <v>212</v>
      </c>
      <c r="N3364" s="1">
        <v>2</v>
      </c>
      <c r="O3364" s="1">
        <v>2</v>
      </c>
      <c r="Q3364" s="1">
        <v>2.2000000000000002</v>
      </c>
      <c r="R3364" s="1">
        <v>8.6999999999999993</v>
      </c>
      <c r="S3364" s="1">
        <v>65</v>
      </c>
    </row>
    <row r="3365" spans="1:38" x14ac:dyDescent="0.3">
      <c r="A3365" s="1">
        <v>56086</v>
      </c>
      <c r="B3365" s="1" t="s">
        <v>254</v>
      </c>
      <c r="C3365" s="1" t="s">
        <v>231</v>
      </c>
      <c r="D3365" s="2">
        <f t="shared" si="182"/>
        <v>2017</v>
      </c>
      <c r="E3365" s="2">
        <f t="shared" si="183"/>
        <v>2</v>
      </c>
      <c r="F3365" s="3" t="s">
        <v>175</v>
      </c>
      <c r="G3365" s="4">
        <v>42787</v>
      </c>
      <c r="H3365" s="1">
        <v>6606035</v>
      </c>
      <c r="I3365" s="1">
        <v>1615620</v>
      </c>
      <c r="J3365" s="1" t="s">
        <v>187</v>
      </c>
      <c r="K3365" s="1"/>
      <c r="L3365" s="1" t="str">
        <f t="shared" si="181"/>
        <v xml:space="preserve">Oxundasjön </v>
      </c>
      <c r="M3365" s="1" t="s">
        <v>213</v>
      </c>
      <c r="N3365" s="1">
        <v>3</v>
      </c>
      <c r="O3365" s="1">
        <v>3</v>
      </c>
      <c r="Q3365" s="1">
        <v>2.6</v>
      </c>
      <c r="R3365" s="1">
        <v>7.3</v>
      </c>
      <c r="S3365" s="1">
        <v>56</v>
      </c>
    </row>
    <row r="3366" spans="1:38" x14ac:dyDescent="0.3">
      <c r="A3366" s="1">
        <v>56087</v>
      </c>
      <c r="B3366" s="1" t="s">
        <v>254</v>
      </c>
      <c r="C3366" s="1" t="s">
        <v>231</v>
      </c>
      <c r="D3366" s="2">
        <f t="shared" si="182"/>
        <v>2017</v>
      </c>
      <c r="E3366" s="2">
        <f t="shared" si="183"/>
        <v>2</v>
      </c>
      <c r="F3366" s="3" t="s">
        <v>175</v>
      </c>
      <c r="G3366" s="4">
        <v>42787</v>
      </c>
      <c r="H3366" s="1">
        <v>6606035</v>
      </c>
      <c r="I3366" s="1">
        <v>1615620</v>
      </c>
      <c r="J3366" s="1" t="s">
        <v>187</v>
      </c>
      <c r="K3366" s="1"/>
      <c r="L3366" s="1" t="str">
        <f t="shared" si="181"/>
        <v xml:space="preserve">Oxundasjön </v>
      </c>
      <c r="M3366" s="1" t="s">
        <v>214</v>
      </c>
      <c r="N3366" s="1">
        <v>4</v>
      </c>
      <c r="O3366" s="1">
        <v>4</v>
      </c>
      <c r="Q3366" s="1">
        <v>3.3</v>
      </c>
      <c r="R3366" s="1">
        <v>5.0999999999999996</v>
      </c>
      <c r="S3366" s="1">
        <v>40</v>
      </c>
    </row>
    <row r="3367" spans="1:38" x14ac:dyDescent="0.3">
      <c r="A3367" s="1">
        <v>56088</v>
      </c>
      <c r="B3367" s="1" t="s">
        <v>254</v>
      </c>
      <c r="C3367" s="1" t="s">
        <v>231</v>
      </c>
      <c r="D3367" s="2">
        <f t="shared" si="182"/>
        <v>2017</v>
      </c>
      <c r="E3367" s="2">
        <f t="shared" si="183"/>
        <v>2</v>
      </c>
      <c r="F3367" s="3" t="s">
        <v>175</v>
      </c>
      <c r="G3367" s="4">
        <v>42787</v>
      </c>
      <c r="H3367" s="1">
        <v>6606035</v>
      </c>
      <c r="I3367" s="1">
        <v>1615620</v>
      </c>
      <c r="J3367" s="1" t="s">
        <v>187</v>
      </c>
      <c r="K3367" s="1"/>
      <c r="L3367" s="1" t="str">
        <f t="shared" si="181"/>
        <v xml:space="preserve">Oxundasjön </v>
      </c>
      <c r="M3367" s="1" t="s">
        <v>217</v>
      </c>
      <c r="N3367" s="1">
        <v>5</v>
      </c>
      <c r="O3367" s="1">
        <v>5</v>
      </c>
      <c r="Q3367" s="1">
        <v>4.0999999999999996</v>
      </c>
      <c r="R3367" s="1">
        <v>3</v>
      </c>
      <c r="S3367" s="1">
        <v>25</v>
      </c>
    </row>
    <row r="3368" spans="1:38" x14ac:dyDescent="0.3">
      <c r="A3368" s="1">
        <v>56089</v>
      </c>
      <c r="B3368" s="1" t="s">
        <v>254</v>
      </c>
      <c r="C3368" s="1" t="s">
        <v>231</v>
      </c>
      <c r="D3368" s="2">
        <f t="shared" si="182"/>
        <v>2017</v>
      </c>
      <c r="E3368" s="2">
        <f t="shared" si="183"/>
        <v>2</v>
      </c>
      <c r="F3368" s="3" t="s">
        <v>175</v>
      </c>
      <c r="G3368" s="4">
        <v>42787</v>
      </c>
      <c r="H3368" s="1">
        <v>6606035</v>
      </c>
      <c r="I3368" s="1">
        <v>1615620</v>
      </c>
      <c r="J3368" s="1" t="s">
        <v>187</v>
      </c>
      <c r="K3368" s="1"/>
      <c r="L3368" s="1" t="str">
        <f t="shared" si="181"/>
        <v xml:space="preserve">Oxundasjön </v>
      </c>
      <c r="M3368" s="1" t="s">
        <v>184</v>
      </c>
      <c r="Q3368" s="1">
        <v>4.5999999999999996</v>
      </c>
      <c r="R3368" s="1">
        <v>4.5</v>
      </c>
      <c r="S3368" s="1">
        <v>36</v>
      </c>
      <c r="W3368" s="1">
        <v>39.738599999999998</v>
      </c>
      <c r="Y3368" s="1">
        <v>4.2000000000000003E-2</v>
      </c>
      <c r="Z3368" s="1">
        <v>22.21</v>
      </c>
      <c r="AA3368" s="1">
        <v>1.64</v>
      </c>
      <c r="AD3368" s="1">
        <v>660.58</v>
      </c>
      <c r="AK3368" s="1">
        <v>35.39</v>
      </c>
      <c r="AL3368" s="1">
        <v>1211.3599999999999</v>
      </c>
    </row>
    <row r="3369" spans="1:38" x14ac:dyDescent="0.3">
      <c r="A3369" s="1">
        <v>56112</v>
      </c>
      <c r="B3369" s="1" t="s">
        <v>252</v>
      </c>
      <c r="C3369" s="1" t="s">
        <v>209</v>
      </c>
      <c r="D3369" s="2">
        <f t="shared" si="182"/>
        <v>2017</v>
      </c>
      <c r="E3369" s="2">
        <f t="shared" si="183"/>
        <v>2</v>
      </c>
      <c r="F3369" s="3" t="s">
        <v>175</v>
      </c>
      <c r="G3369" s="4">
        <v>42787</v>
      </c>
      <c r="H3369" s="1">
        <v>6600935</v>
      </c>
      <c r="I3369" s="1">
        <v>1626764</v>
      </c>
      <c r="J3369" s="1" t="s">
        <v>191</v>
      </c>
      <c r="K3369" s="1" t="s">
        <v>210</v>
      </c>
      <c r="L3369" s="1" t="str">
        <f t="shared" si="181"/>
        <v>Vallentunasjön Va2</v>
      </c>
      <c r="M3369" s="1" t="s">
        <v>177</v>
      </c>
      <c r="N3369" s="1">
        <v>0.5</v>
      </c>
      <c r="O3369" s="1">
        <v>0.5</v>
      </c>
      <c r="P3369" s="1">
        <v>2.8</v>
      </c>
      <c r="Q3369" s="1">
        <v>1.6</v>
      </c>
      <c r="R3369" s="1">
        <v>18.5</v>
      </c>
      <c r="S3369" s="1">
        <v>135</v>
      </c>
    </row>
    <row r="3370" spans="1:38" x14ac:dyDescent="0.3">
      <c r="A3370" s="1">
        <v>56113</v>
      </c>
      <c r="B3370" s="1" t="s">
        <v>252</v>
      </c>
      <c r="C3370" s="1" t="s">
        <v>209</v>
      </c>
      <c r="D3370" s="2">
        <f t="shared" si="182"/>
        <v>2017</v>
      </c>
      <c r="E3370" s="2">
        <f t="shared" si="183"/>
        <v>2</v>
      </c>
      <c r="F3370" s="3" t="s">
        <v>175</v>
      </c>
      <c r="G3370" s="4">
        <v>42787</v>
      </c>
      <c r="H3370" s="1">
        <v>6600935</v>
      </c>
      <c r="I3370" s="1">
        <v>1626764</v>
      </c>
      <c r="J3370" s="1" t="s">
        <v>191</v>
      </c>
      <c r="K3370" s="1" t="s">
        <v>210</v>
      </c>
      <c r="L3370" s="1" t="str">
        <f t="shared" si="181"/>
        <v>Vallentunasjön Va2</v>
      </c>
      <c r="M3370" s="1" t="s">
        <v>211</v>
      </c>
      <c r="N3370" s="1">
        <v>1</v>
      </c>
      <c r="O3370" s="1">
        <v>1</v>
      </c>
      <c r="Q3370" s="1">
        <v>3.2</v>
      </c>
      <c r="R3370" s="1">
        <v>16.399999999999999</v>
      </c>
      <c r="S3370" s="1">
        <v>125</v>
      </c>
    </row>
    <row r="3371" spans="1:38" x14ac:dyDescent="0.3">
      <c r="A3371" s="1">
        <v>56114</v>
      </c>
      <c r="B3371" s="1" t="s">
        <v>252</v>
      </c>
      <c r="C3371" s="1" t="s">
        <v>209</v>
      </c>
      <c r="D3371" s="2">
        <f t="shared" si="182"/>
        <v>2017</v>
      </c>
      <c r="E3371" s="2">
        <f t="shared" si="183"/>
        <v>2</v>
      </c>
      <c r="F3371" s="3" t="s">
        <v>175</v>
      </c>
      <c r="G3371" s="4">
        <v>42787</v>
      </c>
      <c r="H3371" s="1">
        <v>6600935</v>
      </c>
      <c r="I3371" s="1">
        <v>1626764</v>
      </c>
      <c r="J3371" s="1" t="s">
        <v>191</v>
      </c>
      <c r="K3371" s="1" t="s">
        <v>210</v>
      </c>
      <c r="L3371" s="1" t="str">
        <f t="shared" si="181"/>
        <v>Vallentunasjön Va2</v>
      </c>
      <c r="M3371" s="1" t="s">
        <v>212</v>
      </c>
      <c r="N3371" s="1">
        <v>2</v>
      </c>
      <c r="O3371" s="1">
        <v>2</v>
      </c>
      <c r="Q3371" s="1">
        <v>3.4</v>
      </c>
      <c r="R3371" s="1">
        <v>10.8</v>
      </c>
      <c r="S3371" s="1">
        <v>83</v>
      </c>
    </row>
    <row r="3372" spans="1:38" x14ac:dyDescent="0.3">
      <c r="A3372" s="1">
        <v>56115</v>
      </c>
      <c r="B3372" s="1" t="s">
        <v>252</v>
      </c>
      <c r="C3372" s="1" t="s">
        <v>209</v>
      </c>
      <c r="D3372" s="2">
        <f t="shared" si="182"/>
        <v>2017</v>
      </c>
      <c r="E3372" s="2">
        <f t="shared" si="183"/>
        <v>2</v>
      </c>
      <c r="F3372" s="3" t="s">
        <v>175</v>
      </c>
      <c r="G3372" s="4">
        <v>42787</v>
      </c>
      <c r="H3372" s="1">
        <v>6600935</v>
      </c>
      <c r="I3372" s="1">
        <v>1626764</v>
      </c>
      <c r="J3372" s="1" t="s">
        <v>191</v>
      </c>
      <c r="K3372" s="1" t="s">
        <v>210</v>
      </c>
      <c r="L3372" s="1" t="str">
        <f t="shared" si="181"/>
        <v>Vallentunasjön Va2</v>
      </c>
      <c r="M3372" s="1" t="s">
        <v>213</v>
      </c>
      <c r="N3372" s="1">
        <v>3</v>
      </c>
      <c r="O3372" s="1">
        <v>3</v>
      </c>
      <c r="Q3372" s="1">
        <v>3.8</v>
      </c>
      <c r="R3372" s="1">
        <v>1.7</v>
      </c>
      <c r="S3372" s="1">
        <v>13</v>
      </c>
    </row>
    <row r="3373" spans="1:38" x14ac:dyDescent="0.3">
      <c r="A3373" s="1">
        <v>56116</v>
      </c>
      <c r="B3373" s="1" t="s">
        <v>252</v>
      </c>
      <c r="C3373" s="1" t="s">
        <v>209</v>
      </c>
      <c r="D3373" s="2">
        <f t="shared" si="182"/>
        <v>2017</v>
      </c>
      <c r="E3373" s="2">
        <f t="shared" si="183"/>
        <v>2</v>
      </c>
      <c r="F3373" s="3" t="s">
        <v>175</v>
      </c>
      <c r="G3373" s="4">
        <v>42787</v>
      </c>
      <c r="H3373" s="1">
        <v>6600935</v>
      </c>
      <c r="I3373" s="1">
        <v>1626764</v>
      </c>
      <c r="J3373" s="1" t="s">
        <v>191</v>
      </c>
      <c r="K3373" s="1" t="s">
        <v>210</v>
      </c>
      <c r="L3373" s="1" t="str">
        <f t="shared" si="181"/>
        <v>Vallentunasjön Va2</v>
      </c>
      <c r="M3373" s="1" t="s">
        <v>214</v>
      </c>
      <c r="N3373" s="1">
        <v>4</v>
      </c>
      <c r="O3373" s="1">
        <v>4</v>
      </c>
      <c r="Q3373" s="1">
        <v>4.4000000000000004</v>
      </c>
      <c r="R3373" s="1">
        <v>0.4</v>
      </c>
      <c r="S3373" s="1">
        <v>3</v>
      </c>
    </row>
    <row r="3374" spans="1:38" x14ac:dyDescent="0.3">
      <c r="A3374" s="1">
        <v>56117</v>
      </c>
      <c r="B3374" s="1" t="s">
        <v>252</v>
      </c>
      <c r="C3374" s="1" t="s">
        <v>209</v>
      </c>
      <c r="D3374" s="2">
        <f t="shared" si="182"/>
        <v>2017</v>
      </c>
      <c r="E3374" s="2">
        <f t="shared" si="183"/>
        <v>2</v>
      </c>
      <c r="F3374" s="3" t="s">
        <v>175</v>
      </c>
      <c r="G3374" s="4">
        <v>42787</v>
      </c>
      <c r="H3374" s="1">
        <v>6600935</v>
      </c>
      <c r="I3374" s="1">
        <v>1626764</v>
      </c>
      <c r="J3374" s="1" t="s">
        <v>191</v>
      </c>
      <c r="K3374" s="1" t="s">
        <v>210</v>
      </c>
      <c r="L3374" s="1" t="str">
        <f t="shared" si="181"/>
        <v>Vallentunasjön Va2</v>
      </c>
      <c r="M3374" s="1" t="s">
        <v>184</v>
      </c>
      <c r="Q3374" s="1">
        <v>4.5999999999999996</v>
      </c>
      <c r="R3374" s="1">
        <v>0.1</v>
      </c>
      <c r="S3374" s="1">
        <v>2</v>
      </c>
    </row>
    <row r="3375" spans="1:38" x14ac:dyDescent="0.3">
      <c r="A3375" s="1">
        <v>56118</v>
      </c>
      <c r="B3375" s="1" t="s">
        <v>252</v>
      </c>
      <c r="C3375" s="1" t="s">
        <v>209</v>
      </c>
      <c r="D3375" s="2">
        <f t="shared" si="182"/>
        <v>2017</v>
      </c>
      <c r="E3375" s="2">
        <f t="shared" si="183"/>
        <v>2</v>
      </c>
      <c r="F3375" s="3" t="s">
        <v>175</v>
      </c>
      <c r="G3375" s="4">
        <v>42787</v>
      </c>
      <c r="J3375" s="1" t="s">
        <v>191</v>
      </c>
      <c r="K3375" s="1" t="s">
        <v>206</v>
      </c>
      <c r="L3375" s="1" t="str">
        <f t="shared" si="181"/>
        <v>Vallentunasjön Blandprov</v>
      </c>
      <c r="M3375" s="1" t="s">
        <v>177</v>
      </c>
      <c r="N3375" s="1">
        <v>4</v>
      </c>
      <c r="O3375" s="1">
        <v>0</v>
      </c>
      <c r="W3375" s="1">
        <v>195.3432</v>
      </c>
      <c r="Y3375" s="1">
        <v>3.6999999999999998E-2</v>
      </c>
      <c r="Z3375" s="1">
        <v>0</v>
      </c>
      <c r="AB3375" s="1">
        <v>14.596019999999999</v>
      </c>
      <c r="AD3375" s="1">
        <v>166.89</v>
      </c>
      <c r="AG3375" s="1">
        <v>4.8888888889000004</v>
      </c>
      <c r="AK3375" s="1">
        <v>19.13</v>
      </c>
      <c r="AL3375" s="1">
        <v>1197.9000000000001</v>
      </c>
    </row>
    <row r="3376" spans="1:38" x14ac:dyDescent="0.3">
      <c r="A3376" s="1">
        <v>56119</v>
      </c>
      <c r="B3376" s="1" t="s">
        <v>252</v>
      </c>
      <c r="C3376" s="1" t="s">
        <v>209</v>
      </c>
      <c r="D3376" s="2">
        <f t="shared" si="182"/>
        <v>2017</v>
      </c>
      <c r="E3376" s="2">
        <f t="shared" si="183"/>
        <v>2</v>
      </c>
      <c r="F3376" s="3" t="s">
        <v>175</v>
      </c>
      <c r="G3376" s="4">
        <v>42787</v>
      </c>
      <c r="H3376" s="1">
        <v>6602742</v>
      </c>
      <c r="I3376" s="1">
        <v>1627620</v>
      </c>
      <c r="J3376" s="1" t="s">
        <v>191</v>
      </c>
      <c r="K3376" s="1" t="s">
        <v>253</v>
      </c>
      <c r="L3376" s="1" t="str">
        <f t="shared" si="181"/>
        <v>Vallentunasjön Va1</v>
      </c>
      <c r="M3376" s="1" t="s">
        <v>177</v>
      </c>
      <c r="N3376" s="1">
        <v>0.5</v>
      </c>
      <c r="O3376" s="1">
        <v>0.5</v>
      </c>
      <c r="Q3376" s="1">
        <v>2.2000000000000002</v>
      </c>
      <c r="R3376" s="1">
        <v>19.100000000000001</v>
      </c>
      <c r="S3376" s="1">
        <v>142</v>
      </c>
    </row>
    <row r="3377" spans="1:38" x14ac:dyDescent="0.3">
      <c r="A3377" s="1">
        <v>56120</v>
      </c>
      <c r="B3377" s="1" t="s">
        <v>252</v>
      </c>
      <c r="C3377" s="1" t="s">
        <v>209</v>
      </c>
      <c r="D3377" s="2">
        <f t="shared" si="182"/>
        <v>2017</v>
      </c>
      <c r="E3377" s="2">
        <f t="shared" si="183"/>
        <v>2</v>
      </c>
      <c r="F3377" s="3" t="s">
        <v>175</v>
      </c>
      <c r="G3377" s="4">
        <v>42787</v>
      </c>
      <c r="H3377" s="1">
        <v>6602742</v>
      </c>
      <c r="I3377" s="1">
        <v>1627620</v>
      </c>
      <c r="J3377" s="1" t="s">
        <v>191</v>
      </c>
      <c r="K3377" s="1" t="s">
        <v>253</v>
      </c>
      <c r="L3377" s="1" t="str">
        <f t="shared" si="181"/>
        <v>Vallentunasjön Va1</v>
      </c>
      <c r="M3377" s="1" t="s">
        <v>211</v>
      </c>
      <c r="N3377" s="1">
        <v>1</v>
      </c>
      <c r="O3377" s="1">
        <v>1</v>
      </c>
      <c r="Q3377" s="1">
        <v>3.1</v>
      </c>
      <c r="R3377" s="1">
        <v>20.100000000000001</v>
      </c>
      <c r="S3377" s="1">
        <v>153</v>
      </c>
    </row>
    <row r="3378" spans="1:38" x14ac:dyDescent="0.3">
      <c r="A3378" s="1">
        <v>56121</v>
      </c>
      <c r="B3378" s="1" t="s">
        <v>252</v>
      </c>
      <c r="C3378" s="1" t="s">
        <v>209</v>
      </c>
      <c r="D3378" s="2">
        <f t="shared" si="182"/>
        <v>2017</v>
      </c>
      <c r="E3378" s="2">
        <f t="shared" si="183"/>
        <v>2</v>
      </c>
      <c r="F3378" s="3" t="s">
        <v>175</v>
      </c>
      <c r="G3378" s="4">
        <v>42787</v>
      </c>
      <c r="H3378" s="1">
        <v>6602742</v>
      </c>
      <c r="I3378" s="1">
        <v>1627620</v>
      </c>
      <c r="J3378" s="1" t="s">
        <v>191</v>
      </c>
      <c r="K3378" s="1" t="s">
        <v>253</v>
      </c>
      <c r="L3378" s="1" t="str">
        <f t="shared" si="181"/>
        <v>Vallentunasjön Va1</v>
      </c>
      <c r="M3378" s="1" t="s">
        <v>184</v>
      </c>
      <c r="N3378" s="1">
        <v>2</v>
      </c>
      <c r="O3378" s="1">
        <v>2</v>
      </c>
      <c r="Q3378" s="1">
        <v>3.2</v>
      </c>
      <c r="R3378" s="1">
        <v>11.7</v>
      </c>
      <c r="S3378" s="1">
        <v>89</v>
      </c>
    </row>
    <row r="3379" spans="1:38" x14ac:dyDescent="0.3">
      <c r="A3379" s="1">
        <v>56321</v>
      </c>
      <c r="B3379" s="1" t="s">
        <v>252</v>
      </c>
      <c r="C3379" s="1" t="s">
        <v>209</v>
      </c>
      <c r="D3379" s="2">
        <f t="shared" si="182"/>
        <v>2017</v>
      </c>
      <c r="E3379" s="2">
        <f t="shared" si="183"/>
        <v>3</v>
      </c>
      <c r="F3379" s="3" t="s">
        <v>175</v>
      </c>
      <c r="G3379" s="4">
        <v>42809</v>
      </c>
      <c r="H3379" s="1">
        <v>6600935</v>
      </c>
      <c r="I3379" s="1">
        <v>1626764</v>
      </c>
      <c r="J3379" s="1" t="s">
        <v>191</v>
      </c>
      <c r="K3379" s="1" t="s">
        <v>210</v>
      </c>
      <c r="L3379" s="1" t="str">
        <f t="shared" si="181"/>
        <v>Vallentunasjön Va2</v>
      </c>
      <c r="M3379" s="1" t="s">
        <v>177</v>
      </c>
      <c r="N3379" s="1">
        <v>0.5</v>
      </c>
      <c r="O3379" s="1">
        <v>0.5</v>
      </c>
      <c r="P3379" s="1">
        <v>2.4</v>
      </c>
      <c r="Q3379" s="1">
        <v>3.8</v>
      </c>
      <c r="R3379" s="1">
        <v>19.2</v>
      </c>
      <c r="S3379" s="1">
        <v>147</v>
      </c>
    </row>
    <row r="3380" spans="1:38" x14ac:dyDescent="0.3">
      <c r="A3380" s="1">
        <v>56322</v>
      </c>
      <c r="B3380" s="1" t="s">
        <v>252</v>
      </c>
      <c r="C3380" s="1" t="s">
        <v>209</v>
      </c>
      <c r="D3380" s="2">
        <f t="shared" si="182"/>
        <v>2017</v>
      </c>
      <c r="E3380" s="2">
        <f t="shared" si="183"/>
        <v>3</v>
      </c>
      <c r="F3380" s="3" t="s">
        <v>175</v>
      </c>
      <c r="G3380" s="4">
        <v>42809</v>
      </c>
      <c r="H3380" s="1">
        <v>6600935</v>
      </c>
      <c r="I3380" s="1">
        <v>1626764</v>
      </c>
      <c r="J3380" s="1" t="s">
        <v>191</v>
      </c>
      <c r="K3380" s="1" t="s">
        <v>210</v>
      </c>
      <c r="L3380" s="1" t="str">
        <f t="shared" si="181"/>
        <v>Vallentunasjön Va2</v>
      </c>
      <c r="M3380" s="1" t="s">
        <v>211</v>
      </c>
      <c r="N3380" s="1">
        <v>1</v>
      </c>
      <c r="O3380" s="1">
        <v>1</v>
      </c>
      <c r="Q3380" s="1">
        <v>4.9000000000000004</v>
      </c>
      <c r="R3380" s="1">
        <v>19.3</v>
      </c>
      <c r="S3380" s="1">
        <v>152</v>
      </c>
    </row>
    <row r="3381" spans="1:38" x14ac:dyDescent="0.3">
      <c r="A3381" s="1">
        <v>56323</v>
      </c>
      <c r="B3381" s="1" t="s">
        <v>252</v>
      </c>
      <c r="C3381" s="1" t="s">
        <v>209</v>
      </c>
      <c r="D3381" s="2">
        <f t="shared" si="182"/>
        <v>2017</v>
      </c>
      <c r="E3381" s="2">
        <f t="shared" si="183"/>
        <v>3</v>
      </c>
      <c r="F3381" s="3" t="s">
        <v>175</v>
      </c>
      <c r="G3381" s="4">
        <v>42809</v>
      </c>
      <c r="H3381" s="1">
        <v>6600935</v>
      </c>
      <c r="I3381" s="1">
        <v>1626764</v>
      </c>
      <c r="J3381" s="1" t="s">
        <v>191</v>
      </c>
      <c r="K3381" s="1" t="s">
        <v>210</v>
      </c>
      <c r="L3381" s="1" t="str">
        <f t="shared" si="181"/>
        <v>Vallentunasjön Va2</v>
      </c>
      <c r="M3381" s="1" t="s">
        <v>212</v>
      </c>
      <c r="N3381" s="1">
        <v>2</v>
      </c>
      <c r="O3381" s="1">
        <v>2</v>
      </c>
      <c r="Q3381" s="1">
        <v>5.0999999999999996</v>
      </c>
      <c r="R3381" s="1">
        <v>16</v>
      </c>
      <c r="S3381" s="1">
        <v>126</v>
      </c>
    </row>
    <row r="3382" spans="1:38" x14ac:dyDescent="0.3">
      <c r="A3382" s="1">
        <v>56324</v>
      </c>
      <c r="B3382" s="1" t="s">
        <v>252</v>
      </c>
      <c r="C3382" s="1" t="s">
        <v>209</v>
      </c>
      <c r="D3382" s="2">
        <f t="shared" si="182"/>
        <v>2017</v>
      </c>
      <c r="E3382" s="2">
        <f t="shared" si="183"/>
        <v>3</v>
      </c>
      <c r="F3382" s="3" t="s">
        <v>175</v>
      </c>
      <c r="G3382" s="4">
        <v>42809</v>
      </c>
      <c r="H3382" s="1">
        <v>6600935</v>
      </c>
      <c r="I3382" s="1">
        <v>1626764</v>
      </c>
      <c r="J3382" s="1" t="s">
        <v>191</v>
      </c>
      <c r="K3382" s="1" t="s">
        <v>210</v>
      </c>
      <c r="L3382" s="1" t="str">
        <f t="shared" si="181"/>
        <v>Vallentunasjön Va2</v>
      </c>
      <c r="M3382" s="1" t="s">
        <v>213</v>
      </c>
      <c r="N3382" s="1">
        <v>3</v>
      </c>
      <c r="O3382" s="1">
        <v>3</v>
      </c>
      <c r="Q3382" s="1">
        <v>4.7</v>
      </c>
      <c r="R3382" s="1">
        <v>2.8</v>
      </c>
      <c r="S3382" s="1">
        <v>22</v>
      </c>
    </row>
    <row r="3383" spans="1:38" x14ac:dyDescent="0.3">
      <c r="A3383" s="1">
        <v>56325</v>
      </c>
      <c r="B3383" s="1" t="s">
        <v>252</v>
      </c>
      <c r="C3383" s="1" t="s">
        <v>209</v>
      </c>
      <c r="D3383" s="2">
        <f t="shared" si="182"/>
        <v>2017</v>
      </c>
      <c r="E3383" s="2">
        <f t="shared" si="183"/>
        <v>3</v>
      </c>
      <c r="F3383" s="3" t="s">
        <v>175</v>
      </c>
      <c r="G3383" s="4">
        <v>42809</v>
      </c>
      <c r="H3383" s="1">
        <v>6600935</v>
      </c>
      <c r="I3383" s="1">
        <v>1626764</v>
      </c>
      <c r="J3383" s="1" t="s">
        <v>191</v>
      </c>
      <c r="K3383" s="1" t="s">
        <v>210</v>
      </c>
      <c r="L3383" s="1" t="str">
        <f t="shared" si="181"/>
        <v>Vallentunasjön Va2</v>
      </c>
      <c r="M3383" s="1" t="s">
        <v>214</v>
      </c>
      <c r="N3383" s="1">
        <v>4</v>
      </c>
      <c r="O3383" s="1">
        <v>4</v>
      </c>
      <c r="Q3383" s="1">
        <v>5</v>
      </c>
      <c r="R3383" s="1">
        <v>0.3</v>
      </c>
      <c r="S3383" s="1">
        <v>3</v>
      </c>
    </row>
    <row r="3384" spans="1:38" x14ac:dyDescent="0.3">
      <c r="A3384" s="1">
        <v>56326</v>
      </c>
      <c r="B3384" s="1" t="s">
        <v>252</v>
      </c>
      <c r="C3384" s="1" t="s">
        <v>209</v>
      </c>
      <c r="D3384" s="2">
        <f t="shared" si="182"/>
        <v>2017</v>
      </c>
      <c r="E3384" s="2">
        <f t="shared" si="183"/>
        <v>3</v>
      </c>
      <c r="F3384" s="3" t="s">
        <v>175</v>
      </c>
      <c r="G3384" s="4">
        <v>42809</v>
      </c>
      <c r="H3384" s="1">
        <v>6600935</v>
      </c>
      <c r="I3384" s="1">
        <v>1626764</v>
      </c>
      <c r="J3384" s="1" t="s">
        <v>191</v>
      </c>
      <c r="K3384" s="1" t="s">
        <v>210</v>
      </c>
      <c r="L3384" s="1" t="str">
        <f t="shared" si="181"/>
        <v>Vallentunasjön Va2</v>
      </c>
      <c r="M3384" s="1" t="s">
        <v>184</v>
      </c>
      <c r="Q3384" s="1">
        <v>5.0999999999999996</v>
      </c>
      <c r="R3384" s="1">
        <v>0.1</v>
      </c>
      <c r="S3384" s="1">
        <v>1</v>
      </c>
    </row>
    <row r="3385" spans="1:38" x14ac:dyDescent="0.3">
      <c r="A3385" s="1">
        <v>56327</v>
      </c>
      <c r="B3385" s="1" t="s">
        <v>252</v>
      </c>
      <c r="C3385" s="1" t="s">
        <v>209</v>
      </c>
      <c r="D3385" s="2">
        <f t="shared" si="182"/>
        <v>2017</v>
      </c>
      <c r="E3385" s="2">
        <f t="shared" si="183"/>
        <v>3</v>
      </c>
      <c r="F3385" s="3" t="s">
        <v>175</v>
      </c>
      <c r="G3385" s="4">
        <v>42809</v>
      </c>
      <c r="J3385" s="1" t="s">
        <v>191</v>
      </c>
      <c r="K3385" s="1" t="s">
        <v>206</v>
      </c>
      <c r="L3385" s="1" t="str">
        <f t="shared" si="181"/>
        <v>Vallentunasjön Blandprov</v>
      </c>
      <c r="M3385" s="1" t="s">
        <v>177</v>
      </c>
      <c r="N3385" s="1">
        <v>4</v>
      </c>
      <c r="O3385" s="1">
        <v>0</v>
      </c>
      <c r="W3385" s="1">
        <v>135.30869999999999</v>
      </c>
      <c r="Y3385" s="1">
        <v>3.6999999999999998E-2</v>
      </c>
      <c r="Z3385" s="1">
        <v>1.85</v>
      </c>
      <c r="AB3385" s="1">
        <v>14.401199999999999</v>
      </c>
      <c r="AD3385" s="1">
        <v>161.69</v>
      </c>
      <c r="AG3385" s="1">
        <v>4.4000000000000004</v>
      </c>
      <c r="AK3385" s="1">
        <v>19.850000000000001</v>
      </c>
      <c r="AL3385" s="1">
        <v>1106.48</v>
      </c>
    </row>
    <row r="3386" spans="1:38" x14ac:dyDescent="0.3">
      <c r="A3386" s="1">
        <v>56328</v>
      </c>
      <c r="B3386" s="1" t="s">
        <v>252</v>
      </c>
      <c r="C3386" s="1" t="s">
        <v>209</v>
      </c>
      <c r="D3386" s="2">
        <f t="shared" si="182"/>
        <v>2017</v>
      </c>
      <c r="E3386" s="2">
        <f t="shared" si="183"/>
        <v>3</v>
      </c>
      <c r="F3386" s="3" t="s">
        <v>175</v>
      </c>
      <c r="G3386" s="4">
        <v>42809</v>
      </c>
      <c r="H3386" s="1">
        <v>6602742</v>
      </c>
      <c r="I3386" s="1">
        <v>1627620</v>
      </c>
      <c r="J3386" s="1" t="s">
        <v>191</v>
      </c>
      <c r="K3386" s="1" t="s">
        <v>253</v>
      </c>
      <c r="L3386" s="1" t="str">
        <f t="shared" si="181"/>
        <v>Vallentunasjön Va1</v>
      </c>
      <c r="M3386" s="1" t="s">
        <v>177</v>
      </c>
      <c r="N3386" s="1">
        <v>0.5</v>
      </c>
      <c r="O3386" s="1">
        <v>0.5</v>
      </c>
      <c r="Q3386" s="1">
        <v>3</v>
      </c>
      <c r="R3386" s="1">
        <v>19.100000000000001</v>
      </c>
      <c r="S3386" s="1">
        <v>144</v>
      </c>
    </row>
    <row r="3387" spans="1:38" x14ac:dyDescent="0.3">
      <c r="A3387" s="1">
        <v>56329</v>
      </c>
      <c r="B3387" s="1" t="s">
        <v>252</v>
      </c>
      <c r="C3387" s="1" t="s">
        <v>209</v>
      </c>
      <c r="D3387" s="2">
        <f t="shared" si="182"/>
        <v>2017</v>
      </c>
      <c r="E3387" s="2">
        <f t="shared" si="183"/>
        <v>3</v>
      </c>
      <c r="F3387" s="3" t="s">
        <v>175</v>
      </c>
      <c r="G3387" s="4">
        <v>42809</v>
      </c>
      <c r="H3387" s="1">
        <v>6602742</v>
      </c>
      <c r="I3387" s="1">
        <v>1627620</v>
      </c>
      <c r="J3387" s="1" t="s">
        <v>191</v>
      </c>
      <c r="K3387" s="1" t="s">
        <v>253</v>
      </c>
      <c r="L3387" s="1" t="str">
        <f t="shared" si="181"/>
        <v>Vallentunasjön Va1</v>
      </c>
      <c r="M3387" s="1" t="s">
        <v>211</v>
      </c>
      <c r="N3387" s="1">
        <v>1</v>
      </c>
      <c r="O3387" s="1">
        <v>1</v>
      </c>
      <c r="Q3387" s="1">
        <v>4.5999999999999996</v>
      </c>
      <c r="R3387" s="1">
        <v>19.2</v>
      </c>
      <c r="S3387" s="1">
        <v>149</v>
      </c>
    </row>
    <row r="3388" spans="1:38" x14ac:dyDescent="0.3">
      <c r="A3388" s="1">
        <v>56330</v>
      </c>
      <c r="B3388" s="1" t="s">
        <v>252</v>
      </c>
      <c r="C3388" s="1" t="s">
        <v>209</v>
      </c>
      <c r="D3388" s="2">
        <f t="shared" si="182"/>
        <v>2017</v>
      </c>
      <c r="E3388" s="2">
        <f t="shared" si="183"/>
        <v>3</v>
      </c>
      <c r="F3388" s="3" t="s">
        <v>175</v>
      </c>
      <c r="G3388" s="4">
        <v>42809</v>
      </c>
      <c r="H3388" s="1">
        <v>6602742</v>
      </c>
      <c r="I3388" s="1">
        <v>1627620</v>
      </c>
      <c r="J3388" s="1" t="s">
        <v>191</v>
      </c>
      <c r="K3388" s="1" t="s">
        <v>253</v>
      </c>
      <c r="L3388" s="1" t="str">
        <f t="shared" si="181"/>
        <v>Vallentunasjön Va1</v>
      </c>
      <c r="M3388" s="1" t="s">
        <v>184</v>
      </c>
      <c r="N3388" s="1">
        <v>2</v>
      </c>
      <c r="O3388" s="1">
        <v>2</v>
      </c>
      <c r="Q3388" s="1">
        <v>4.3</v>
      </c>
      <c r="R3388" s="1">
        <v>15.7</v>
      </c>
      <c r="S3388" s="1">
        <v>121</v>
      </c>
    </row>
    <row r="3389" spans="1:38" x14ac:dyDescent="0.3">
      <c r="A3389" s="1">
        <v>56853</v>
      </c>
      <c r="B3389" s="1" t="s">
        <v>252</v>
      </c>
      <c r="C3389" s="1" t="s">
        <v>209</v>
      </c>
      <c r="D3389" s="2">
        <f t="shared" si="182"/>
        <v>2017</v>
      </c>
      <c r="E3389" s="2">
        <f t="shared" si="183"/>
        <v>4</v>
      </c>
      <c r="F3389" s="3" t="s">
        <v>178</v>
      </c>
      <c r="G3389" s="4">
        <v>42850</v>
      </c>
      <c r="H3389" s="1">
        <v>6600935</v>
      </c>
      <c r="I3389" s="1">
        <v>1626764</v>
      </c>
      <c r="J3389" s="1" t="s">
        <v>191</v>
      </c>
      <c r="K3389" s="1" t="s">
        <v>210</v>
      </c>
      <c r="L3389" s="1" t="str">
        <f t="shared" si="181"/>
        <v>Vallentunasjön Va2</v>
      </c>
      <c r="M3389" s="1" t="s">
        <v>177</v>
      </c>
      <c r="N3389" s="1">
        <v>0.5</v>
      </c>
      <c r="O3389" s="1">
        <v>0.5</v>
      </c>
      <c r="P3389" s="1">
        <v>0.8</v>
      </c>
      <c r="Q3389" s="1">
        <v>6.4</v>
      </c>
      <c r="R3389" s="1">
        <v>12.7</v>
      </c>
      <c r="S3389" s="1">
        <v>105</v>
      </c>
    </row>
    <row r="3390" spans="1:38" x14ac:dyDescent="0.3">
      <c r="A3390" s="1">
        <v>56854</v>
      </c>
      <c r="B3390" s="1" t="s">
        <v>252</v>
      </c>
      <c r="C3390" s="1" t="s">
        <v>209</v>
      </c>
      <c r="D3390" s="2">
        <f t="shared" si="182"/>
        <v>2017</v>
      </c>
      <c r="E3390" s="2">
        <f t="shared" si="183"/>
        <v>4</v>
      </c>
      <c r="F3390" s="3" t="s">
        <v>178</v>
      </c>
      <c r="G3390" s="4">
        <v>42850</v>
      </c>
      <c r="H3390" s="1">
        <v>6600935</v>
      </c>
      <c r="I3390" s="1">
        <v>1626764</v>
      </c>
      <c r="J3390" s="1" t="s">
        <v>191</v>
      </c>
      <c r="K3390" s="1" t="s">
        <v>210</v>
      </c>
      <c r="L3390" s="1" t="str">
        <f t="shared" ref="L3390:L3453" si="184">CONCATENATE(J3390," ",K3390)</f>
        <v>Vallentunasjön Va2</v>
      </c>
      <c r="M3390" s="1" t="s">
        <v>211</v>
      </c>
      <c r="N3390" s="1">
        <v>1</v>
      </c>
      <c r="O3390" s="1">
        <v>1</v>
      </c>
      <c r="Q3390" s="1">
        <v>6.5</v>
      </c>
      <c r="R3390" s="1">
        <v>12.7</v>
      </c>
      <c r="S3390" s="1">
        <v>105</v>
      </c>
    </row>
    <row r="3391" spans="1:38" x14ac:dyDescent="0.3">
      <c r="A3391" s="1">
        <v>56855</v>
      </c>
      <c r="B3391" s="1" t="s">
        <v>252</v>
      </c>
      <c r="C3391" s="1" t="s">
        <v>209</v>
      </c>
      <c r="D3391" s="2">
        <f t="shared" si="182"/>
        <v>2017</v>
      </c>
      <c r="E3391" s="2">
        <f t="shared" si="183"/>
        <v>4</v>
      </c>
      <c r="F3391" s="3" t="s">
        <v>178</v>
      </c>
      <c r="G3391" s="4">
        <v>42850</v>
      </c>
      <c r="H3391" s="1">
        <v>6600935</v>
      </c>
      <c r="I3391" s="1">
        <v>1626764</v>
      </c>
      <c r="J3391" s="1" t="s">
        <v>191</v>
      </c>
      <c r="K3391" s="1" t="s">
        <v>210</v>
      </c>
      <c r="L3391" s="1" t="str">
        <f t="shared" si="184"/>
        <v>Vallentunasjön Va2</v>
      </c>
      <c r="M3391" s="1" t="s">
        <v>212</v>
      </c>
      <c r="N3391" s="1">
        <v>2</v>
      </c>
      <c r="O3391" s="1">
        <v>2</v>
      </c>
      <c r="Q3391" s="1">
        <v>6.5</v>
      </c>
      <c r="R3391" s="1">
        <v>12.7</v>
      </c>
      <c r="S3391" s="1">
        <v>105</v>
      </c>
    </row>
    <row r="3392" spans="1:38" x14ac:dyDescent="0.3">
      <c r="A3392" s="1">
        <v>56856</v>
      </c>
      <c r="B3392" s="1" t="s">
        <v>252</v>
      </c>
      <c r="C3392" s="1" t="s">
        <v>209</v>
      </c>
      <c r="D3392" s="2">
        <f t="shared" si="182"/>
        <v>2017</v>
      </c>
      <c r="E3392" s="2">
        <f t="shared" si="183"/>
        <v>4</v>
      </c>
      <c r="F3392" s="3" t="s">
        <v>178</v>
      </c>
      <c r="G3392" s="4">
        <v>42850</v>
      </c>
      <c r="H3392" s="1">
        <v>6600935</v>
      </c>
      <c r="I3392" s="1">
        <v>1626764</v>
      </c>
      <c r="J3392" s="1" t="s">
        <v>191</v>
      </c>
      <c r="K3392" s="1" t="s">
        <v>210</v>
      </c>
      <c r="L3392" s="1" t="str">
        <f t="shared" si="184"/>
        <v>Vallentunasjön Va2</v>
      </c>
      <c r="M3392" s="1" t="s">
        <v>213</v>
      </c>
      <c r="N3392" s="1">
        <v>3</v>
      </c>
      <c r="O3392" s="1">
        <v>3</v>
      </c>
      <c r="Q3392" s="1">
        <v>6.5</v>
      </c>
      <c r="R3392" s="1">
        <v>12.7</v>
      </c>
      <c r="S3392" s="1">
        <v>105</v>
      </c>
    </row>
    <row r="3393" spans="1:38" x14ac:dyDescent="0.3">
      <c r="A3393" s="1">
        <v>56857</v>
      </c>
      <c r="B3393" s="1" t="s">
        <v>252</v>
      </c>
      <c r="C3393" s="1" t="s">
        <v>209</v>
      </c>
      <c r="D3393" s="2">
        <f t="shared" si="182"/>
        <v>2017</v>
      </c>
      <c r="E3393" s="2">
        <f t="shared" si="183"/>
        <v>4</v>
      </c>
      <c r="F3393" s="3" t="s">
        <v>178</v>
      </c>
      <c r="G3393" s="4">
        <v>42850</v>
      </c>
      <c r="H3393" s="1">
        <v>6600935</v>
      </c>
      <c r="I3393" s="1">
        <v>1626764</v>
      </c>
      <c r="J3393" s="1" t="s">
        <v>191</v>
      </c>
      <c r="K3393" s="1" t="s">
        <v>210</v>
      </c>
      <c r="L3393" s="1" t="str">
        <f t="shared" si="184"/>
        <v>Vallentunasjön Va2</v>
      </c>
      <c r="M3393" s="1" t="s">
        <v>214</v>
      </c>
      <c r="N3393" s="1">
        <v>4</v>
      </c>
      <c r="O3393" s="1">
        <v>4</v>
      </c>
      <c r="Q3393" s="1">
        <v>6.5</v>
      </c>
      <c r="R3393" s="1">
        <v>12.7</v>
      </c>
      <c r="S3393" s="1">
        <v>105</v>
      </c>
    </row>
    <row r="3394" spans="1:38" x14ac:dyDescent="0.3">
      <c r="A3394" s="1">
        <v>56858</v>
      </c>
      <c r="B3394" s="1" t="s">
        <v>252</v>
      </c>
      <c r="C3394" s="1" t="s">
        <v>209</v>
      </c>
      <c r="D3394" s="2">
        <f t="shared" si="182"/>
        <v>2017</v>
      </c>
      <c r="E3394" s="2">
        <f t="shared" si="183"/>
        <v>4</v>
      </c>
      <c r="F3394" s="3" t="s">
        <v>178</v>
      </c>
      <c r="G3394" s="4">
        <v>42850</v>
      </c>
      <c r="H3394" s="1">
        <v>6600935</v>
      </c>
      <c r="I3394" s="1">
        <v>1626764</v>
      </c>
      <c r="J3394" s="1" t="s">
        <v>191</v>
      </c>
      <c r="K3394" s="1" t="s">
        <v>210</v>
      </c>
      <c r="L3394" s="1" t="str">
        <f t="shared" si="184"/>
        <v>Vallentunasjön Va2</v>
      </c>
      <c r="M3394" s="1" t="s">
        <v>184</v>
      </c>
      <c r="Q3394" s="1">
        <v>6.5</v>
      </c>
      <c r="R3394" s="1">
        <v>12.6</v>
      </c>
      <c r="S3394" s="1">
        <v>104</v>
      </c>
    </row>
    <row r="3395" spans="1:38" x14ac:dyDescent="0.3">
      <c r="A3395" s="1">
        <v>56859</v>
      </c>
      <c r="B3395" s="1" t="s">
        <v>252</v>
      </c>
      <c r="C3395" s="1" t="s">
        <v>209</v>
      </c>
      <c r="D3395" s="2">
        <f t="shared" si="182"/>
        <v>2017</v>
      </c>
      <c r="E3395" s="2">
        <f t="shared" si="183"/>
        <v>4</v>
      </c>
      <c r="F3395" s="3" t="s">
        <v>178</v>
      </c>
      <c r="G3395" s="4">
        <v>42850</v>
      </c>
      <c r="J3395" s="1" t="s">
        <v>191</v>
      </c>
      <c r="K3395" s="1" t="s">
        <v>206</v>
      </c>
      <c r="L3395" s="1" t="str">
        <f t="shared" si="184"/>
        <v>Vallentunasjön Blandprov</v>
      </c>
      <c r="M3395" s="1" t="s">
        <v>177</v>
      </c>
      <c r="N3395" s="1">
        <v>4</v>
      </c>
      <c r="O3395" s="1">
        <v>0</v>
      </c>
      <c r="Q3395" s="1">
        <v>6.5</v>
      </c>
      <c r="W3395" s="1">
        <v>3.0680000000000001</v>
      </c>
      <c r="X3395" s="1">
        <v>0.10939274890118646</v>
      </c>
      <c r="Y3395" s="1">
        <v>3.5000000000000003E-2</v>
      </c>
      <c r="Z3395" s="1">
        <v>2.4300000000000002</v>
      </c>
      <c r="AB3395" s="1">
        <v>33.8292</v>
      </c>
      <c r="AD3395" s="1">
        <v>0</v>
      </c>
      <c r="AE3395" s="1">
        <v>8.42</v>
      </c>
      <c r="AG3395" s="1">
        <v>19.5</v>
      </c>
      <c r="AK3395" s="1">
        <v>41.16</v>
      </c>
      <c r="AL3395" s="1">
        <v>1177.98</v>
      </c>
    </row>
    <row r="3396" spans="1:38" x14ac:dyDescent="0.3">
      <c r="A3396" s="1">
        <v>57295</v>
      </c>
      <c r="B3396" s="1" t="s">
        <v>252</v>
      </c>
      <c r="C3396" s="1" t="s">
        <v>209</v>
      </c>
      <c r="D3396" s="2">
        <f t="shared" si="182"/>
        <v>2017</v>
      </c>
      <c r="E3396" s="2">
        <f t="shared" si="183"/>
        <v>5</v>
      </c>
      <c r="F3396" s="3" t="s">
        <v>178</v>
      </c>
      <c r="G3396" s="4">
        <v>42871</v>
      </c>
      <c r="H3396" s="1">
        <v>6600935</v>
      </c>
      <c r="I3396" s="1">
        <v>1626764</v>
      </c>
      <c r="J3396" s="1" t="s">
        <v>191</v>
      </c>
      <c r="K3396" s="1" t="s">
        <v>210</v>
      </c>
      <c r="L3396" s="1" t="str">
        <f t="shared" si="184"/>
        <v>Vallentunasjön Va2</v>
      </c>
      <c r="M3396" s="1" t="s">
        <v>177</v>
      </c>
      <c r="N3396" s="1">
        <v>0.5</v>
      </c>
      <c r="O3396" s="1">
        <v>0.5</v>
      </c>
      <c r="P3396" s="1">
        <v>0.8</v>
      </c>
      <c r="Q3396" s="1">
        <v>11.5</v>
      </c>
      <c r="R3396" s="1">
        <v>11</v>
      </c>
      <c r="S3396" s="1">
        <v>99</v>
      </c>
    </row>
    <row r="3397" spans="1:38" x14ac:dyDescent="0.3">
      <c r="A3397" s="1">
        <v>57296</v>
      </c>
      <c r="B3397" s="1" t="s">
        <v>252</v>
      </c>
      <c r="C3397" s="1" t="s">
        <v>209</v>
      </c>
      <c r="D3397" s="2">
        <f t="shared" si="182"/>
        <v>2017</v>
      </c>
      <c r="E3397" s="2">
        <f t="shared" si="183"/>
        <v>5</v>
      </c>
      <c r="F3397" s="3" t="s">
        <v>178</v>
      </c>
      <c r="G3397" s="4">
        <v>42871</v>
      </c>
      <c r="H3397" s="1">
        <v>6600935</v>
      </c>
      <c r="I3397" s="1">
        <v>1626764</v>
      </c>
      <c r="J3397" s="1" t="s">
        <v>191</v>
      </c>
      <c r="K3397" s="1" t="s">
        <v>210</v>
      </c>
      <c r="L3397" s="1" t="str">
        <f t="shared" si="184"/>
        <v>Vallentunasjön Va2</v>
      </c>
      <c r="M3397" s="1" t="s">
        <v>211</v>
      </c>
      <c r="N3397" s="1">
        <v>1</v>
      </c>
      <c r="O3397" s="1">
        <v>1</v>
      </c>
      <c r="Q3397" s="1">
        <v>11.4</v>
      </c>
      <c r="R3397" s="1">
        <v>11</v>
      </c>
      <c r="S3397" s="1">
        <v>100</v>
      </c>
    </row>
    <row r="3398" spans="1:38" x14ac:dyDescent="0.3">
      <c r="A3398" s="1">
        <v>57297</v>
      </c>
      <c r="B3398" s="1" t="s">
        <v>252</v>
      </c>
      <c r="C3398" s="1" t="s">
        <v>209</v>
      </c>
      <c r="D3398" s="2">
        <f t="shared" ref="D3398:D3461" si="185">YEAR(G3398)</f>
        <v>2017</v>
      </c>
      <c r="E3398" s="2">
        <f t="shared" ref="E3398:E3461" si="186">MONTH(G3398)</f>
        <v>5</v>
      </c>
      <c r="F3398" s="3" t="s">
        <v>178</v>
      </c>
      <c r="G3398" s="4">
        <v>42871</v>
      </c>
      <c r="H3398" s="1">
        <v>6600935</v>
      </c>
      <c r="I3398" s="1">
        <v>1626764</v>
      </c>
      <c r="J3398" s="1" t="s">
        <v>191</v>
      </c>
      <c r="K3398" s="1" t="s">
        <v>210</v>
      </c>
      <c r="L3398" s="1" t="str">
        <f t="shared" si="184"/>
        <v>Vallentunasjön Va2</v>
      </c>
      <c r="M3398" s="1" t="s">
        <v>212</v>
      </c>
      <c r="N3398" s="1">
        <v>2</v>
      </c>
      <c r="O3398" s="1">
        <v>2</v>
      </c>
      <c r="Q3398" s="1">
        <v>11.3</v>
      </c>
      <c r="R3398" s="1">
        <v>11</v>
      </c>
      <c r="S3398" s="1">
        <v>99</v>
      </c>
    </row>
    <row r="3399" spans="1:38" x14ac:dyDescent="0.3">
      <c r="A3399" s="1">
        <v>57298</v>
      </c>
      <c r="B3399" s="1" t="s">
        <v>252</v>
      </c>
      <c r="C3399" s="1" t="s">
        <v>209</v>
      </c>
      <c r="D3399" s="2">
        <f t="shared" si="185"/>
        <v>2017</v>
      </c>
      <c r="E3399" s="2">
        <f t="shared" si="186"/>
        <v>5</v>
      </c>
      <c r="F3399" s="3" t="s">
        <v>178</v>
      </c>
      <c r="G3399" s="4">
        <v>42871</v>
      </c>
      <c r="H3399" s="1">
        <v>6600935</v>
      </c>
      <c r="I3399" s="1">
        <v>1626764</v>
      </c>
      <c r="J3399" s="1" t="s">
        <v>191</v>
      </c>
      <c r="K3399" s="1" t="s">
        <v>210</v>
      </c>
      <c r="L3399" s="1" t="str">
        <f t="shared" si="184"/>
        <v>Vallentunasjön Va2</v>
      </c>
      <c r="M3399" s="1" t="s">
        <v>213</v>
      </c>
      <c r="N3399" s="1">
        <v>3</v>
      </c>
      <c r="O3399" s="1">
        <v>3</v>
      </c>
      <c r="Q3399" s="1">
        <v>11</v>
      </c>
      <c r="R3399" s="1">
        <v>10.8</v>
      </c>
      <c r="S3399" s="1">
        <v>97</v>
      </c>
    </row>
    <row r="3400" spans="1:38" x14ac:dyDescent="0.3">
      <c r="A3400" s="1">
        <v>57299</v>
      </c>
      <c r="B3400" s="1" t="s">
        <v>252</v>
      </c>
      <c r="C3400" s="1" t="s">
        <v>209</v>
      </c>
      <c r="D3400" s="2">
        <f t="shared" si="185"/>
        <v>2017</v>
      </c>
      <c r="E3400" s="2">
        <f t="shared" si="186"/>
        <v>5</v>
      </c>
      <c r="F3400" s="3" t="s">
        <v>178</v>
      </c>
      <c r="G3400" s="4">
        <v>42871</v>
      </c>
      <c r="H3400" s="1">
        <v>6600935</v>
      </c>
      <c r="I3400" s="1">
        <v>1626764</v>
      </c>
      <c r="J3400" s="1" t="s">
        <v>191</v>
      </c>
      <c r="K3400" s="1" t="s">
        <v>210</v>
      </c>
      <c r="L3400" s="1" t="str">
        <f t="shared" si="184"/>
        <v>Vallentunasjön Va2</v>
      </c>
      <c r="M3400" s="1" t="s">
        <v>214</v>
      </c>
      <c r="N3400" s="1">
        <v>4</v>
      </c>
      <c r="O3400" s="1">
        <v>4</v>
      </c>
      <c r="Q3400" s="1">
        <v>10.6</v>
      </c>
      <c r="R3400" s="1">
        <v>10.4</v>
      </c>
      <c r="S3400" s="1">
        <v>92</v>
      </c>
    </row>
    <row r="3401" spans="1:38" x14ac:dyDescent="0.3">
      <c r="A3401" s="1">
        <v>57300</v>
      </c>
      <c r="B3401" s="1" t="s">
        <v>252</v>
      </c>
      <c r="C3401" s="1" t="s">
        <v>209</v>
      </c>
      <c r="D3401" s="2">
        <f t="shared" si="185"/>
        <v>2017</v>
      </c>
      <c r="E3401" s="2">
        <f t="shared" si="186"/>
        <v>5</v>
      </c>
      <c r="F3401" s="3" t="s">
        <v>178</v>
      </c>
      <c r="G3401" s="4">
        <v>42871</v>
      </c>
      <c r="H3401" s="1">
        <v>6600935</v>
      </c>
      <c r="I3401" s="1">
        <v>1626764</v>
      </c>
      <c r="J3401" s="1" t="s">
        <v>191</v>
      </c>
      <c r="K3401" s="1" t="s">
        <v>210</v>
      </c>
      <c r="L3401" s="1" t="str">
        <f t="shared" si="184"/>
        <v>Vallentunasjön Va2</v>
      </c>
      <c r="M3401" s="1" t="s">
        <v>184</v>
      </c>
      <c r="Q3401" s="1">
        <v>10.5</v>
      </c>
      <c r="R3401" s="1">
        <v>10.199999999999999</v>
      </c>
      <c r="S3401" s="1">
        <v>90</v>
      </c>
    </row>
    <row r="3402" spans="1:38" x14ac:dyDescent="0.3">
      <c r="A3402" s="1">
        <v>57301</v>
      </c>
      <c r="B3402" s="1" t="s">
        <v>252</v>
      </c>
      <c r="C3402" s="1" t="s">
        <v>209</v>
      </c>
      <c r="D3402" s="2">
        <f t="shared" si="185"/>
        <v>2017</v>
      </c>
      <c r="E3402" s="2">
        <f t="shared" si="186"/>
        <v>5</v>
      </c>
      <c r="F3402" s="3" t="s">
        <v>178</v>
      </c>
      <c r="G3402" s="4">
        <v>42871</v>
      </c>
      <c r="J3402" s="1" t="s">
        <v>191</v>
      </c>
      <c r="K3402" s="1" t="s">
        <v>206</v>
      </c>
      <c r="L3402" s="1" t="str">
        <f t="shared" si="184"/>
        <v>Vallentunasjön Blandprov</v>
      </c>
      <c r="M3402" s="1" t="s">
        <v>177</v>
      </c>
      <c r="N3402" s="1">
        <v>4</v>
      </c>
      <c r="O3402" s="1">
        <v>0</v>
      </c>
      <c r="Q3402" s="1">
        <v>10.5</v>
      </c>
      <c r="W3402" s="1">
        <v>2.7382</v>
      </c>
      <c r="X3402" s="1">
        <v>7.1057332965190415E-2</v>
      </c>
      <c r="Y3402" s="1">
        <v>3.4000000000000002E-2</v>
      </c>
      <c r="Z3402" s="1">
        <v>0</v>
      </c>
      <c r="AB3402" s="1">
        <v>21.692842105</v>
      </c>
      <c r="AD3402" s="1">
        <v>4.07</v>
      </c>
      <c r="AE3402" s="1">
        <v>8.14</v>
      </c>
      <c r="AG3402" s="1">
        <v>19.5</v>
      </c>
      <c r="AK3402" s="1">
        <v>52.25</v>
      </c>
      <c r="AL3402" s="1">
        <v>1239.01</v>
      </c>
    </row>
    <row r="3403" spans="1:38" x14ac:dyDescent="0.3">
      <c r="A3403" s="1">
        <v>57506</v>
      </c>
      <c r="B3403" s="1" t="s">
        <v>252</v>
      </c>
      <c r="C3403" s="1" t="s">
        <v>209</v>
      </c>
      <c r="D3403" s="2">
        <f t="shared" si="185"/>
        <v>2017</v>
      </c>
      <c r="E3403" s="2">
        <f t="shared" si="186"/>
        <v>5</v>
      </c>
      <c r="F3403" s="3" t="s">
        <v>178</v>
      </c>
      <c r="G3403" s="4">
        <v>42885</v>
      </c>
      <c r="H3403" s="1">
        <v>6600935</v>
      </c>
      <c r="I3403" s="1">
        <v>1626764</v>
      </c>
      <c r="J3403" s="1" t="s">
        <v>191</v>
      </c>
      <c r="K3403" s="1" t="s">
        <v>210</v>
      </c>
      <c r="L3403" s="1" t="str">
        <f t="shared" si="184"/>
        <v>Vallentunasjön Va2</v>
      </c>
      <c r="M3403" s="1" t="s">
        <v>177</v>
      </c>
      <c r="N3403" s="1">
        <v>0.5</v>
      </c>
      <c r="O3403" s="1">
        <v>0.5</v>
      </c>
      <c r="P3403" s="1">
        <v>0.9</v>
      </c>
      <c r="Q3403" s="1">
        <v>18.7</v>
      </c>
      <c r="R3403" s="1">
        <v>8.1</v>
      </c>
      <c r="S3403" s="1">
        <v>88</v>
      </c>
    </row>
    <row r="3404" spans="1:38" x14ac:dyDescent="0.3">
      <c r="A3404" s="1">
        <v>57507</v>
      </c>
      <c r="B3404" s="1" t="s">
        <v>252</v>
      </c>
      <c r="C3404" s="1" t="s">
        <v>209</v>
      </c>
      <c r="D3404" s="2">
        <f t="shared" si="185"/>
        <v>2017</v>
      </c>
      <c r="E3404" s="2">
        <f t="shared" si="186"/>
        <v>5</v>
      </c>
      <c r="F3404" s="3" t="s">
        <v>178</v>
      </c>
      <c r="G3404" s="4">
        <v>42885</v>
      </c>
      <c r="H3404" s="1">
        <v>6600935</v>
      </c>
      <c r="I3404" s="1">
        <v>1626764</v>
      </c>
      <c r="J3404" s="1" t="s">
        <v>191</v>
      </c>
      <c r="K3404" s="1" t="s">
        <v>210</v>
      </c>
      <c r="L3404" s="1" t="str">
        <f t="shared" si="184"/>
        <v>Vallentunasjön Va2</v>
      </c>
      <c r="M3404" s="1" t="s">
        <v>211</v>
      </c>
      <c r="N3404" s="1">
        <v>1</v>
      </c>
      <c r="O3404" s="1">
        <v>1</v>
      </c>
      <c r="Q3404" s="1">
        <v>18.7</v>
      </c>
      <c r="R3404" s="1">
        <v>8.1999999999999993</v>
      </c>
      <c r="S3404" s="1">
        <v>89</v>
      </c>
    </row>
    <row r="3405" spans="1:38" x14ac:dyDescent="0.3">
      <c r="A3405" s="1">
        <v>57508</v>
      </c>
      <c r="B3405" s="1" t="s">
        <v>252</v>
      </c>
      <c r="C3405" s="1" t="s">
        <v>209</v>
      </c>
      <c r="D3405" s="2">
        <f t="shared" si="185"/>
        <v>2017</v>
      </c>
      <c r="E3405" s="2">
        <f t="shared" si="186"/>
        <v>5</v>
      </c>
      <c r="F3405" s="3" t="s">
        <v>178</v>
      </c>
      <c r="G3405" s="4">
        <v>42885</v>
      </c>
      <c r="H3405" s="1">
        <v>6600935</v>
      </c>
      <c r="I3405" s="1">
        <v>1626764</v>
      </c>
      <c r="J3405" s="1" t="s">
        <v>191</v>
      </c>
      <c r="K3405" s="1" t="s">
        <v>210</v>
      </c>
      <c r="L3405" s="1" t="str">
        <f t="shared" si="184"/>
        <v>Vallentunasjön Va2</v>
      </c>
      <c r="M3405" s="1" t="s">
        <v>212</v>
      </c>
      <c r="N3405" s="1">
        <v>2</v>
      </c>
      <c r="O3405" s="1">
        <v>2</v>
      </c>
      <c r="Q3405" s="1">
        <v>18.7</v>
      </c>
      <c r="R3405" s="1">
        <v>8.4</v>
      </c>
      <c r="S3405" s="1">
        <v>92</v>
      </c>
    </row>
    <row r="3406" spans="1:38" x14ac:dyDescent="0.3">
      <c r="A3406" s="1">
        <v>57509</v>
      </c>
      <c r="B3406" s="1" t="s">
        <v>252</v>
      </c>
      <c r="C3406" s="1" t="s">
        <v>209</v>
      </c>
      <c r="D3406" s="2">
        <f t="shared" si="185"/>
        <v>2017</v>
      </c>
      <c r="E3406" s="2">
        <f t="shared" si="186"/>
        <v>5</v>
      </c>
      <c r="F3406" s="3" t="s">
        <v>178</v>
      </c>
      <c r="G3406" s="4">
        <v>42885</v>
      </c>
      <c r="H3406" s="1">
        <v>6600935</v>
      </c>
      <c r="I3406" s="1">
        <v>1626764</v>
      </c>
      <c r="J3406" s="1" t="s">
        <v>191</v>
      </c>
      <c r="K3406" s="1" t="s">
        <v>210</v>
      </c>
      <c r="L3406" s="1" t="str">
        <f t="shared" si="184"/>
        <v>Vallentunasjön Va2</v>
      </c>
      <c r="M3406" s="1" t="s">
        <v>213</v>
      </c>
      <c r="N3406" s="1">
        <v>3</v>
      </c>
      <c r="O3406" s="1">
        <v>3</v>
      </c>
      <c r="Q3406" s="1">
        <v>18.7</v>
      </c>
      <c r="R3406" s="1">
        <v>8.6</v>
      </c>
      <c r="S3406" s="1">
        <v>94</v>
      </c>
    </row>
    <row r="3407" spans="1:38" x14ac:dyDescent="0.3">
      <c r="A3407" s="1">
        <v>57510</v>
      </c>
      <c r="B3407" s="1" t="s">
        <v>252</v>
      </c>
      <c r="C3407" s="1" t="s">
        <v>209</v>
      </c>
      <c r="D3407" s="2">
        <f t="shared" si="185"/>
        <v>2017</v>
      </c>
      <c r="E3407" s="2">
        <f t="shared" si="186"/>
        <v>5</v>
      </c>
      <c r="F3407" s="3" t="s">
        <v>178</v>
      </c>
      <c r="G3407" s="4">
        <v>42885</v>
      </c>
      <c r="H3407" s="1">
        <v>6600935</v>
      </c>
      <c r="I3407" s="1">
        <v>1626764</v>
      </c>
      <c r="J3407" s="1" t="s">
        <v>191</v>
      </c>
      <c r="K3407" s="1" t="s">
        <v>210</v>
      </c>
      <c r="L3407" s="1" t="str">
        <f t="shared" si="184"/>
        <v>Vallentunasjön Va2</v>
      </c>
      <c r="M3407" s="1" t="s">
        <v>214</v>
      </c>
      <c r="N3407" s="1">
        <v>4</v>
      </c>
      <c r="O3407" s="1">
        <v>4</v>
      </c>
      <c r="Q3407" s="1">
        <v>18.600000000000001</v>
      </c>
      <c r="R3407" s="1">
        <v>8.6999999999999993</v>
      </c>
      <c r="S3407" s="1">
        <v>95</v>
      </c>
    </row>
    <row r="3408" spans="1:38" x14ac:dyDescent="0.3">
      <c r="A3408" s="1">
        <v>57511</v>
      </c>
      <c r="B3408" s="1" t="s">
        <v>252</v>
      </c>
      <c r="C3408" s="1" t="s">
        <v>209</v>
      </c>
      <c r="D3408" s="2">
        <f t="shared" si="185"/>
        <v>2017</v>
      </c>
      <c r="E3408" s="2">
        <f t="shared" si="186"/>
        <v>5</v>
      </c>
      <c r="F3408" s="3" t="s">
        <v>178</v>
      </c>
      <c r="G3408" s="4">
        <v>42885</v>
      </c>
      <c r="H3408" s="1">
        <v>6600935</v>
      </c>
      <c r="I3408" s="1">
        <v>1626764</v>
      </c>
      <c r="J3408" s="1" t="s">
        <v>191</v>
      </c>
      <c r="K3408" s="1" t="s">
        <v>210</v>
      </c>
      <c r="L3408" s="1" t="str">
        <f t="shared" si="184"/>
        <v>Vallentunasjön Va2</v>
      </c>
      <c r="M3408" s="1" t="s">
        <v>184</v>
      </c>
      <c r="Q3408" s="1">
        <v>18.600000000000001</v>
      </c>
      <c r="R3408" s="1">
        <v>6.4</v>
      </c>
      <c r="S3408" s="1">
        <v>70</v>
      </c>
    </row>
    <row r="3409" spans="1:38" x14ac:dyDescent="0.3">
      <c r="A3409" s="1">
        <v>57512</v>
      </c>
      <c r="B3409" s="1" t="s">
        <v>252</v>
      </c>
      <c r="C3409" s="1" t="s">
        <v>209</v>
      </c>
      <c r="D3409" s="2">
        <f t="shared" si="185"/>
        <v>2017</v>
      </c>
      <c r="E3409" s="2">
        <f t="shared" si="186"/>
        <v>5</v>
      </c>
      <c r="F3409" s="3" t="s">
        <v>178</v>
      </c>
      <c r="G3409" s="4">
        <v>42885</v>
      </c>
      <c r="J3409" s="1" t="s">
        <v>191</v>
      </c>
      <c r="K3409" s="1" t="s">
        <v>206</v>
      </c>
      <c r="L3409" s="1" t="str">
        <f t="shared" si="184"/>
        <v>Vallentunasjön Blandprov</v>
      </c>
      <c r="M3409" s="1" t="s">
        <v>177</v>
      </c>
      <c r="N3409" s="1">
        <v>4</v>
      </c>
      <c r="O3409" s="1">
        <v>0</v>
      </c>
      <c r="Q3409" s="1">
        <v>18.600000000000001</v>
      </c>
      <c r="W3409" s="1">
        <v>3.2393999999999998</v>
      </c>
      <c r="X3409" s="1">
        <v>0.10216740161023835</v>
      </c>
      <c r="Y3409" s="1">
        <v>5.8000000000000003E-2</v>
      </c>
      <c r="Z3409" s="1">
        <v>0</v>
      </c>
      <c r="AB3409" s="1">
        <v>13.3614</v>
      </c>
      <c r="AD3409" s="1">
        <v>1.27</v>
      </c>
      <c r="AE3409" s="1">
        <v>7.96</v>
      </c>
      <c r="AG3409" s="1">
        <v>13</v>
      </c>
      <c r="AK3409" s="1">
        <v>43.5</v>
      </c>
      <c r="AL3409" s="1">
        <v>1137.02</v>
      </c>
    </row>
    <row r="3410" spans="1:38" x14ac:dyDescent="0.3">
      <c r="A3410" s="1">
        <v>58003</v>
      </c>
      <c r="B3410" s="1" t="s">
        <v>252</v>
      </c>
      <c r="C3410" s="1" t="s">
        <v>209</v>
      </c>
      <c r="D3410" s="2">
        <f t="shared" si="185"/>
        <v>2017</v>
      </c>
      <c r="E3410" s="2">
        <f t="shared" si="186"/>
        <v>6</v>
      </c>
      <c r="G3410" s="4">
        <v>42894</v>
      </c>
      <c r="H3410" s="1">
        <v>6600935</v>
      </c>
      <c r="I3410" s="1">
        <v>1626764</v>
      </c>
      <c r="J3410" s="1" t="s">
        <v>191</v>
      </c>
      <c r="K3410" s="1" t="s">
        <v>210</v>
      </c>
      <c r="L3410" s="1" t="str">
        <f t="shared" si="184"/>
        <v>Vallentunasjön Va2</v>
      </c>
      <c r="M3410" s="1" t="s">
        <v>177</v>
      </c>
      <c r="N3410" s="1">
        <v>0.5</v>
      </c>
      <c r="O3410" s="1">
        <v>0.5</v>
      </c>
      <c r="P3410" s="1">
        <v>0.7</v>
      </c>
      <c r="Q3410" s="1">
        <v>16.3</v>
      </c>
      <c r="R3410" s="1">
        <v>7.3</v>
      </c>
      <c r="S3410" s="1">
        <v>74</v>
      </c>
    </row>
    <row r="3411" spans="1:38" x14ac:dyDescent="0.3">
      <c r="A3411" s="1">
        <v>57528</v>
      </c>
      <c r="B3411" s="1" t="s">
        <v>252</v>
      </c>
      <c r="C3411" s="1" t="s">
        <v>209</v>
      </c>
      <c r="D3411" s="2">
        <f t="shared" si="185"/>
        <v>2017</v>
      </c>
      <c r="E3411" s="2">
        <f t="shared" si="186"/>
        <v>6</v>
      </c>
      <c r="G3411" s="4">
        <v>42894</v>
      </c>
      <c r="H3411" s="1">
        <v>6600935</v>
      </c>
      <c r="I3411" s="1">
        <v>1626764</v>
      </c>
      <c r="J3411" s="1" t="s">
        <v>191</v>
      </c>
      <c r="K3411" s="1" t="s">
        <v>210</v>
      </c>
      <c r="L3411" s="1" t="str">
        <f t="shared" si="184"/>
        <v>Vallentunasjön Va2</v>
      </c>
      <c r="M3411" s="1" t="s">
        <v>211</v>
      </c>
      <c r="N3411" s="1">
        <v>1</v>
      </c>
      <c r="O3411" s="1">
        <v>1</v>
      </c>
      <c r="Q3411" s="1">
        <v>16.2</v>
      </c>
      <c r="R3411" s="1">
        <v>7.3</v>
      </c>
      <c r="S3411" s="1">
        <v>74</v>
      </c>
    </row>
    <row r="3412" spans="1:38" x14ac:dyDescent="0.3">
      <c r="A3412" s="1">
        <v>57529</v>
      </c>
      <c r="B3412" s="1" t="s">
        <v>252</v>
      </c>
      <c r="C3412" s="1" t="s">
        <v>209</v>
      </c>
      <c r="D3412" s="2">
        <f t="shared" si="185"/>
        <v>2017</v>
      </c>
      <c r="E3412" s="2">
        <f t="shared" si="186"/>
        <v>6</v>
      </c>
      <c r="G3412" s="4">
        <v>42894</v>
      </c>
      <c r="H3412" s="1">
        <v>6600935</v>
      </c>
      <c r="I3412" s="1">
        <v>1626764</v>
      </c>
      <c r="J3412" s="1" t="s">
        <v>191</v>
      </c>
      <c r="K3412" s="1" t="s">
        <v>210</v>
      </c>
      <c r="L3412" s="1" t="str">
        <f t="shared" si="184"/>
        <v>Vallentunasjön Va2</v>
      </c>
      <c r="M3412" s="1" t="s">
        <v>212</v>
      </c>
      <c r="N3412" s="1">
        <v>2</v>
      </c>
      <c r="O3412" s="1">
        <v>2</v>
      </c>
      <c r="Q3412" s="1">
        <v>16.2</v>
      </c>
      <c r="R3412" s="1">
        <v>7.3</v>
      </c>
      <c r="S3412" s="1">
        <v>74</v>
      </c>
    </row>
    <row r="3413" spans="1:38" x14ac:dyDescent="0.3">
      <c r="A3413" s="1">
        <v>57530</v>
      </c>
      <c r="B3413" s="1" t="s">
        <v>252</v>
      </c>
      <c r="C3413" s="1" t="s">
        <v>209</v>
      </c>
      <c r="D3413" s="2">
        <f t="shared" si="185"/>
        <v>2017</v>
      </c>
      <c r="E3413" s="2">
        <f t="shared" si="186"/>
        <v>6</v>
      </c>
      <c r="G3413" s="4">
        <v>42894</v>
      </c>
      <c r="H3413" s="1">
        <v>6600935</v>
      </c>
      <c r="I3413" s="1">
        <v>1626764</v>
      </c>
      <c r="J3413" s="1" t="s">
        <v>191</v>
      </c>
      <c r="K3413" s="1" t="s">
        <v>210</v>
      </c>
      <c r="L3413" s="1" t="str">
        <f t="shared" si="184"/>
        <v>Vallentunasjön Va2</v>
      </c>
      <c r="M3413" s="1" t="s">
        <v>213</v>
      </c>
      <c r="N3413" s="1">
        <v>3</v>
      </c>
      <c r="O3413" s="1">
        <v>3</v>
      </c>
      <c r="Q3413" s="1">
        <v>16.100000000000001</v>
      </c>
      <c r="R3413" s="1">
        <v>7.4</v>
      </c>
      <c r="S3413" s="1">
        <v>75</v>
      </c>
    </row>
    <row r="3414" spans="1:38" x14ac:dyDescent="0.3">
      <c r="A3414" s="1">
        <v>57531</v>
      </c>
      <c r="B3414" s="1" t="s">
        <v>252</v>
      </c>
      <c r="C3414" s="1" t="s">
        <v>209</v>
      </c>
      <c r="D3414" s="2">
        <f t="shared" si="185"/>
        <v>2017</v>
      </c>
      <c r="E3414" s="2">
        <f t="shared" si="186"/>
        <v>6</v>
      </c>
      <c r="G3414" s="4">
        <v>42894</v>
      </c>
      <c r="H3414" s="1">
        <v>6600935</v>
      </c>
      <c r="I3414" s="1">
        <v>1626764</v>
      </c>
      <c r="J3414" s="1" t="s">
        <v>191</v>
      </c>
      <c r="K3414" s="1" t="s">
        <v>210</v>
      </c>
      <c r="L3414" s="1" t="str">
        <f t="shared" si="184"/>
        <v>Vallentunasjön Va2</v>
      </c>
      <c r="M3414" s="1" t="s">
        <v>214</v>
      </c>
      <c r="N3414" s="1">
        <v>4</v>
      </c>
      <c r="O3414" s="1">
        <v>4</v>
      </c>
      <c r="Q3414" s="1">
        <v>16.100000000000001</v>
      </c>
      <c r="R3414" s="1">
        <v>7.4</v>
      </c>
      <c r="S3414" s="1">
        <v>75</v>
      </c>
    </row>
    <row r="3415" spans="1:38" x14ac:dyDescent="0.3">
      <c r="A3415" s="1">
        <v>57532</v>
      </c>
      <c r="B3415" s="1" t="s">
        <v>252</v>
      </c>
      <c r="C3415" s="1" t="s">
        <v>209</v>
      </c>
      <c r="D3415" s="2">
        <f t="shared" si="185"/>
        <v>2017</v>
      </c>
      <c r="E3415" s="2">
        <f t="shared" si="186"/>
        <v>6</v>
      </c>
      <c r="G3415" s="4">
        <v>42894</v>
      </c>
      <c r="H3415" s="1">
        <v>6600935</v>
      </c>
      <c r="I3415" s="1">
        <v>1626764</v>
      </c>
      <c r="J3415" s="1" t="s">
        <v>191</v>
      </c>
      <c r="K3415" s="1" t="s">
        <v>210</v>
      </c>
      <c r="L3415" s="1" t="str">
        <f t="shared" si="184"/>
        <v>Vallentunasjön Va2</v>
      </c>
      <c r="M3415" s="1" t="s">
        <v>184</v>
      </c>
      <c r="Q3415" s="1">
        <v>16</v>
      </c>
      <c r="R3415" s="1">
        <v>7.4</v>
      </c>
      <c r="S3415" s="1">
        <v>75</v>
      </c>
    </row>
    <row r="3416" spans="1:38" x14ac:dyDescent="0.3">
      <c r="A3416" s="1">
        <v>57533</v>
      </c>
      <c r="B3416" s="1" t="s">
        <v>252</v>
      </c>
      <c r="C3416" s="1" t="s">
        <v>209</v>
      </c>
      <c r="D3416" s="2">
        <f t="shared" si="185"/>
        <v>2017</v>
      </c>
      <c r="E3416" s="2">
        <f t="shared" si="186"/>
        <v>6</v>
      </c>
      <c r="G3416" s="4">
        <v>42894</v>
      </c>
      <c r="J3416" s="1" t="s">
        <v>191</v>
      </c>
      <c r="K3416" s="1" t="s">
        <v>206</v>
      </c>
      <c r="L3416" s="1" t="str">
        <f t="shared" si="184"/>
        <v>Vallentunasjön Blandprov</v>
      </c>
      <c r="M3416" s="1" t="s">
        <v>177</v>
      </c>
      <c r="N3416" s="1">
        <v>4</v>
      </c>
      <c r="O3416" s="1">
        <v>0</v>
      </c>
      <c r="Q3416" s="1">
        <v>16</v>
      </c>
      <c r="W3416" s="1">
        <v>204.59880000000001</v>
      </c>
      <c r="X3416" s="1">
        <v>7.1464524368711526</v>
      </c>
      <c r="Y3416" s="1">
        <v>6.8000000000000005E-2</v>
      </c>
      <c r="Z3416" s="1">
        <v>5.43</v>
      </c>
      <c r="AB3416" s="1">
        <v>16.372800000000002</v>
      </c>
      <c r="AD3416" s="1">
        <v>6.73</v>
      </c>
      <c r="AE3416" s="1">
        <v>8.09</v>
      </c>
      <c r="AG3416" s="1">
        <v>18</v>
      </c>
      <c r="AK3416" s="1">
        <v>74.23</v>
      </c>
      <c r="AL3416" s="1">
        <v>1482.76</v>
      </c>
    </row>
    <row r="3417" spans="1:38" x14ac:dyDescent="0.3">
      <c r="A3417" s="1">
        <v>57728</v>
      </c>
      <c r="B3417" s="1" t="s">
        <v>252</v>
      </c>
      <c r="C3417" s="1" t="s">
        <v>209</v>
      </c>
      <c r="D3417" s="2">
        <f t="shared" si="185"/>
        <v>2017</v>
      </c>
      <c r="E3417" s="2">
        <f t="shared" si="186"/>
        <v>6</v>
      </c>
      <c r="G3417" s="4">
        <v>42899</v>
      </c>
      <c r="H3417" s="1">
        <v>6600935</v>
      </c>
      <c r="I3417" s="1">
        <v>1626764</v>
      </c>
      <c r="J3417" s="1" t="s">
        <v>191</v>
      </c>
      <c r="K3417" s="1" t="s">
        <v>210</v>
      </c>
      <c r="L3417" s="1" t="str">
        <f t="shared" si="184"/>
        <v>Vallentunasjön Va2</v>
      </c>
      <c r="M3417" s="1" t="s">
        <v>177</v>
      </c>
      <c r="N3417" s="1">
        <v>0.5</v>
      </c>
      <c r="O3417" s="1">
        <v>0.5</v>
      </c>
      <c r="P3417" s="1">
        <v>0.8</v>
      </c>
      <c r="Q3417" s="1">
        <v>17.8</v>
      </c>
      <c r="R3417" s="1">
        <v>8</v>
      </c>
      <c r="S3417" s="1">
        <v>86</v>
      </c>
    </row>
    <row r="3418" spans="1:38" x14ac:dyDescent="0.3">
      <c r="A3418" s="1">
        <v>57729</v>
      </c>
      <c r="B3418" s="1" t="s">
        <v>252</v>
      </c>
      <c r="C3418" s="1" t="s">
        <v>209</v>
      </c>
      <c r="D3418" s="2">
        <f t="shared" si="185"/>
        <v>2017</v>
      </c>
      <c r="E3418" s="2">
        <f t="shared" si="186"/>
        <v>6</v>
      </c>
      <c r="G3418" s="4">
        <v>42899</v>
      </c>
      <c r="H3418" s="1">
        <v>6600935</v>
      </c>
      <c r="I3418" s="1">
        <v>1626764</v>
      </c>
      <c r="J3418" s="1" t="s">
        <v>191</v>
      </c>
      <c r="K3418" s="1" t="s">
        <v>210</v>
      </c>
      <c r="L3418" s="1" t="str">
        <f t="shared" si="184"/>
        <v>Vallentunasjön Va2</v>
      </c>
      <c r="M3418" s="1" t="s">
        <v>211</v>
      </c>
      <c r="N3418" s="1">
        <v>1</v>
      </c>
      <c r="O3418" s="1">
        <v>1</v>
      </c>
      <c r="Q3418" s="1">
        <v>17.8</v>
      </c>
      <c r="R3418" s="1">
        <v>8</v>
      </c>
      <c r="S3418" s="1">
        <v>86</v>
      </c>
    </row>
    <row r="3419" spans="1:38" x14ac:dyDescent="0.3">
      <c r="A3419" s="1">
        <v>57730</v>
      </c>
      <c r="B3419" s="1" t="s">
        <v>252</v>
      </c>
      <c r="C3419" s="1" t="s">
        <v>209</v>
      </c>
      <c r="D3419" s="2">
        <f t="shared" si="185"/>
        <v>2017</v>
      </c>
      <c r="E3419" s="2">
        <f t="shared" si="186"/>
        <v>6</v>
      </c>
      <c r="G3419" s="4">
        <v>42899</v>
      </c>
      <c r="H3419" s="1">
        <v>6600935</v>
      </c>
      <c r="I3419" s="1">
        <v>1626764</v>
      </c>
      <c r="J3419" s="1" t="s">
        <v>191</v>
      </c>
      <c r="K3419" s="1" t="s">
        <v>210</v>
      </c>
      <c r="L3419" s="1" t="str">
        <f t="shared" si="184"/>
        <v>Vallentunasjön Va2</v>
      </c>
      <c r="M3419" s="1" t="s">
        <v>212</v>
      </c>
      <c r="N3419" s="1">
        <v>2</v>
      </c>
      <c r="O3419" s="1">
        <v>2</v>
      </c>
      <c r="Q3419" s="1">
        <v>17.8</v>
      </c>
      <c r="R3419" s="1">
        <v>8</v>
      </c>
      <c r="S3419" s="1">
        <v>86</v>
      </c>
    </row>
    <row r="3420" spans="1:38" x14ac:dyDescent="0.3">
      <c r="A3420" s="1">
        <v>57731</v>
      </c>
      <c r="B3420" s="1" t="s">
        <v>252</v>
      </c>
      <c r="C3420" s="1" t="s">
        <v>209</v>
      </c>
      <c r="D3420" s="2">
        <f t="shared" si="185"/>
        <v>2017</v>
      </c>
      <c r="E3420" s="2">
        <f t="shared" si="186"/>
        <v>6</v>
      </c>
      <c r="G3420" s="4">
        <v>42899</v>
      </c>
      <c r="H3420" s="1">
        <v>6600935</v>
      </c>
      <c r="I3420" s="1">
        <v>1626764</v>
      </c>
      <c r="J3420" s="1" t="s">
        <v>191</v>
      </c>
      <c r="K3420" s="1" t="s">
        <v>210</v>
      </c>
      <c r="L3420" s="1" t="str">
        <f t="shared" si="184"/>
        <v>Vallentunasjön Va2</v>
      </c>
      <c r="M3420" s="1" t="s">
        <v>213</v>
      </c>
      <c r="N3420" s="1">
        <v>3</v>
      </c>
      <c r="O3420" s="1">
        <v>3</v>
      </c>
      <c r="Q3420" s="1">
        <v>17.8</v>
      </c>
      <c r="R3420" s="1">
        <v>8</v>
      </c>
      <c r="S3420" s="1">
        <v>85</v>
      </c>
    </row>
    <row r="3421" spans="1:38" x14ac:dyDescent="0.3">
      <c r="A3421" s="1">
        <v>57732</v>
      </c>
      <c r="B3421" s="1" t="s">
        <v>252</v>
      </c>
      <c r="C3421" s="1" t="s">
        <v>209</v>
      </c>
      <c r="D3421" s="2">
        <f t="shared" si="185"/>
        <v>2017</v>
      </c>
      <c r="E3421" s="2">
        <f t="shared" si="186"/>
        <v>6</v>
      </c>
      <c r="G3421" s="4">
        <v>42899</v>
      </c>
      <c r="H3421" s="1">
        <v>6600935</v>
      </c>
      <c r="I3421" s="1">
        <v>1626764</v>
      </c>
      <c r="J3421" s="1" t="s">
        <v>191</v>
      </c>
      <c r="K3421" s="1" t="s">
        <v>210</v>
      </c>
      <c r="L3421" s="1" t="str">
        <f t="shared" si="184"/>
        <v>Vallentunasjön Va2</v>
      </c>
      <c r="M3421" s="1" t="s">
        <v>214</v>
      </c>
      <c r="N3421" s="1">
        <v>4</v>
      </c>
      <c r="O3421" s="1">
        <v>4</v>
      </c>
      <c r="Q3421" s="1">
        <v>17.8</v>
      </c>
      <c r="R3421" s="1">
        <v>8</v>
      </c>
      <c r="S3421" s="1">
        <v>85</v>
      </c>
    </row>
    <row r="3422" spans="1:38" x14ac:dyDescent="0.3">
      <c r="A3422" s="1">
        <v>57733</v>
      </c>
      <c r="B3422" s="1" t="s">
        <v>252</v>
      </c>
      <c r="C3422" s="1" t="s">
        <v>209</v>
      </c>
      <c r="D3422" s="2">
        <f t="shared" si="185"/>
        <v>2017</v>
      </c>
      <c r="E3422" s="2">
        <f t="shared" si="186"/>
        <v>6</v>
      </c>
      <c r="G3422" s="4">
        <v>42899</v>
      </c>
      <c r="H3422" s="1">
        <v>6600935</v>
      </c>
      <c r="I3422" s="1">
        <v>1626764</v>
      </c>
      <c r="J3422" s="1" t="s">
        <v>191</v>
      </c>
      <c r="K3422" s="1" t="s">
        <v>210</v>
      </c>
      <c r="L3422" s="1" t="str">
        <f t="shared" si="184"/>
        <v>Vallentunasjön Va2</v>
      </c>
      <c r="M3422" s="1" t="s">
        <v>184</v>
      </c>
      <c r="Q3422" s="1">
        <v>17.8</v>
      </c>
      <c r="R3422" s="1">
        <v>7.9</v>
      </c>
      <c r="S3422" s="1">
        <v>85</v>
      </c>
    </row>
    <row r="3423" spans="1:38" x14ac:dyDescent="0.3">
      <c r="A3423" s="1">
        <v>57734</v>
      </c>
      <c r="B3423" s="1" t="s">
        <v>252</v>
      </c>
      <c r="C3423" s="1" t="s">
        <v>209</v>
      </c>
      <c r="D3423" s="2">
        <f t="shared" si="185"/>
        <v>2017</v>
      </c>
      <c r="E3423" s="2">
        <f t="shared" si="186"/>
        <v>6</v>
      </c>
      <c r="G3423" s="4">
        <v>42899</v>
      </c>
      <c r="J3423" s="1" t="s">
        <v>191</v>
      </c>
      <c r="K3423" s="1" t="s">
        <v>206</v>
      </c>
      <c r="L3423" s="1" t="str">
        <f t="shared" si="184"/>
        <v>Vallentunasjön Blandprov</v>
      </c>
      <c r="M3423" s="1" t="s">
        <v>177</v>
      </c>
      <c r="N3423" s="1">
        <v>4</v>
      </c>
      <c r="O3423" s="1">
        <v>0</v>
      </c>
      <c r="Q3423" s="1">
        <v>17.8</v>
      </c>
      <c r="W3423" s="1">
        <v>236.60159999999999</v>
      </c>
      <c r="X3423" s="1">
        <v>9.4066716744486314</v>
      </c>
      <c r="Y3423" s="1">
        <v>6.5000000000000002E-2</v>
      </c>
      <c r="Z3423" s="1">
        <v>0</v>
      </c>
      <c r="AB3423" s="1">
        <v>21.264479999999999</v>
      </c>
      <c r="AD3423" s="1">
        <v>11.78</v>
      </c>
      <c r="AE3423" s="1">
        <v>8.09</v>
      </c>
      <c r="AG3423" s="1">
        <v>17.600000000000001</v>
      </c>
      <c r="AK3423" s="1">
        <v>75.099999999999994</v>
      </c>
      <c r="AL3423" s="1">
        <v>1429.44</v>
      </c>
    </row>
    <row r="3424" spans="1:38" x14ac:dyDescent="0.3">
      <c r="A3424" s="1">
        <v>58051</v>
      </c>
      <c r="B3424" s="1" t="s">
        <v>252</v>
      </c>
      <c r="C3424" s="1" t="s">
        <v>209</v>
      </c>
      <c r="D3424" s="2">
        <f t="shared" si="185"/>
        <v>2017</v>
      </c>
      <c r="E3424" s="2">
        <f t="shared" si="186"/>
        <v>6</v>
      </c>
      <c r="G3424" s="4">
        <v>42912</v>
      </c>
      <c r="H3424" s="1">
        <v>6600935</v>
      </c>
      <c r="I3424" s="1">
        <v>1626764</v>
      </c>
      <c r="J3424" s="1" t="s">
        <v>191</v>
      </c>
      <c r="K3424" s="1" t="s">
        <v>210</v>
      </c>
      <c r="L3424" s="1" t="str">
        <f t="shared" si="184"/>
        <v>Vallentunasjön Va2</v>
      </c>
      <c r="M3424" s="1" t="s">
        <v>177</v>
      </c>
      <c r="N3424" s="1">
        <v>0.5</v>
      </c>
      <c r="O3424" s="1">
        <v>0.5</v>
      </c>
      <c r="P3424" s="1">
        <v>1</v>
      </c>
      <c r="Q3424" s="1">
        <v>18.3</v>
      </c>
      <c r="R3424" s="1">
        <v>9.6</v>
      </c>
      <c r="S3424" s="1">
        <v>105</v>
      </c>
    </row>
    <row r="3425" spans="1:38" x14ac:dyDescent="0.3">
      <c r="A3425" s="1">
        <v>58052</v>
      </c>
      <c r="B3425" s="1" t="s">
        <v>252</v>
      </c>
      <c r="C3425" s="1" t="s">
        <v>209</v>
      </c>
      <c r="D3425" s="2">
        <f t="shared" si="185"/>
        <v>2017</v>
      </c>
      <c r="E3425" s="2">
        <f t="shared" si="186"/>
        <v>6</v>
      </c>
      <c r="G3425" s="4">
        <v>42912</v>
      </c>
      <c r="H3425" s="1">
        <v>6600935</v>
      </c>
      <c r="I3425" s="1">
        <v>1626764</v>
      </c>
      <c r="J3425" s="1" t="s">
        <v>191</v>
      </c>
      <c r="K3425" s="1" t="s">
        <v>210</v>
      </c>
      <c r="L3425" s="1" t="str">
        <f t="shared" si="184"/>
        <v>Vallentunasjön Va2</v>
      </c>
      <c r="M3425" s="1" t="s">
        <v>211</v>
      </c>
      <c r="N3425" s="1">
        <v>1</v>
      </c>
      <c r="O3425" s="1">
        <v>1</v>
      </c>
      <c r="Q3425" s="1">
        <v>18.3</v>
      </c>
      <c r="R3425" s="1">
        <v>9.6</v>
      </c>
      <c r="S3425" s="1">
        <v>105</v>
      </c>
    </row>
    <row r="3426" spans="1:38" x14ac:dyDescent="0.3">
      <c r="A3426" s="1">
        <v>58053</v>
      </c>
      <c r="B3426" s="1" t="s">
        <v>252</v>
      </c>
      <c r="C3426" s="1" t="s">
        <v>209</v>
      </c>
      <c r="D3426" s="2">
        <f t="shared" si="185"/>
        <v>2017</v>
      </c>
      <c r="E3426" s="2">
        <f t="shared" si="186"/>
        <v>6</v>
      </c>
      <c r="G3426" s="4">
        <v>42912</v>
      </c>
      <c r="H3426" s="1">
        <v>6600935</v>
      </c>
      <c r="I3426" s="1">
        <v>1626764</v>
      </c>
      <c r="J3426" s="1" t="s">
        <v>191</v>
      </c>
      <c r="K3426" s="1" t="s">
        <v>210</v>
      </c>
      <c r="L3426" s="1" t="str">
        <f t="shared" si="184"/>
        <v>Vallentunasjön Va2</v>
      </c>
      <c r="M3426" s="1" t="s">
        <v>212</v>
      </c>
      <c r="N3426" s="1">
        <v>2</v>
      </c>
      <c r="O3426" s="1">
        <v>2</v>
      </c>
      <c r="Q3426" s="1">
        <v>18.2</v>
      </c>
      <c r="R3426" s="1">
        <v>9.6</v>
      </c>
      <c r="S3426" s="1">
        <v>104</v>
      </c>
    </row>
    <row r="3427" spans="1:38" x14ac:dyDescent="0.3">
      <c r="A3427" s="1">
        <v>58054</v>
      </c>
      <c r="B3427" s="1" t="s">
        <v>252</v>
      </c>
      <c r="C3427" s="1" t="s">
        <v>209</v>
      </c>
      <c r="D3427" s="2">
        <f t="shared" si="185"/>
        <v>2017</v>
      </c>
      <c r="E3427" s="2">
        <f t="shared" si="186"/>
        <v>6</v>
      </c>
      <c r="G3427" s="4">
        <v>42912</v>
      </c>
      <c r="H3427" s="1">
        <v>6600935</v>
      </c>
      <c r="I3427" s="1">
        <v>1626764</v>
      </c>
      <c r="J3427" s="1" t="s">
        <v>191</v>
      </c>
      <c r="K3427" s="1" t="s">
        <v>210</v>
      </c>
      <c r="L3427" s="1" t="str">
        <f t="shared" si="184"/>
        <v>Vallentunasjön Va2</v>
      </c>
      <c r="M3427" s="1" t="s">
        <v>213</v>
      </c>
      <c r="N3427" s="1">
        <v>3</v>
      </c>
      <c r="O3427" s="1">
        <v>3</v>
      </c>
      <c r="Q3427" s="1">
        <v>18.100000000000001</v>
      </c>
      <c r="R3427" s="1">
        <v>9.5</v>
      </c>
      <c r="S3427" s="1">
        <v>103</v>
      </c>
    </row>
    <row r="3428" spans="1:38" x14ac:dyDescent="0.3">
      <c r="A3428" s="1">
        <v>58055</v>
      </c>
      <c r="B3428" s="1" t="s">
        <v>252</v>
      </c>
      <c r="C3428" s="1" t="s">
        <v>209</v>
      </c>
      <c r="D3428" s="2">
        <f t="shared" si="185"/>
        <v>2017</v>
      </c>
      <c r="E3428" s="2">
        <f t="shared" si="186"/>
        <v>6</v>
      </c>
      <c r="G3428" s="4">
        <v>42912</v>
      </c>
      <c r="H3428" s="1">
        <v>6600935</v>
      </c>
      <c r="I3428" s="1">
        <v>1626764</v>
      </c>
      <c r="J3428" s="1" t="s">
        <v>191</v>
      </c>
      <c r="K3428" s="1" t="s">
        <v>210</v>
      </c>
      <c r="L3428" s="1" t="str">
        <f t="shared" si="184"/>
        <v>Vallentunasjön Va2</v>
      </c>
      <c r="M3428" s="1" t="s">
        <v>214</v>
      </c>
      <c r="N3428" s="1">
        <v>4</v>
      </c>
      <c r="O3428" s="1">
        <v>4</v>
      </c>
      <c r="Q3428" s="1">
        <v>18</v>
      </c>
      <c r="R3428" s="1">
        <v>9.4</v>
      </c>
      <c r="S3428" s="1">
        <v>102</v>
      </c>
    </row>
    <row r="3429" spans="1:38" x14ac:dyDescent="0.3">
      <c r="A3429" s="1">
        <v>58056</v>
      </c>
      <c r="B3429" s="1" t="s">
        <v>252</v>
      </c>
      <c r="C3429" s="1" t="s">
        <v>209</v>
      </c>
      <c r="D3429" s="2">
        <f t="shared" si="185"/>
        <v>2017</v>
      </c>
      <c r="E3429" s="2">
        <f t="shared" si="186"/>
        <v>6</v>
      </c>
      <c r="G3429" s="4">
        <v>42912</v>
      </c>
      <c r="H3429" s="1">
        <v>6600935</v>
      </c>
      <c r="I3429" s="1">
        <v>1626764</v>
      </c>
      <c r="J3429" s="1" t="s">
        <v>191</v>
      </c>
      <c r="K3429" s="1" t="s">
        <v>210</v>
      </c>
      <c r="L3429" s="1" t="str">
        <f t="shared" si="184"/>
        <v>Vallentunasjön Va2</v>
      </c>
      <c r="M3429" s="1" t="s">
        <v>184</v>
      </c>
      <c r="Q3429" s="1">
        <v>18</v>
      </c>
      <c r="R3429" s="1">
        <v>9.3000000000000007</v>
      </c>
      <c r="S3429" s="1">
        <v>101</v>
      </c>
    </row>
    <row r="3430" spans="1:38" x14ac:dyDescent="0.3">
      <c r="A3430" s="1">
        <v>58057</v>
      </c>
      <c r="B3430" s="1" t="s">
        <v>252</v>
      </c>
      <c r="C3430" s="1" t="s">
        <v>209</v>
      </c>
      <c r="D3430" s="2">
        <f t="shared" si="185"/>
        <v>2017</v>
      </c>
      <c r="E3430" s="2">
        <f t="shared" si="186"/>
        <v>6</v>
      </c>
      <c r="G3430" s="4">
        <v>42912</v>
      </c>
      <c r="J3430" s="1" t="s">
        <v>191</v>
      </c>
      <c r="K3430" s="1" t="s">
        <v>206</v>
      </c>
      <c r="L3430" s="1" t="str">
        <f t="shared" si="184"/>
        <v>Vallentunasjön Blandprov</v>
      </c>
      <c r="M3430" s="1" t="s">
        <v>177</v>
      </c>
      <c r="N3430" s="1">
        <v>4</v>
      </c>
      <c r="O3430" s="1">
        <v>0</v>
      </c>
      <c r="Q3430" s="1">
        <v>18.3</v>
      </c>
      <c r="W3430" s="1">
        <v>44.912599999999998</v>
      </c>
      <c r="X3430" s="1">
        <v>3.6997058117405808</v>
      </c>
      <c r="Y3430" s="1">
        <v>4.2999999999999997E-2</v>
      </c>
      <c r="Z3430" s="1">
        <v>1.81</v>
      </c>
      <c r="AB3430" s="1">
        <v>50.611499999999999</v>
      </c>
      <c r="AD3430" s="1">
        <v>12.75</v>
      </c>
      <c r="AE3430" s="1">
        <v>8.41</v>
      </c>
      <c r="AG3430" s="1">
        <v>18.8</v>
      </c>
      <c r="AK3430" s="1">
        <v>68.459999999999994</v>
      </c>
      <c r="AL3430" s="1">
        <v>1418.15</v>
      </c>
    </row>
    <row r="3431" spans="1:38" x14ac:dyDescent="0.3">
      <c r="A3431" s="1">
        <v>58274</v>
      </c>
      <c r="B3431" s="1" t="s">
        <v>252</v>
      </c>
      <c r="C3431" s="1" t="s">
        <v>209</v>
      </c>
      <c r="D3431" s="2">
        <f t="shared" si="185"/>
        <v>2017</v>
      </c>
      <c r="E3431" s="2">
        <f t="shared" si="186"/>
        <v>7</v>
      </c>
      <c r="F3431" s="3" t="s">
        <v>179</v>
      </c>
      <c r="G3431" s="4">
        <v>42920</v>
      </c>
      <c r="H3431" s="1">
        <v>6600935</v>
      </c>
      <c r="I3431" s="1">
        <v>1626764</v>
      </c>
      <c r="J3431" s="1" t="s">
        <v>191</v>
      </c>
      <c r="K3431" s="1" t="s">
        <v>210</v>
      </c>
      <c r="L3431" s="1" t="str">
        <f t="shared" si="184"/>
        <v>Vallentunasjön Va2</v>
      </c>
      <c r="M3431" s="1" t="s">
        <v>177</v>
      </c>
      <c r="N3431" s="1">
        <v>0.5</v>
      </c>
      <c r="O3431" s="1">
        <v>0.5</v>
      </c>
      <c r="P3431" s="1">
        <v>0.7</v>
      </c>
      <c r="Q3431" s="1">
        <v>18.7</v>
      </c>
      <c r="R3431" s="1">
        <v>9.6999999999999993</v>
      </c>
      <c r="S3431" s="1">
        <v>102</v>
      </c>
    </row>
    <row r="3432" spans="1:38" x14ac:dyDescent="0.3">
      <c r="A3432" s="1">
        <v>58275</v>
      </c>
      <c r="B3432" s="1" t="s">
        <v>252</v>
      </c>
      <c r="C3432" s="1" t="s">
        <v>209</v>
      </c>
      <c r="D3432" s="2">
        <f t="shared" si="185"/>
        <v>2017</v>
      </c>
      <c r="E3432" s="2">
        <f t="shared" si="186"/>
        <v>7</v>
      </c>
      <c r="F3432" s="3" t="s">
        <v>179</v>
      </c>
      <c r="G3432" s="4">
        <v>42920</v>
      </c>
      <c r="H3432" s="1">
        <v>6600935</v>
      </c>
      <c r="I3432" s="1">
        <v>1626764</v>
      </c>
      <c r="J3432" s="1" t="s">
        <v>191</v>
      </c>
      <c r="K3432" s="1" t="s">
        <v>210</v>
      </c>
      <c r="L3432" s="1" t="str">
        <f t="shared" si="184"/>
        <v>Vallentunasjön Va2</v>
      </c>
      <c r="M3432" s="1" t="s">
        <v>211</v>
      </c>
      <c r="N3432" s="1">
        <v>1</v>
      </c>
      <c r="O3432" s="1">
        <v>1</v>
      </c>
      <c r="Q3432" s="1">
        <v>18.7</v>
      </c>
      <c r="R3432" s="1">
        <v>9.9</v>
      </c>
      <c r="S3432" s="1">
        <v>105</v>
      </c>
    </row>
    <row r="3433" spans="1:38" x14ac:dyDescent="0.3">
      <c r="A3433" s="1">
        <v>58276</v>
      </c>
      <c r="B3433" s="1" t="s">
        <v>252</v>
      </c>
      <c r="C3433" s="1" t="s">
        <v>209</v>
      </c>
      <c r="D3433" s="2">
        <f t="shared" si="185"/>
        <v>2017</v>
      </c>
      <c r="E3433" s="2">
        <f t="shared" si="186"/>
        <v>7</v>
      </c>
      <c r="F3433" s="3" t="s">
        <v>179</v>
      </c>
      <c r="G3433" s="4">
        <v>42920</v>
      </c>
      <c r="H3433" s="1">
        <v>6600935</v>
      </c>
      <c r="I3433" s="1">
        <v>1626764</v>
      </c>
      <c r="J3433" s="1" t="s">
        <v>191</v>
      </c>
      <c r="K3433" s="1" t="s">
        <v>210</v>
      </c>
      <c r="L3433" s="1" t="str">
        <f t="shared" si="184"/>
        <v>Vallentunasjön Va2</v>
      </c>
      <c r="M3433" s="1" t="s">
        <v>212</v>
      </c>
      <c r="N3433" s="1">
        <v>2</v>
      </c>
      <c r="O3433" s="1">
        <v>2</v>
      </c>
      <c r="Q3433" s="1">
        <v>18.7</v>
      </c>
      <c r="R3433" s="1">
        <v>10.1</v>
      </c>
      <c r="S3433" s="1">
        <v>107</v>
      </c>
    </row>
    <row r="3434" spans="1:38" x14ac:dyDescent="0.3">
      <c r="A3434" s="1">
        <v>58277</v>
      </c>
      <c r="B3434" s="1" t="s">
        <v>252</v>
      </c>
      <c r="C3434" s="1" t="s">
        <v>209</v>
      </c>
      <c r="D3434" s="2">
        <f t="shared" si="185"/>
        <v>2017</v>
      </c>
      <c r="E3434" s="2">
        <f t="shared" si="186"/>
        <v>7</v>
      </c>
      <c r="F3434" s="3" t="s">
        <v>179</v>
      </c>
      <c r="G3434" s="4">
        <v>42920</v>
      </c>
      <c r="H3434" s="1">
        <v>6600935</v>
      </c>
      <c r="I3434" s="1">
        <v>1626764</v>
      </c>
      <c r="J3434" s="1" t="s">
        <v>191</v>
      </c>
      <c r="K3434" s="1" t="s">
        <v>210</v>
      </c>
      <c r="L3434" s="1" t="str">
        <f t="shared" si="184"/>
        <v>Vallentunasjön Va2</v>
      </c>
      <c r="M3434" s="1" t="s">
        <v>213</v>
      </c>
      <c r="N3434" s="1">
        <v>3</v>
      </c>
      <c r="O3434" s="1">
        <v>3</v>
      </c>
      <c r="Q3434" s="1">
        <v>18.7</v>
      </c>
      <c r="R3434" s="1">
        <v>10.199999999999999</v>
      </c>
      <c r="S3434" s="1">
        <v>109</v>
      </c>
    </row>
    <row r="3435" spans="1:38" x14ac:dyDescent="0.3">
      <c r="A3435" s="1">
        <v>58278</v>
      </c>
      <c r="B3435" s="1" t="s">
        <v>252</v>
      </c>
      <c r="C3435" s="1" t="s">
        <v>209</v>
      </c>
      <c r="D3435" s="2">
        <f t="shared" si="185"/>
        <v>2017</v>
      </c>
      <c r="E3435" s="2">
        <f t="shared" si="186"/>
        <v>7</v>
      </c>
      <c r="F3435" s="3" t="s">
        <v>179</v>
      </c>
      <c r="G3435" s="4">
        <v>42920</v>
      </c>
      <c r="H3435" s="1">
        <v>6600935</v>
      </c>
      <c r="I3435" s="1">
        <v>1626764</v>
      </c>
      <c r="J3435" s="1" t="s">
        <v>191</v>
      </c>
      <c r="K3435" s="1" t="s">
        <v>210</v>
      </c>
      <c r="L3435" s="1" t="str">
        <f t="shared" si="184"/>
        <v>Vallentunasjön Va2</v>
      </c>
      <c r="M3435" s="1" t="s">
        <v>214</v>
      </c>
      <c r="N3435" s="1">
        <v>4</v>
      </c>
      <c r="O3435" s="1">
        <v>4</v>
      </c>
      <c r="Q3435" s="1">
        <v>18.7</v>
      </c>
      <c r="R3435" s="1">
        <v>10.3</v>
      </c>
      <c r="S3435" s="1">
        <v>110</v>
      </c>
    </row>
    <row r="3436" spans="1:38" x14ac:dyDescent="0.3">
      <c r="A3436" s="1">
        <v>58279</v>
      </c>
      <c r="B3436" s="1" t="s">
        <v>252</v>
      </c>
      <c r="C3436" s="1" t="s">
        <v>209</v>
      </c>
      <c r="D3436" s="2">
        <f t="shared" si="185"/>
        <v>2017</v>
      </c>
      <c r="E3436" s="2">
        <f t="shared" si="186"/>
        <v>7</v>
      </c>
      <c r="F3436" s="3" t="s">
        <v>179</v>
      </c>
      <c r="G3436" s="4">
        <v>42920</v>
      </c>
      <c r="H3436" s="1">
        <v>6600935</v>
      </c>
      <c r="I3436" s="1">
        <v>1626764</v>
      </c>
      <c r="J3436" s="1" t="s">
        <v>191</v>
      </c>
      <c r="K3436" s="1" t="s">
        <v>210</v>
      </c>
      <c r="L3436" s="1" t="str">
        <f t="shared" si="184"/>
        <v>Vallentunasjön Va2</v>
      </c>
      <c r="M3436" s="1" t="s">
        <v>184</v>
      </c>
      <c r="Q3436" s="1">
        <v>18.399999999999999</v>
      </c>
      <c r="R3436" s="1">
        <v>9</v>
      </c>
      <c r="S3436" s="1">
        <v>96</v>
      </c>
    </row>
    <row r="3437" spans="1:38" x14ac:dyDescent="0.3">
      <c r="A3437" s="1">
        <v>58280</v>
      </c>
      <c r="B3437" s="1" t="s">
        <v>252</v>
      </c>
      <c r="C3437" s="1" t="s">
        <v>209</v>
      </c>
      <c r="D3437" s="2">
        <f t="shared" si="185"/>
        <v>2017</v>
      </c>
      <c r="E3437" s="2">
        <f t="shared" si="186"/>
        <v>7</v>
      </c>
      <c r="F3437" s="3" t="s">
        <v>179</v>
      </c>
      <c r="G3437" s="4">
        <v>42920</v>
      </c>
      <c r="J3437" s="1" t="s">
        <v>191</v>
      </c>
      <c r="K3437" s="1" t="s">
        <v>206</v>
      </c>
      <c r="L3437" s="1" t="str">
        <f t="shared" si="184"/>
        <v>Vallentunasjön Blandprov</v>
      </c>
      <c r="M3437" s="1" t="s">
        <v>177</v>
      </c>
      <c r="N3437" s="1">
        <v>4</v>
      </c>
      <c r="O3437" s="1">
        <v>0</v>
      </c>
      <c r="Q3437" s="1">
        <v>18.7</v>
      </c>
      <c r="W3437" s="1">
        <v>10.325900000000001</v>
      </c>
      <c r="X3437" s="1">
        <v>1.0546536656415459</v>
      </c>
      <c r="Y3437" s="1">
        <v>4.4999999999999998E-2</v>
      </c>
      <c r="Z3437" s="1">
        <v>0.16</v>
      </c>
      <c r="AB3437" s="1">
        <v>39.405149999999999</v>
      </c>
      <c r="AD3437" s="1">
        <v>0.71</v>
      </c>
      <c r="AE3437" s="1">
        <v>8.5</v>
      </c>
      <c r="AG3437" s="1">
        <v>21.182266009999999</v>
      </c>
      <c r="AK3437" s="1">
        <v>65.81</v>
      </c>
      <c r="AL3437" s="1">
        <v>1351.41</v>
      </c>
    </row>
    <row r="3438" spans="1:38" x14ac:dyDescent="0.3">
      <c r="A3438" s="1">
        <v>58656</v>
      </c>
      <c r="B3438" s="1" t="s">
        <v>252</v>
      </c>
      <c r="C3438" s="1" t="s">
        <v>209</v>
      </c>
      <c r="D3438" s="2">
        <f t="shared" si="185"/>
        <v>2017</v>
      </c>
      <c r="E3438" s="2">
        <f t="shared" si="186"/>
        <v>7</v>
      </c>
      <c r="F3438" s="3" t="s">
        <v>179</v>
      </c>
      <c r="G3438" s="4">
        <v>42936</v>
      </c>
      <c r="H3438" s="1">
        <v>6600935</v>
      </c>
      <c r="I3438" s="1">
        <v>1626764</v>
      </c>
      <c r="J3438" s="1" t="s">
        <v>191</v>
      </c>
      <c r="K3438" s="1" t="s">
        <v>210</v>
      </c>
      <c r="L3438" s="1" t="str">
        <f t="shared" si="184"/>
        <v>Vallentunasjön Va2</v>
      </c>
      <c r="M3438" s="1" t="s">
        <v>177</v>
      </c>
      <c r="N3438" s="1">
        <v>0.5</v>
      </c>
      <c r="O3438" s="1">
        <v>0.5</v>
      </c>
      <c r="P3438" s="1">
        <v>0.8</v>
      </c>
      <c r="Q3438" s="1">
        <v>20.100000000000001</v>
      </c>
      <c r="R3438" s="1">
        <v>8.1999999999999993</v>
      </c>
      <c r="S3438" s="1">
        <v>88</v>
      </c>
    </row>
    <row r="3439" spans="1:38" x14ac:dyDescent="0.3">
      <c r="A3439" s="1">
        <v>58657</v>
      </c>
      <c r="B3439" s="1" t="s">
        <v>252</v>
      </c>
      <c r="C3439" s="1" t="s">
        <v>209</v>
      </c>
      <c r="D3439" s="2">
        <f t="shared" si="185"/>
        <v>2017</v>
      </c>
      <c r="E3439" s="2">
        <f t="shared" si="186"/>
        <v>7</v>
      </c>
      <c r="F3439" s="3" t="s">
        <v>179</v>
      </c>
      <c r="G3439" s="4">
        <v>42936</v>
      </c>
      <c r="H3439" s="1">
        <v>6600935</v>
      </c>
      <c r="I3439" s="1">
        <v>1626764</v>
      </c>
      <c r="J3439" s="1" t="s">
        <v>191</v>
      </c>
      <c r="K3439" s="1" t="s">
        <v>210</v>
      </c>
      <c r="L3439" s="1" t="str">
        <f t="shared" si="184"/>
        <v>Vallentunasjön Va2</v>
      </c>
      <c r="M3439" s="1" t="s">
        <v>211</v>
      </c>
      <c r="N3439" s="1">
        <v>1</v>
      </c>
      <c r="O3439" s="1">
        <v>1</v>
      </c>
      <c r="Q3439" s="1">
        <v>19.7</v>
      </c>
      <c r="R3439" s="1">
        <v>8.5</v>
      </c>
      <c r="S3439" s="1">
        <v>92</v>
      </c>
    </row>
    <row r="3440" spans="1:38" x14ac:dyDescent="0.3">
      <c r="A3440" s="1">
        <v>58658</v>
      </c>
      <c r="B3440" s="1" t="s">
        <v>252</v>
      </c>
      <c r="C3440" s="1" t="s">
        <v>209</v>
      </c>
      <c r="D3440" s="2">
        <f t="shared" si="185"/>
        <v>2017</v>
      </c>
      <c r="E3440" s="2">
        <f t="shared" si="186"/>
        <v>7</v>
      </c>
      <c r="F3440" s="3" t="s">
        <v>179</v>
      </c>
      <c r="G3440" s="4">
        <v>42936</v>
      </c>
      <c r="H3440" s="1">
        <v>6600935</v>
      </c>
      <c r="I3440" s="1">
        <v>1626764</v>
      </c>
      <c r="J3440" s="1" t="s">
        <v>191</v>
      </c>
      <c r="K3440" s="1" t="s">
        <v>210</v>
      </c>
      <c r="L3440" s="1" t="str">
        <f t="shared" si="184"/>
        <v>Vallentunasjön Va2</v>
      </c>
      <c r="M3440" s="1" t="s">
        <v>212</v>
      </c>
      <c r="N3440" s="1">
        <v>2</v>
      </c>
      <c r="O3440" s="1">
        <v>2</v>
      </c>
      <c r="Q3440" s="1">
        <v>19.7</v>
      </c>
      <c r="R3440" s="1">
        <v>8</v>
      </c>
      <c r="S3440" s="1">
        <v>87</v>
      </c>
    </row>
    <row r="3441" spans="1:38" x14ac:dyDescent="0.3">
      <c r="A3441" s="1">
        <v>58659</v>
      </c>
      <c r="B3441" s="1" t="s">
        <v>252</v>
      </c>
      <c r="C3441" s="1" t="s">
        <v>209</v>
      </c>
      <c r="D3441" s="2">
        <f t="shared" si="185"/>
        <v>2017</v>
      </c>
      <c r="E3441" s="2">
        <f t="shared" si="186"/>
        <v>7</v>
      </c>
      <c r="F3441" s="3" t="s">
        <v>179</v>
      </c>
      <c r="G3441" s="4">
        <v>42936</v>
      </c>
      <c r="H3441" s="1">
        <v>6600935</v>
      </c>
      <c r="I3441" s="1">
        <v>1626764</v>
      </c>
      <c r="J3441" s="1" t="s">
        <v>191</v>
      </c>
      <c r="K3441" s="1" t="s">
        <v>210</v>
      </c>
      <c r="L3441" s="1" t="str">
        <f t="shared" si="184"/>
        <v>Vallentunasjön Va2</v>
      </c>
      <c r="M3441" s="1" t="s">
        <v>213</v>
      </c>
      <c r="N3441" s="1">
        <v>3</v>
      </c>
      <c r="O3441" s="1">
        <v>3</v>
      </c>
      <c r="Q3441" s="1">
        <v>19.7</v>
      </c>
      <c r="R3441" s="1">
        <v>8.1</v>
      </c>
      <c r="S3441" s="1">
        <v>88</v>
      </c>
    </row>
    <row r="3442" spans="1:38" x14ac:dyDescent="0.3">
      <c r="A3442" s="1">
        <v>58660</v>
      </c>
      <c r="B3442" s="1" t="s">
        <v>252</v>
      </c>
      <c r="C3442" s="1" t="s">
        <v>209</v>
      </c>
      <c r="D3442" s="2">
        <f t="shared" si="185"/>
        <v>2017</v>
      </c>
      <c r="E3442" s="2">
        <f t="shared" si="186"/>
        <v>7</v>
      </c>
      <c r="F3442" s="3" t="s">
        <v>179</v>
      </c>
      <c r="G3442" s="4">
        <v>42936</v>
      </c>
      <c r="H3442" s="1">
        <v>6600935</v>
      </c>
      <c r="I3442" s="1">
        <v>1626764</v>
      </c>
      <c r="J3442" s="1" t="s">
        <v>191</v>
      </c>
      <c r="K3442" s="1" t="s">
        <v>210</v>
      </c>
      <c r="L3442" s="1" t="str">
        <f t="shared" si="184"/>
        <v>Vallentunasjön Va2</v>
      </c>
      <c r="M3442" s="1" t="s">
        <v>214</v>
      </c>
      <c r="N3442" s="1">
        <v>4</v>
      </c>
      <c r="O3442" s="1">
        <v>4</v>
      </c>
      <c r="Q3442" s="1">
        <v>19.600000000000001</v>
      </c>
      <c r="R3442" s="1">
        <v>8</v>
      </c>
      <c r="S3442" s="1">
        <v>87</v>
      </c>
    </row>
    <row r="3443" spans="1:38" x14ac:dyDescent="0.3">
      <c r="A3443" s="1">
        <v>58661</v>
      </c>
      <c r="B3443" s="1" t="s">
        <v>252</v>
      </c>
      <c r="C3443" s="1" t="s">
        <v>209</v>
      </c>
      <c r="D3443" s="2">
        <f t="shared" si="185"/>
        <v>2017</v>
      </c>
      <c r="E3443" s="2">
        <f t="shared" si="186"/>
        <v>7</v>
      </c>
      <c r="F3443" s="3" t="s">
        <v>179</v>
      </c>
      <c r="G3443" s="4">
        <v>42936</v>
      </c>
      <c r="H3443" s="1">
        <v>6600935</v>
      </c>
      <c r="I3443" s="1">
        <v>1626764</v>
      </c>
      <c r="J3443" s="1" t="s">
        <v>191</v>
      </c>
      <c r="K3443" s="1" t="s">
        <v>210</v>
      </c>
      <c r="L3443" s="1" t="str">
        <f t="shared" si="184"/>
        <v>Vallentunasjön Va2</v>
      </c>
      <c r="M3443" s="1" t="s">
        <v>184</v>
      </c>
      <c r="Q3443" s="1">
        <v>19.600000000000001</v>
      </c>
      <c r="R3443" s="1">
        <v>8</v>
      </c>
      <c r="S3443" s="1">
        <v>86</v>
      </c>
    </row>
    <row r="3444" spans="1:38" x14ac:dyDescent="0.3">
      <c r="A3444" s="1">
        <v>58662</v>
      </c>
      <c r="B3444" s="1" t="s">
        <v>252</v>
      </c>
      <c r="C3444" s="1" t="s">
        <v>209</v>
      </c>
      <c r="D3444" s="2">
        <f t="shared" si="185"/>
        <v>2017</v>
      </c>
      <c r="E3444" s="2">
        <f t="shared" si="186"/>
        <v>7</v>
      </c>
      <c r="F3444" s="3" t="s">
        <v>179</v>
      </c>
      <c r="G3444" s="4">
        <v>42936</v>
      </c>
      <c r="J3444" s="1" t="s">
        <v>191</v>
      </c>
      <c r="K3444" s="1" t="s">
        <v>206</v>
      </c>
      <c r="L3444" s="1" t="str">
        <f t="shared" si="184"/>
        <v>Vallentunasjön Blandprov</v>
      </c>
      <c r="M3444" s="1" t="s">
        <v>177</v>
      </c>
      <c r="N3444" s="1">
        <v>4</v>
      </c>
      <c r="O3444" s="1">
        <v>0</v>
      </c>
      <c r="Q3444" s="1">
        <v>19.7</v>
      </c>
      <c r="W3444" s="1">
        <v>25.1496</v>
      </c>
      <c r="X3444" s="1">
        <v>1.5516265285643775</v>
      </c>
      <c r="Y3444" s="1">
        <v>4.2000000000000003E-2</v>
      </c>
      <c r="Z3444" s="1">
        <v>1.86</v>
      </c>
      <c r="AB3444" s="1">
        <v>30.847799999999999</v>
      </c>
      <c r="AD3444" s="1">
        <v>0.24</v>
      </c>
      <c r="AE3444" s="1">
        <v>8.23</v>
      </c>
      <c r="AG3444" s="1">
        <v>24.5</v>
      </c>
      <c r="AK3444" s="1">
        <v>87.98</v>
      </c>
      <c r="AL3444" s="1">
        <v>1546.06</v>
      </c>
    </row>
    <row r="3445" spans="1:38" x14ac:dyDescent="0.3">
      <c r="A3445" s="1">
        <v>58865</v>
      </c>
      <c r="B3445" s="1" t="s">
        <v>252</v>
      </c>
      <c r="C3445" s="1" t="s">
        <v>209</v>
      </c>
      <c r="D3445" s="2">
        <f t="shared" si="185"/>
        <v>2017</v>
      </c>
      <c r="E3445" s="2">
        <f t="shared" si="186"/>
        <v>7</v>
      </c>
      <c r="F3445" s="3" t="s">
        <v>179</v>
      </c>
      <c r="G3445" s="4">
        <v>42947</v>
      </c>
      <c r="H3445" s="1">
        <v>6600935</v>
      </c>
      <c r="I3445" s="1">
        <v>1626764</v>
      </c>
      <c r="J3445" s="1" t="s">
        <v>191</v>
      </c>
      <c r="K3445" s="1" t="s">
        <v>210</v>
      </c>
      <c r="L3445" s="1" t="str">
        <f t="shared" si="184"/>
        <v>Vallentunasjön Va2</v>
      </c>
      <c r="M3445" s="1" t="s">
        <v>177</v>
      </c>
      <c r="N3445" s="1">
        <v>0.5</v>
      </c>
      <c r="O3445" s="1">
        <v>0.5</v>
      </c>
      <c r="P3445" s="1">
        <v>0.6</v>
      </c>
      <c r="Q3445" s="1">
        <v>20.399999999999999</v>
      </c>
      <c r="R3445" s="1">
        <v>9.3000000000000007</v>
      </c>
      <c r="S3445" s="1">
        <v>105</v>
      </c>
    </row>
    <row r="3446" spans="1:38" x14ac:dyDescent="0.3">
      <c r="A3446" s="1">
        <v>58866</v>
      </c>
      <c r="B3446" s="1" t="s">
        <v>252</v>
      </c>
      <c r="C3446" s="1" t="s">
        <v>209</v>
      </c>
      <c r="D3446" s="2">
        <f t="shared" si="185"/>
        <v>2017</v>
      </c>
      <c r="E3446" s="2">
        <f t="shared" si="186"/>
        <v>7</v>
      </c>
      <c r="F3446" s="3" t="s">
        <v>179</v>
      </c>
      <c r="G3446" s="4">
        <v>42947</v>
      </c>
      <c r="H3446" s="1">
        <v>6600935</v>
      </c>
      <c r="I3446" s="1">
        <v>1626764</v>
      </c>
      <c r="J3446" s="1" t="s">
        <v>191</v>
      </c>
      <c r="K3446" s="1" t="s">
        <v>210</v>
      </c>
      <c r="L3446" s="1" t="str">
        <f t="shared" si="184"/>
        <v>Vallentunasjön Va2</v>
      </c>
      <c r="M3446" s="1" t="s">
        <v>211</v>
      </c>
      <c r="N3446" s="1">
        <v>1</v>
      </c>
      <c r="O3446" s="1">
        <v>1</v>
      </c>
      <c r="Q3446" s="1">
        <v>20.399999999999999</v>
      </c>
      <c r="R3446" s="1">
        <v>9.6</v>
      </c>
      <c r="S3446" s="1">
        <v>109</v>
      </c>
    </row>
    <row r="3447" spans="1:38" x14ac:dyDescent="0.3">
      <c r="A3447" s="1">
        <v>58867</v>
      </c>
      <c r="B3447" s="1" t="s">
        <v>252</v>
      </c>
      <c r="C3447" s="1" t="s">
        <v>209</v>
      </c>
      <c r="D3447" s="2">
        <f t="shared" si="185"/>
        <v>2017</v>
      </c>
      <c r="E3447" s="2">
        <f t="shared" si="186"/>
        <v>7</v>
      </c>
      <c r="F3447" s="3" t="s">
        <v>179</v>
      </c>
      <c r="G3447" s="4">
        <v>42947</v>
      </c>
      <c r="H3447" s="1">
        <v>6600935</v>
      </c>
      <c r="I3447" s="1">
        <v>1626764</v>
      </c>
      <c r="J3447" s="1" t="s">
        <v>191</v>
      </c>
      <c r="K3447" s="1" t="s">
        <v>210</v>
      </c>
      <c r="L3447" s="1" t="str">
        <f t="shared" si="184"/>
        <v>Vallentunasjön Va2</v>
      </c>
      <c r="M3447" s="1" t="s">
        <v>212</v>
      </c>
      <c r="N3447" s="1">
        <v>2</v>
      </c>
      <c r="O3447" s="1">
        <v>2</v>
      </c>
      <c r="Q3447" s="1">
        <v>20.399999999999999</v>
      </c>
      <c r="R3447" s="1">
        <v>9.9</v>
      </c>
      <c r="S3447" s="1">
        <v>112</v>
      </c>
    </row>
    <row r="3448" spans="1:38" x14ac:dyDescent="0.3">
      <c r="A3448" s="1">
        <v>58868</v>
      </c>
      <c r="B3448" s="1" t="s">
        <v>252</v>
      </c>
      <c r="C3448" s="1" t="s">
        <v>209</v>
      </c>
      <c r="D3448" s="2">
        <f t="shared" si="185"/>
        <v>2017</v>
      </c>
      <c r="E3448" s="2">
        <f t="shared" si="186"/>
        <v>7</v>
      </c>
      <c r="F3448" s="3" t="s">
        <v>179</v>
      </c>
      <c r="G3448" s="4">
        <v>42947</v>
      </c>
      <c r="H3448" s="1">
        <v>6600935</v>
      </c>
      <c r="I3448" s="1">
        <v>1626764</v>
      </c>
      <c r="J3448" s="1" t="s">
        <v>191</v>
      </c>
      <c r="K3448" s="1" t="s">
        <v>210</v>
      </c>
      <c r="L3448" s="1" t="str">
        <f t="shared" si="184"/>
        <v>Vallentunasjön Va2</v>
      </c>
      <c r="M3448" s="1" t="s">
        <v>213</v>
      </c>
      <c r="N3448" s="1">
        <v>3</v>
      </c>
      <c r="O3448" s="1">
        <v>3</v>
      </c>
      <c r="Q3448" s="1">
        <v>20.399999999999999</v>
      </c>
      <c r="R3448" s="1">
        <v>10.1</v>
      </c>
      <c r="S3448" s="1">
        <v>114</v>
      </c>
    </row>
    <row r="3449" spans="1:38" x14ac:dyDescent="0.3">
      <c r="A3449" s="1">
        <v>58869</v>
      </c>
      <c r="B3449" s="1" t="s">
        <v>252</v>
      </c>
      <c r="C3449" s="1" t="s">
        <v>209</v>
      </c>
      <c r="D3449" s="2">
        <f t="shared" si="185"/>
        <v>2017</v>
      </c>
      <c r="E3449" s="2">
        <f t="shared" si="186"/>
        <v>7</v>
      </c>
      <c r="F3449" s="3" t="s">
        <v>179</v>
      </c>
      <c r="G3449" s="4">
        <v>42947</v>
      </c>
      <c r="H3449" s="1">
        <v>6600935</v>
      </c>
      <c r="I3449" s="1">
        <v>1626764</v>
      </c>
      <c r="J3449" s="1" t="s">
        <v>191</v>
      </c>
      <c r="K3449" s="1" t="s">
        <v>210</v>
      </c>
      <c r="L3449" s="1" t="str">
        <f t="shared" si="184"/>
        <v>Vallentunasjön Va2</v>
      </c>
      <c r="M3449" s="1" t="s">
        <v>214</v>
      </c>
      <c r="N3449" s="1">
        <v>4</v>
      </c>
      <c r="O3449" s="1">
        <v>4</v>
      </c>
      <c r="Q3449" s="1">
        <v>20.399999999999999</v>
      </c>
      <c r="R3449" s="1">
        <v>10.199999999999999</v>
      </c>
      <c r="S3449" s="1">
        <v>114</v>
      </c>
    </row>
    <row r="3450" spans="1:38" x14ac:dyDescent="0.3">
      <c r="A3450" s="1">
        <v>58870</v>
      </c>
      <c r="B3450" s="1" t="s">
        <v>252</v>
      </c>
      <c r="C3450" s="1" t="s">
        <v>209</v>
      </c>
      <c r="D3450" s="2">
        <f t="shared" si="185"/>
        <v>2017</v>
      </c>
      <c r="E3450" s="2">
        <f t="shared" si="186"/>
        <v>7</v>
      </c>
      <c r="F3450" s="3" t="s">
        <v>179</v>
      </c>
      <c r="G3450" s="4">
        <v>42947</v>
      </c>
      <c r="H3450" s="1">
        <v>6600935</v>
      </c>
      <c r="I3450" s="1">
        <v>1626764</v>
      </c>
      <c r="J3450" s="1" t="s">
        <v>191</v>
      </c>
      <c r="K3450" s="1" t="s">
        <v>210</v>
      </c>
      <c r="L3450" s="1" t="str">
        <f t="shared" si="184"/>
        <v>Vallentunasjön Va2</v>
      </c>
      <c r="M3450" s="1" t="s">
        <v>184</v>
      </c>
      <c r="Q3450" s="1">
        <v>20.399999999999999</v>
      </c>
      <c r="R3450" s="1">
        <v>10.199999999999999</v>
      </c>
      <c r="S3450" s="1">
        <v>114</v>
      </c>
    </row>
    <row r="3451" spans="1:38" x14ac:dyDescent="0.3">
      <c r="A3451" s="1">
        <v>58871</v>
      </c>
      <c r="B3451" s="1" t="s">
        <v>252</v>
      </c>
      <c r="C3451" s="1" t="s">
        <v>209</v>
      </c>
      <c r="D3451" s="2">
        <f t="shared" si="185"/>
        <v>2017</v>
      </c>
      <c r="E3451" s="2">
        <f t="shared" si="186"/>
        <v>7</v>
      </c>
      <c r="F3451" s="3" t="s">
        <v>179</v>
      </c>
      <c r="G3451" s="4">
        <v>42947</v>
      </c>
      <c r="J3451" s="1" t="s">
        <v>191</v>
      </c>
      <c r="K3451" s="1" t="s">
        <v>206</v>
      </c>
      <c r="L3451" s="1" t="str">
        <f t="shared" si="184"/>
        <v>Vallentunasjön Blandprov</v>
      </c>
      <c r="M3451" s="1" t="s">
        <v>177</v>
      </c>
      <c r="N3451" s="1">
        <v>4</v>
      </c>
      <c r="O3451" s="1">
        <v>0</v>
      </c>
      <c r="Q3451" s="1">
        <v>20.399999999999999</v>
      </c>
      <c r="W3451" s="1">
        <v>5.3007</v>
      </c>
      <c r="X3451" s="1">
        <v>0.48202459357422639</v>
      </c>
      <c r="Y3451" s="1">
        <v>3.5000000000000003E-2</v>
      </c>
      <c r="Z3451" s="1">
        <v>4.76</v>
      </c>
      <c r="AB3451" s="1">
        <v>44.741250000000001</v>
      </c>
      <c r="AD3451" s="1">
        <v>0.27</v>
      </c>
      <c r="AE3451" s="1">
        <v>8.39</v>
      </c>
      <c r="AG3451" s="1">
        <v>23.5</v>
      </c>
      <c r="AK3451" s="1">
        <v>82.1</v>
      </c>
      <c r="AL3451" s="1">
        <v>1494.22</v>
      </c>
    </row>
    <row r="3452" spans="1:38" x14ac:dyDescent="0.3">
      <c r="A3452" s="1">
        <v>58939</v>
      </c>
      <c r="B3452" s="1" t="s">
        <v>252</v>
      </c>
      <c r="C3452" s="1" t="s">
        <v>209</v>
      </c>
      <c r="D3452" s="2">
        <f t="shared" si="185"/>
        <v>2017</v>
      </c>
      <c r="E3452" s="2">
        <f t="shared" si="186"/>
        <v>8</v>
      </c>
      <c r="F3452" s="3" t="s">
        <v>179</v>
      </c>
      <c r="G3452" s="4">
        <v>42957</v>
      </c>
      <c r="H3452" s="1">
        <v>6600935</v>
      </c>
      <c r="I3452" s="1">
        <v>1626764</v>
      </c>
      <c r="J3452" s="1" t="s">
        <v>191</v>
      </c>
      <c r="K3452" s="1" t="s">
        <v>210</v>
      </c>
      <c r="L3452" s="1" t="str">
        <f t="shared" si="184"/>
        <v>Vallentunasjön Va2</v>
      </c>
      <c r="M3452" s="1" t="s">
        <v>177</v>
      </c>
      <c r="N3452" s="1">
        <v>0.5</v>
      </c>
      <c r="O3452" s="1">
        <v>0.5</v>
      </c>
      <c r="P3452" s="1">
        <v>0.8</v>
      </c>
      <c r="Q3452" s="1">
        <v>19.8</v>
      </c>
      <c r="R3452" s="1">
        <v>9.1999999999999993</v>
      </c>
      <c r="S3452" s="1">
        <v>101</v>
      </c>
    </row>
    <row r="3453" spans="1:38" x14ac:dyDescent="0.3">
      <c r="A3453" s="1">
        <v>58940</v>
      </c>
      <c r="B3453" s="1" t="s">
        <v>252</v>
      </c>
      <c r="C3453" s="1" t="s">
        <v>209</v>
      </c>
      <c r="D3453" s="2">
        <f t="shared" si="185"/>
        <v>2017</v>
      </c>
      <c r="E3453" s="2">
        <f t="shared" si="186"/>
        <v>8</v>
      </c>
      <c r="F3453" s="3" t="s">
        <v>179</v>
      </c>
      <c r="G3453" s="4">
        <v>42957</v>
      </c>
      <c r="H3453" s="1">
        <v>6600935</v>
      </c>
      <c r="I3453" s="1">
        <v>1626764</v>
      </c>
      <c r="J3453" s="1" t="s">
        <v>191</v>
      </c>
      <c r="K3453" s="1" t="s">
        <v>210</v>
      </c>
      <c r="L3453" s="1" t="str">
        <f t="shared" si="184"/>
        <v>Vallentunasjön Va2</v>
      </c>
      <c r="M3453" s="1" t="s">
        <v>211</v>
      </c>
      <c r="N3453" s="1">
        <v>1</v>
      </c>
      <c r="O3453" s="1">
        <v>1</v>
      </c>
      <c r="Q3453" s="1">
        <v>19.8</v>
      </c>
      <c r="R3453" s="1">
        <v>9.1999999999999993</v>
      </c>
      <c r="S3453" s="1">
        <v>101</v>
      </c>
    </row>
    <row r="3454" spans="1:38" x14ac:dyDescent="0.3">
      <c r="A3454" s="1">
        <v>58941</v>
      </c>
      <c r="B3454" s="1" t="s">
        <v>252</v>
      </c>
      <c r="C3454" s="1" t="s">
        <v>209</v>
      </c>
      <c r="D3454" s="2">
        <f t="shared" si="185"/>
        <v>2017</v>
      </c>
      <c r="E3454" s="2">
        <f t="shared" si="186"/>
        <v>8</v>
      </c>
      <c r="F3454" s="3" t="s">
        <v>179</v>
      </c>
      <c r="G3454" s="4">
        <v>42957</v>
      </c>
      <c r="H3454" s="1">
        <v>6600935</v>
      </c>
      <c r="I3454" s="1">
        <v>1626764</v>
      </c>
      <c r="J3454" s="1" t="s">
        <v>191</v>
      </c>
      <c r="K3454" s="1" t="s">
        <v>210</v>
      </c>
      <c r="L3454" s="1" t="str">
        <f t="shared" ref="L3454:L3517" si="187">CONCATENATE(J3454," ",K3454)</f>
        <v>Vallentunasjön Va2</v>
      </c>
      <c r="M3454" s="1" t="s">
        <v>212</v>
      </c>
      <c r="N3454" s="1">
        <v>2</v>
      </c>
      <c r="O3454" s="1">
        <v>2</v>
      </c>
      <c r="Q3454" s="1">
        <v>19.8</v>
      </c>
      <c r="R3454" s="1">
        <v>9.1999999999999993</v>
      </c>
      <c r="S3454" s="1">
        <v>101</v>
      </c>
    </row>
    <row r="3455" spans="1:38" x14ac:dyDescent="0.3">
      <c r="A3455" s="1">
        <v>58942</v>
      </c>
      <c r="B3455" s="1" t="s">
        <v>252</v>
      </c>
      <c r="C3455" s="1" t="s">
        <v>209</v>
      </c>
      <c r="D3455" s="2">
        <f t="shared" si="185"/>
        <v>2017</v>
      </c>
      <c r="E3455" s="2">
        <f t="shared" si="186"/>
        <v>8</v>
      </c>
      <c r="F3455" s="3" t="s">
        <v>179</v>
      </c>
      <c r="G3455" s="4">
        <v>42957</v>
      </c>
      <c r="H3455" s="1">
        <v>6600935</v>
      </c>
      <c r="I3455" s="1">
        <v>1626764</v>
      </c>
      <c r="J3455" s="1" t="s">
        <v>191</v>
      </c>
      <c r="K3455" s="1" t="s">
        <v>210</v>
      </c>
      <c r="L3455" s="1" t="str">
        <f t="shared" si="187"/>
        <v>Vallentunasjön Va2</v>
      </c>
      <c r="M3455" s="1" t="s">
        <v>213</v>
      </c>
      <c r="N3455" s="1">
        <v>3</v>
      </c>
      <c r="O3455" s="1">
        <v>3</v>
      </c>
      <c r="Q3455" s="1">
        <v>19.8</v>
      </c>
      <c r="R3455" s="1">
        <v>9.1999999999999993</v>
      </c>
      <c r="S3455" s="1">
        <v>101</v>
      </c>
    </row>
    <row r="3456" spans="1:38" x14ac:dyDescent="0.3">
      <c r="A3456" s="1">
        <v>58943</v>
      </c>
      <c r="B3456" s="1" t="s">
        <v>252</v>
      </c>
      <c r="C3456" s="1" t="s">
        <v>209</v>
      </c>
      <c r="D3456" s="2">
        <f t="shared" si="185"/>
        <v>2017</v>
      </c>
      <c r="E3456" s="2">
        <f t="shared" si="186"/>
        <v>8</v>
      </c>
      <c r="F3456" s="3" t="s">
        <v>179</v>
      </c>
      <c r="G3456" s="4">
        <v>42957</v>
      </c>
      <c r="H3456" s="1">
        <v>6600935</v>
      </c>
      <c r="I3456" s="1">
        <v>1626764</v>
      </c>
      <c r="J3456" s="1" t="s">
        <v>191</v>
      </c>
      <c r="K3456" s="1" t="s">
        <v>210</v>
      </c>
      <c r="L3456" s="1" t="str">
        <f t="shared" si="187"/>
        <v>Vallentunasjön Va2</v>
      </c>
      <c r="M3456" s="1" t="s">
        <v>214</v>
      </c>
      <c r="N3456" s="1">
        <v>4</v>
      </c>
      <c r="O3456" s="1">
        <v>4</v>
      </c>
      <c r="Q3456" s="1">
        <v>19.8</v>
      </c>
      <c r="R3456" s="1">
        <v>9.1</v>
      </c>
      <c r="S3456" s="1">
        <v>100</v>
      </c>
    </row>
    <row r="3457" spans="1:38" x14ac:dyDescent="0.3">
      <c r="A3457" s="1">
        <v>58944</v>
      </c>
      <c r="B3457" s="1" t="s">
        <v>252</v>
      </c>
      <c r="C3457" s="1" t="s">
        <v>209</v>
      </c>
      <c r="D3457" s="2">
        <f t="shared" si="185"/>
        <v>2017</v>
      </c>
      <c r="E3457" s="2">
        <f t="shared" si="186"/>
        <v>8</v>
      </c>
      <c r="F3457" s="3" t="s">
        <v>179</v>
      </c>
      <c r="G3457" s="4">
        <v>42957</v>
      </c>
      <c r="H3457" s="1">
        <v>6600935</v>
      </c>
      <c r="I3457" s="1">
        <v>1626764</v>
      </c>
      <c r="J3457" s="1" t="s">
        <v>191</v>
      </c>
      <c r="K3457" s="1" t="s">
        <v>210</v>
      </c>
      <c r="L3457" s="1" t="str">
        <f t="shared" si="187"/>
        <v>Vallentunasjön Va2</v>
      </c>
      <c r="M3457" s="1" t="s">
        <v>184</v>
      </c>
      <c r="Q3457" s="1">
        <v>19.8</v>
      </c>
      <c r="R3457" s="1">
        <v>9.1</v>
      </c>
      <c r="S3457" s="1">
        <v>100</v>
      </c>
    </row>
    <row r="3458" spans="1:38" x14ac:dyDescent="0.3">
      <c r="A3458" s="1">
        <v>58945</v>
      </c>
      <c r="B3458" s="1" t="s">
        <v>252</v>
      </c>
      <c r="C3458" s="1" t="s">
        <v>209</v>
      </c>
      <c r="D3458" s="2">
        <f t="shared" si="185"/>
        <v>2017</v>
      </c>
      <c r="E3458" s="2">
        <f t="shared" si="186"/>
        <v>8</v>
      </c>
      <c r="F3458" s="3" t="s">
        <v>179</v>
      </c>
      <c r="G3458" s="4">
        <v>42957</v>
      </c>
      <c r="J3458" s="1" t="s">
        <v>191</v>
      </c>
      <c r="K3458" s="1" t="s">
        <v>206</v>
      </c>
      <c r="L3458" s="1" t="str">
        <f t="shared" si="187"/>
        <v>Vallentunasjön Blandprov</v>
      </c>
      <c r="M3458" s="1" t="s">
        <v>177</v>
      </c>
      <c r="N3458" s="1">
        <v>4</v>
      </c>
      <c r="O3458" s="1">
        <v>0</v>
      </c>
      <c r="Q3458" s="1">
        <v>19.8</v>
      </c>
      <c r="W3458" s="1">
        <v>9.1776</v>
      </c>
      <c r="X3458" s="1">
        <v>0.76882468103732182</v>
      </c>
      <c r="Y3458" s="1">
        <v>0.04</v>
      </c>
      <c r="Z3458" s="1">
        <v>2.25</v>
      </c>
      <c r="AB3458" s="1">
        <v>31.909500000000001</v>
      </c>
      <c r="AD3458" s="1">
        <v>0</v>
      </c>
      <c r="AE3458" s="1">
        <v>8.3699999999999992</v>
      </c>
      <c r="AG3458" s="1">
        <v>28</v>
      </c>
      <c r="AK3458" s="1">
        <v>84.11</v>
      </c>
      <c r="AL3458" s="1">
        <v>1516.53</v>
      </c>
    </row>
    <row r="3459" spans="1:38" x14ac:dyDescent="0.3">
      <c r="A3459" s="1">
        <v>59485</v>
      </c>
      <c r="B3459" s="1" t="s">
        <v>254</v>
      </c>
      <c r="C3459" s="1" t="s">
        <v>231</v>
      </c>
      <c r="D3459" s="2">
        <f t="shared" si="185"/>
        <v>2017</v>
      </c>
      <c r="E3459" s="2">
        <f t="shared" si="186"/>
        <v>8</v>
      </c>
      <c r="F3459" s="3" t="s">
        <v>179</v>
      </c>
      <c r="G3459" s="4">
        <v>42963</v>
      </c>
      <c r="H3459" s="1">
        <v>6595470</v>
      </c>
      <c r="I3459" s="1">
        <v>1622370</v>
      </c>
      <c r="J3459" s="1" t="s">
        <v>190</v>
      </c>
      <c r="K3459" s="1"/>
      <c r="L3459" s="1" t="str">
        <f t="shared" si="187"/>
        <v xml:space="preserve">Snuggan </v>
      </c>
      <c r="M3459" s="1" t="s">
        <v>177</v>
      </c>
      <c r="N3459" s="1">
        <v>0.5</v>
      </c>
      <c r="O3459" s="1">
        <v>0.5</v>
      </c>
      <c r="P3459" s="1">
        <v>0.6</v>
      </c>
      <c r="Q3459" s="1">
        <v>20.399999999999999</v>
      </c>
      <c r="R3459" s="1">
        <v>8</v>
      </c>
      <c r="S3459" s="1">
        <v>89</v>
      </c>
      <c r="V3459" s="1">
        <v>3.4901501975999998E-2</v>
      </c>
      <c r="W3459" s="1">
        <v>2.1086999999999998</v>
      </c>
      <c r="X3459" s="1">
        <v>1.4251569895311772E-3</v>
      </c>
      <c r="Y3459" s="1">
        <v>0.434</v>
      </c>
      <c r="Z3459" s="1">
        <v>4.2</v>
      </c>
      <c r="AA3459" s="1">
        <v>2.2000000000000002</v>
      </c>
      <c r="AB3459" s="1">
        <v>10.480114285999999</v>
      </c>
      <c r="AD3459" s="1">
        <v>0</v>
      </c>
      <c r="AE3459" s="1">
        <v>6.22</v>
      </c>
      <c r="AK3459" s="1">
        <v>20.83</v>
      </c>
      <c r="AL3459" s="1">
        <v>993.13</v>
      </c>
    </row>
    <row r="3460" spans="1:38" x14ac:dyDescent="0.3">
      <c r="A3460" s="1">
        <v>59486</v>
      </c>
      <c r="B3460" s="1" t="s">
        <v>254</v>
      </c>
      <c r="C3460" s="1" t="s">
        <v>231</v>
      </c>
      <c r="D3460" s="2">
        <f t="shared" si="185"/>
        <v>2017</v>
      </c>
      <c r="E3460" s="2">
        <f t="shared" si="186"/>
        <v>8</v>
      </c>
      <c r="F3460" s="3" t="s">
        <v>179</v>
      </c>
      <c r="G3460" s="4">
        <v>42963</v>
      </c>
      <c r="H3460" s="1">
        <v>6595470</v>
      </c>
      <c r="I3460" s="1">
        <v>1622370</v>
      </c>
      <c r="J3460" s="1" t="s">
        <v>190</v>
      </c>
      <c r="K3460" s="1"/>
      <c r="L3460" s="1" t="str">
        <f t="shared" si="187"/>
        <v xml:space="preserve">Snuggan </v>
      </c>
      <c r="M3460" s="1" t="s">
        <v>211</v>
      </c>
      <c r="N3460" s="1">
        <v>1</v>
      </c>
      <c r="O3460" s="1">
        <v>1</v>
      </c>
      <c r="Q3460" s="1">
        <v>18.399999999999999</v>
      </c>
      <c r="R3460" s="1">
        <v>7.6</v>
      </c>
      <c r="S3460" s="1">
        <v>82</v>
      </c>
    </row>
    <row r="3461" spans="1:38" x14ac:dyDescent="0.3">
      <c r="A3461" s="1">
        <v>59487</v>
      </c>
      <c r="B3461" s="1" t="s">
        <v>254</v>
      </c>
      <c r="C3461" s="1" t="s">
        <v>231</v>
      </c>
      <c r="D3461" s="2">
        <f t="shared" si="185"/>
        <v>2017</v>
      </c>
      <c r="E3461" s="2">
        <f t="shared" si="186"/>
        <v>8</v>
      </c>
      <c r="F3461" s="3" t="s">
        <v>179</v>
      </c>
      <c r="G3461" s="4">
        <v>42963</v>
      </c>
      <c r="H3461" s="1">
        <v>6595470</v>
      </c>
      <c r="I3461" s="1">
        <v>1622370</v>
      </c>
      <c r="J3461" s="1" t="s">
        <v>190</v>
      </c>
      <c r="K3461" s="1"/>
      <c r="L3461" s="1" t="str">
        <f t="shared" si="187"/>
        <v xml:space="preserve">Snuggan </v>
      </c>
      <c r="M3461" s="1" t="s">
        <v>212</v>
      </c>
      <c r="N3461" s="1">
        <v>2</v>
      </c>
      <c r="O3461" s="1">
        <v>2</v>
      </c>
      <c r="Q3461" s="1">
        <v>15</v>
      </c>
      <c r="R3461" s="1">
        <v>0.1</v>
      </c>
      <c r="S3461" s="1">
        <v>1</v>
      </c>
    </row>
    <row r="3462" spans="1:38" x14ac:dyDescent="0.3">
      <c r="A3462" s="1">
        <v>59488</v>
      </c>
      <c r="B3462" s="1" t="s">
        <v>254</v>
      </c>
      <c r="C3462" s="1" t="s">
        <v>231</v>
      </c>
      <c r="D3462" s="2">
        <f t="shared" ref="D3462:D3525" si="188">YEAR(G3462)</f>
        <v>2017</v>
      </c>
      <c r="E3462" s="2">
        <f t="shared" ref="E3462:E3525" si="189">MONTH(G3462)</f>
        <v>8</v>
      </c>
      <c r="F3462" s="3" t="s">
        <v>179</v>
      </c>
      <c r="G3462" s="4">
        <v>42963</v>
      </c>
      <c r="H3462" s="1">
        <v>6595470</v>
      </c>
      <c r="I3462" s="1">
        <v>1622370</v>
      </c>
      <c r="J3462" s="1" t="s">
        <v>190</v>
      </c>
      <c r="K3462" s="1"/>
      <c r="L3462" s="1" t="str">
        <f t="shared" si="187"/>
        <v xml:space="preserve">Snuggan </v>
      </c>
      <c r="M3462" s="1" t="s">
        <v>184</v>
      </c>
      <c r="N3462" s="1">
        <v>3</v>
      </c>
      <c r="O3462" s="1">
        <v>3</v>
      </c>
      <c r="Q3462" s="1">
        <v>12.5</v>
      </c>
      <c r="R3462" s="1">
        <v>0.1</v>
      </c>
      <c r="S3462" s="1">
        <v>1</v>
      </c>
      <c r="V3462" s="1">
        <v>0.24818845849999999</v>
      </c>
      <c r="W3462" s="1">
        <v>746.43259999999998</v>
      </c>
      <c r="X3462" s="1">
        <v>0.26655270104030726</v>
      </c>
      <c r="Y3462" s="1">
        <v>0.65800000000000003</v>
      </c>
      <c r="Z3462" s="1">
        <v>3.1</v>
      </c>
      <c r="AA3462" s="1">
        <v>6.8</v>
      </c>
      <c r="AD3462" s="1">
        <v>0.16</v>
      </c>
      <c r="AE3462" s="1">
        <v>6.2</v>
      </c>
      <c r="AK3462" s="1">
        <v>47.18</v>
      </c>
      <c r="AL3462" s="1">
        <v>1831.91</v>
      </c>
    </row>
    <row r="3463" spans="1:38" x14ac:dyDescent="0.3">
      <c r="A3463" s="1">
        <v>59489</v>
      </c>
      <c r="B3463" s="1" t="s">
        <v>254</v>
      </c>
      <c r="C3463" s="1" t="s">
        <v>231</v>
      </c>
      <c r="D3463" s="2">
        <f t="shared" si="188"/>
        <v>2017</v>
      </c>
      <c r="E3463" s="2">
        <f t="shared" si="189"/>
        <v>8</v>
      </c>
      <c r="F3463" s="3" t="s">
        <v>179</v>
      </c>
      <c r="G3463" s="4">
        <v>42963</v>
      </c>
      <c r="H3463" s="1">
        <v>6595470</v>
      </c>
      <c r="I3463" s="1">
        <v>1622370</v>
      </c>
      <c r="J3463" s="1" t="s">
        <v>190</v>
      </c>
      <c r="K3463" s="1"/>
      <c r="L3463" s="1" t="str">
        <f t="shared" si="187"/>
        <v xml:space="preserve">Snuggan </v>
      </c>
      <c r="M3463" s="1" t="s">
        <v>225</v>
      </c>
      <c r="N3463" s="1">
        <v>2</v>
      </c>
      <c r="O3463" s="1">
        <v>0</v>
      </c>
    </row>
    <row r="3464" spans="1:38" x14ac:dyDescent="0.3">
      <c r="A3464" s="1">
        <v>59490</v>
      </c>
      <c r="B3464" s="1" t="s">
        <v>254</v>
      </c>
      <c r="C3464" s="1" t="s">
        <v>231</v>
      </c>
      <c r="D3464" s="2">
        <f t="shared" si="188"/>
        <v>2017</v>
      </c>
      <c r="E3464" s="2">
        <f t="shared" si="189"/>
        <v>8</v>
      </c>
      <c r="F3464" s="3" t="s">
        <v>179</v>
      </c>
      <c r="G3464" s="4">
        <v>42963</v>
      </c>
      <c r="H3464" s="1">
        <v>6597555</v>
      </c>
      <c r="I3464" s="1">
        <v>1629125</v>
      </c>
      <c r="J3464" s="1" t="s">
        <v>185</v>
      </c>
      <c r="K3464" s="1"/>
      <c r="L3464" s="1" t="str">
        <f t="shared" si="187"/>
        <v xml:space="preserve">Gullsjön </v>
      </c>
      <c r="M3464" s="1" t="s">
        <v>177</v>
      </c>
      <c r="N3464" s="1">
        <v>0.5</v>
      </c>
      <c r="O3464" s="1">
        <v>0.5</v>
      </c>
      <c r="P3464" s="1">
        <v>1.8</v>
      </c>
      <c r="Q3464" s="1">
        <v>21.8</v>
      </c>
      <c r="R3464" s="1">
        <v>5</v>
      </c>
      <c r="S3464" s="1">
        <v>56</v>
      </c>
      <c r="V3464" s="1">
        <v>1.4542292489999999</v>
      </c>
      <c r="W3464" s="1">
        <v>2.2391000000000001</v>
      </c>
      <c r="X3464" s="1">
        <v>7.6361231613424349E-3</v>
      </c>
      <c r="Y3464" s="1">
        <v>9.9000000000000005E-2</v>
      </c>
      <c r="Z3464" s="1">
        <v>0.53</v>
      </c>
      <c r="AA3464" s="1">
        <v>0.68</v>
      </c>
      <c r="AB3464" s="1">
        <v>3.0842999999999998</v>
      </c>
      <c r="AD3464" s="1">
        <v>0</v>
      </c>
      <c r="AE3464" s="1">
        <v>6.88</v>
      </c>
      <c r="AK3464" s="1">
        <v>10.23</v>
      </c>
      <c r="AL3464" s="1">
        <v>617.1</v>
      </c>
    </row>
    <row r="3465" spans="1:38" x14ac:dyDescent="0.3">
      <c r="A3465" s="1">
        <v>59491</v>
      </c>
      <c r="B3465" s="1" t="s">
        <v>254</v>
      </c>
      <c r="C3465" s="1" t="s">
        <v>231</v>
      </c>
      <c r="D3465" s="2">
        <f t="shared" si="188"/>
        <v>2017</v>
      </c>
      <c r="E3465" s="2">
        <f t="shared" si="189"/>
        <v>8</v>
      </c>
      <c r="F3465" s="3" t="s">
        <v>179</v>
      </c>
      <c r="G3465" s="4">
        <v>42963</v>
      </c>
      <c r="H3465" s="1">
        <v>6597555</v>
      </c>
      <c r="I3465" s="1">
        <v>1629125</v>
      </c>
      <c r="J3465" s="1" t="s">
        <v>185</v>
      </c>
      <c r="K3465" s="1"/>
      <c r="L3465" s="1" t="str">
        <f t="shared" si="187"/>
        <v xml:space="preserve">Gullsjön </v>
      </c>
      <c r="M3465" s="1" t="s">
        <v>211</v>
      </c>
      <c r="N3465" s="1">
        <v>1</v>
      </c>
      <c r="O3465" s="1">
        <v>1</v>
      </c>
      <c r="Q3465" s="1">
        <v>18.3</v>
      </c>
      <c r="R3465" s="1">
        <v>3.8</v>
      </c>
      <c r="S3465" s="1">
        <v>41</v>
      </c>
    </row>
    <row r="3466" spans="1:38" x14ac:dyDescent="0.3">
      <c r="A3466" s="1">
        <v>59492</v>
      </c>
      <c r="B3466" s="1" t="s">
        <v>254</v>
      </c>
      <c r="C3466" s="1" t="s">
        <v>231</v>
      </c>
      <c r="D3466" s="2">
        <f t="shared" si="188"/>
        <v>2017</v>
      </c>
      <c r="E3466" s="2">
        <f t="shared" si="189"/>
        <v>8</v>
      </c>
      <c r="F3466" s="3" t="s">
        <v>179</v>
      </c>
      <c r="G3466" s="4">
        <v>42963</v>
      </c>
      <c r="H3466" s="1">
        <v>6597555</v>
      </c>
      <c r="I3466" s="1">
        <v>1629125</v>
      </c>
      <c r="J3466" s="1" t="s">
        <v>185</v>
      </c>
      <c r="K3466" s="1"/>
      <c r="L3466" s="1" t="str">
        <f t="shared" si="187"/>
        <v xml:space="preserve">Gullsjön </v>
      </c>
      <c r="M3466" s="1" t="s">
        <v>184</v>
      </c>
      <c r="N3466" s="1">
        <v>2</v>
      </c>
      <c r="O3466" s="1">
        <v>2</v>
      </c>
      <c r="Q3466" s="1">
        <v>17.899999999999999</v>
      </c>
      <c r="R3466" s="1">
        <v>3.7</v>
      </c>
      <c r="S3466" s="1">
        <v>39</v>
      </c>
      <c r="V3466" s="1">
        <v>1.5899573121999999</v>
      </c>
      <c r="W3466" s="1">
        <v>1.7293000000000001</v>
      </c>
      <c r="X3466" s="1">
        <v>5.091560274667368E-3</v>
      </c>
      <c r="Y3466" s="1">
        <v>0.1</v>
      </c>
      <c r="Z3466" s="1">
        <v>0.23</v>
      </c>
      <c r="AA3466" s="1">
        <v>0.84</v>
      </c>
      <c r="AD3466" s="1">
        <v>2.17</v>
      </c>
      <c r="AE3466" s="1">
        <v>6.94</v>
      </c>
      <c r="AK3466" s="1">
        <v>10.96</v>
      </c>
      <c r="AL3466" s="1">
        <v>619.70000000000005</v>
      </c>
    </row>
    <row r="3467" spans="1:38" x14ac:dyDescent="0.3">
      <c r="A3467" s="1">
        <v>59493</v>
      </c>
      <c r="B3467" s="1" t="s">
        <v>254</v>
      </c>
      <c r="C3467" s="1" t="s">
        <v>231</v>
      </c>
      <c r="D3467" s="2">
        <f t="shared" si="188"/>
        <v>2017</v>
      </c>
      <c r="E3467" s="2">
        <f t="shared" si="189"/>
        <v>8</v>
      </c>
      <c r="F3467" s="3" t="s">
        <v>179</v>
      </c>
      <c r="G3467" s="4">
        <v>42963</v>
      </c>
      <c r="H3467" s="1">
        <v>6597555</v>
      </c>
      <c r="I3467" s="1">
        <v>1629125</v>
      </c>
      <c r="J3467" s="1" t="s">
        <v>185</v>
      </c>
      <c r="K3467" s="1"/>
      <c r="L3467" s="1" t="str">
        <f t="shared" si="187"/>
        <v xml:space="preserve">Gullsjön </v>
      </c>
      <c r="M3467" s="1" t="s">
        <v>242</v>
      </c>
      <c r="N3467" s="1">
        <v>1</v>
      </c>
      <c r="O3467" s="1">
        <v>0</v>
      </c>
    </row>
    <row r="3468" spans="1:38" x14ac:dyDescent="0.3">
      <c r="A3468" s="1">
        <v>59494</v>
      </c>
      <c r="B3468" s="1" t="s">
        <v>254</v>
      </c>
      <c r="C3468" s="1" t="s">
        <v>231</v>
      </c>
      <c r="D3468" s="2">
        <f t="shared" si="188"/>
        <v>2017</v>
      </c>
      <c r="E3468" s="2">
        <f t="shared" si="189"/>
        <v>8</v>
      </c>
      <c r="F3468" s="3" t="s">
        <v>179</v>
      </c>
      <c r="G3468" s="4">
        <v>42963</v>
      </c>
      <c r="H3468" s="1">
        <v>6595515</v>
      </c>
      <c r="I3468" s="1">
        <v>1624630</v>
      </c>
      <c r="J3468" s="1" t="s">
        <v>207</v>
      </c>
      <c r="K3468" s="1"/>
      <c r="L3468" s="1" t="str">
        <f t="shared" si="187"/>
        <v xml:space="preserve">Käringsjön </v>
      </c>
      <c r="M3468" s="1" t="s">
        <v>177</v>
      </c>
      <c r="N3468" s="1">
        <v>0.5</v>
      </c>
      <c r="O3468" s="1">
        <v>1</v>
      </c>
      <c r="P3468" s="1">
        <v>1.6</v>
      </c>
      <c r="Q3468" s="1">
        <v>21.5</v>
      </c>
      <c r="R3468" s="1">
        <v>7.9</v>
      </c>
      <c r="S3468" s="1">
        <v>89</v>
      </c>
      <c r="V3468" s="1">
        <v>0.65925059287999999</v>
      </c>
      <c r="W3468" s="1">
        <v>2.6221000000000001</v>
      </c>
      <c r="X3468" s="1">
        <v>2.042268808481338E-2</v>
      </c>
      <c r="Y3468" s="1">
        <v>0.34200000000000003</v>
      </c>
      <c r="Z3468" s="1">
        <v>0.02</v>
      </c>
      <c r="AA3468" s="1">
        <v>1.63</v>
      </c>
      <c r="AB3468" s="1">
        <v>36.1755</v>
      </c>
      <c r="AD3468" s="1">
        <v>0</v>
      </c>
      <c r="AE3468" s="1">
        <v>7.25</v>
      </c>
      <c r="AK3468" s="1">
        <v>44.82</v>
      </c>
      <c r="AL3468" s="1">
        <v>1059.42</v>
      </c>
    </row>
    <row r="3469" spans="1:38" x14ac:dyDescent="0.3">
      <c r="A3469" s="1">
        <v>59495</v>
      </c>
      <c r="B3469" s="1" t="s">
        <v>254</v>
      </c>
      <c r="C3469" s="1" t="s">
        <v>231</v>
      </c>
      <c r="D3469" s="2">
        <f t="shared" si="188"/>
        <v>2017</v>
      </c>
      <c r="E3469" s="2">
        <f t="shared" si="189"/>
        <v>8</v>
      </c>
      <c r="F3469" s="3" t="s">
        <v>179</v>
      </c>
      <c r="G3469" s="4">
        <v>42963</v>
      </c>
      <c r="H3469" s="1">
        <v>6595515</v>
      </c>
      <c r="I3469" s="1">
        <v>1624630</v>
      </c>
      <c r="J3469" s="1" t="s">
        <v>207</v>
      </c>
      <c r="K3469" s="1"/>
      <c r="L3469" s="1" t="str">
        <f t="shared" si="187"/>
        <v xml:space="preserve">Käringsjön </v>
      </c>
      <c r="M3469" s="1" t="s">
        <v>211</v>
      </c>
      <c r="N3469" s="1">
        <v>1</v>
      </c>
      <c r="O3469" s="1">
        <v>1</v>
      </c>
      <c r="Q3469" s="1">
        <v>18.600000000000001</v>
      </c>
      <c r="R3469" s="1">
        <v>6.6</v>
      </c>
      <c r="S3469" s="1">
        <v>71</v>
      </c>
    </row>
    <row r="3470" spans="1:38" x14ac:dyDescent="0.3">
      <c r="A3470" s="1">
        <v>59496</v>
      </c>
      <c r="B3470" s="1" t="s">
        <v>254</v>
      </c>
      <c r="C3470" s="1" t="s">
        <v>231</v>
      </c>
      <c r="D3470" s="2">
        <f t="shared" si="188"/>
        <v>2017</v>
      </c>
      <c r="E3470" s="2">
        <f t="shared" si="189"/>
        <v>8</v>
      </c>
      <c r="F3470" s="3" t="s">
        <v>179</v>
      </c>
      <c r="G3470" s="4">
        <v>42963</v>
      </c>
      <c r="H3470" s="1">
        <v>6595515</v>
      </c>
      <c r="I3470" s="1">
        <v>1624630</v>
      </c>
      <c r="J3470" s="1" t="s">
        <v>207</v>
      </c>
      <c r="K3470" s="1"/>
      <c r="L3470" s="1" t="str">
        <f t="shared" si="187"/>
        <v xml:space="preserve">Käringsjön </v>
      </c>
      <c r="M3470" s="1" t="s">
        <v>212</v>
      </c>
      <c r="N3470" s="1">
        <v>2</v>
      </c>
      <c r="O3470" s="1">
        <v>2</v>
      </c>
      <c r="Q3470" s="1">
        <v>16</v>
      </c>
      <c r="R3470" s="1">
        <v>0.1</v>
      </c>
      <c r="S3470" s="1">
        <v>1</v>
      </c>
    </row>
    <row r="3471" spans="1:38" x14ac:dyDescent="0.3">
      <c r="A3471" s="1">
        <v>59497</v>
      </c>
      <c r="B3471" s="1" t="s">
        <v>254</v>
      </c>
      <c r="C3471" s="1" t="s">
        <v>231</v>
      </c>
      <c r="D3471" s="2">
        <f t="shared" si="188"/>
        <v>2017</v>
      </c>
      <c r="E3471" s="2">
        <f t="shared" si="189"/>
        <v>8</v>
      </c>
      <c r="F3471" s="3" t="s">
        <v>179</v>
      </c>
      <c r="G3471" s="4">
        <v>42963</v>
      </c>
      <c r="H3471" s="1">
        <v>6595515</v>
      </c>
      <c r="I3471" s="1">
        <v>1624630</v>
      </c>
      <c r="J3471" s="1" t="s">
        <v>207</v>
      </c>
      <c r="K3471" s="1"/>
      <c r="L3471" s="1" t="str">
        <f t="shared" si="187"/>
        <v xml:space="preserve">Käringsjön </v>
      </c>
      <c r="M3471" s="1" t="s">
        <v>213</v>
      </c>
      <c r="N3471" s="1">
        <v>3</v>
      </c>
      <c r="O3471" s="1">
        <v>3</v>
      </c>
      <c r="Q3471" s="1">
        <v>10.5</v>
      </c>
      <c r="R3471" s="1">
        <v>0.1</v>
      </c>
      <c r="S3471" s="1">
        <v>1</v>
      </c>
    </row>
    <row r="3472" spans="1:38" x14ac:dyDescent="0.3">
      <c r="A3472" s="1">
        <v>59498</v>
      </c>
      <c r="B3472" s="1" t="s">
        <v>254</v>
      </c>
      <c r="C3472" s="1" t="s">
        <v>231</v>
      </c>
      <c r="D3472" s="2">
        <f t="shared" si="188"/>
        <v>2017</v>
      </c>
      <c r="E3472" s="2">
        <f t="shared" si="189"/>
        <v>8</v>
      </c>
      <c r="F3472" s="3" t="s">
        <v>179</v>
      </c>
      <c r="G3472" s="4">
        <v>42963</v>
      </c>
      <c r="H3472" s="1">
        <v>6595515</v>
      </c>
      <c r="I3472" s="1">
        <v>1624630</v>
      </c>
      <c r="J3472" s="1" t="s">
        <v>207</v>
      </c>
      <c r="K3472" s="1"/>
      <c r="L3472" s="1" t="str">
        <f t="shared" si="187"/>
        <v xml:space="preserve">Käringsjön </v>
      </c>
      <c r="M3472" s="1" t="s">
        <v>184</v>
      </c>
      <c r="N3472" s="1">
        <v>4</v>
      </c>
      <c r="O3472" s="1">
        <v>4</v>
      </c>
      <c r="Q3472" s="1">
        <v>8.9</v>
      </c>
      <c r="R3472" s="1">
        <v>0.1</v>
      </c>
      <c r="S3472" s="1">
        <v>1</v>
      </c>
      <c r="V3472" s="1">
        <v>0.96948616600000004</v>
      </c>
      <c r="W3472" s="1">
        <v>0.26900000000000002</v>
      </c>
      <c r="X3472" s="1">
        <v>1.4470556248960111E-4</v>
      </c>
      <c r="Y3472" s="1">
        <v>0.66600000000000004</v>
      </c>
      <c r="Z3472" s="1">
        <v>2.84</v>
      </c>
      <c r="AA3472" s="1">
        <v>6.7</v>
      </c>
      <c r="AD3472" s="1">
        <v>0</v>
      </c>
      <c r="AE3472" s="1">
        <v>6.5</v>
      </c>
      <c r="AK3472" s="1">
        <v>66.06</v>
      </c>
      <c r="AL3472" s="1">
        <v>1202.79</v>
      </c>
    </row>
    <row r="3473" spans="1:38" x14ac:dyDescent="0.3">
      <c r="A3473" s="1">
        <v>59499</v>
      </c>
      <c r="B3473" s="1" t="s">
        <v>254</v>
      </c>
      <c r="C3473" s="1" t="s">
        <v>231</v>
      </c>
      <c r="D3473" s="2">
        <f t="shared" si="188"/>
        <v>2017</v>
      </c>
      <c r="E3473" s="2">
        <f t="shared" si="189"/>
        <v>8</v>
      </c>
      <c r="F3473" s="3" t="s">
        <v>179</v>
      </c>
      <c r="G3473" s="4">
        <v>42963</v>
      </c>
      <c r="H3473" s="1">
        <v>6595515</v>
      </c>
      <c r="I3473" s="1">
        <v>1624630</v>
      </c>
      <c r="J3473" s="1" t="s">
        <v>207</v>
      </c>
      <c r="K3473" s="1"/>
      <c r="L3473" s="1" t="str">
        <f t="shared" si="187"/>
        <v xml:space="preserve">Käringsjön </v>
      </c>
      <c r="M3473" s="1" t="s">
        <v>225</v>
      </c>
      <c r="N3473" s="1">
        <v>2</v>
      </c>
      <c r="O3473" s="1">
        <v>0</v>
      </c>
    </row>
    <row r="3474" spans="1:38" x14ac:dyDescent="0.3">
      <c r="A3474" s="1">
        <v>59500</v>
      </c>
      <c r="B3474" s="1" t="s">
        <v>254</v>
      </c>
      <c r="C3474" s="1" t="s">
        <v>231</v>
      </c>
      <c r="D3474" s="2">
        <f t="shared" si="188"/>
        <v>2017</v>
      </c>
      <c r="E3474" s="2">
        <f t="shared" si="189"/>
        <v>8</v>
      </c>
      <c r="F3474" s="3" t="s">
        <v>179</v>
      </c>
      <c r="G3474" s="4">
        <v>42963</v>
      </c>
      <c r="H3474" s="1">
        <v>6594430</v>
      </c>
      <c r="I3474" s="1">
        <v>1625370</v>
      </c>
      <c r="J3474" s="1" t="s">
        <v>201</v>
      </c>
      <c r="K3474" s="1"/>
      <c r="L3474" s="1" t="str">
        <f t="shared" si="187"/>
        <v xml:space="preserve">Mörtsjön </v>
      </c>
      <c r="M3474" s="1" t="s">
        <v>177</v>
      </c>
      <c r="N3474" s="1">
        <v>0.5</v>
      </c>
      <c r="O3474" s="1">
        <v>0.5</v>
      </c>
      <c r="P3474" s="1">
        <v>2.2000000000000002</v>
      </c>
      <c r="Q3474" s="1">
        <v>20.8</v>
      </c>
      <c r="R3474" s="1">
        <v>7.7</v>
      </c>
      <c r="S3474" s="1">
        <v>86</v>
      </c>
      <c r="V3474" s="1">
        <v>2.0165312253000001</v>
      </c>
      <c r="W3474" s="1">
        <v>2.4218000000000002</v>
      </c>
      <c r="X3474" s="1">
        <v>3.4726584738420239E-2</v>
      </c>
      <c r="Y3474" s="1">
        <v>0.09</v>
      </c>
      <c r="Z3474" s="1">
        <v>0</v>
      </c>
      <c r="AA3474" s="1">
        <v>2.1</v>
      </c>
      <c r="AB3474" s="1">
        <v>8.6933076922999994</v>
      </c>
      <c r="AD3474" s="1">
        <v>0</v>
      </c>
      <c r="AE3474" s="1">
        <v>7.54</v>
      </c>
      <c r="AK3474" s="1">
        <v>24.31</v>
      </c>
      <c r="AL3474" s="1">
        <v>712.98</v>
      </c>
    </row>
    <row r="3475" spans="1:38" x14ac:dyDescent="0.3">
      <c r="A3475" s="1">
        <v>59501</v>
      </c>
      <c r="B3475" s="1" t="s">
        <v>254</v>
      </c>
      <c r="C3475" s="1" t="s">
        <v>231</v>
      </c>
      <c r="D3475" s="2">
        <f t="shared" si="188"/>
        <v>2017</v>
      </c>
      <c r="E3475" s="2">
        <f t="shared" si="189"/>
        <v>8</v>
      </c>
      <c r="F3475" s="3" t="s">
        <v>179</v>
      </c>
      <c r="G3475" s="4">
        <v>42963</v>
      </c>
      <c r="H3475" s="1">
        <v>6594430</v>
      </c>
      <c r="I3475" s="1">
        <v>1625370</v>
      </c>
      <c r="J3475" s="1" t="s">
        <v>201</v>
      </c>
      <c r="K3475" s="1"/>
      <c r="L3475" s="1" t="str">
        <f t="shared" si="187"/>
        <v xml:space="preserve">Mörtsjön </v>
      </c>
      <c r="M3475" s="1" t="s">
        <v>211</v>
      </c>
      <c r="N3475" s="1">
        <v>1</v>
      </c>
      <c r="O3475" s="1">
        <v>1</v>
      </c>
      <c r="Q3475" s="1">
        <v>19.600000000000001</v>
      </c>
      <c r="R3475" s="1">
        <v>7.5</v>
      </c>
      <c r="S3475" s="1">
        <v>81</v>
      </c>
    </row>
    <row r="3476" spans="1:38" x14ac:dyDescent="0.3">
      <c r="A3476" s="1">
        <v>59502</v>
      </c>
      <c r="B3476" s="1" t="s">
        <v>254</v>
      </c>
      <c r="C3476" s="1" t="s">
        <v>231</v>
      </c>
      <c r="D3476" s="2">
        <f t="shared" si="188"/>
        <v>2017</v>
      </c>
      <c r="E3476" s="2">
        <f t="shared" si="189"/>
        <v>8</v>
      </c>
      <c r="F3476" s="3" t="s">
        <v>179</v>
      </c>
      <c r="G3476" s="4">
        <v>42963</v>
      </c>
      <c r="H3476" s="1">
        <v>6594430</v>
      </c>
      <c r="I3476" s="1">
        <v>1625370</v>
      </c>
      <c r="J3476" s="1" t="s">
        <v>201</v>
      </c>
      <c r="K3476" s="1"/>
      <c r="L3476" s="1" t="str">
        <f t="shared" si="187"/>
        <v xml:space="preserve">Mörtsjön </v>
      </c>
      <c r="M3476" s="1" t="s">
        <v>212</v>
      </c>
      <c r="N3476" s="1">
        <v>2</v>
      </c>
      <c r="O3476" s="1">
        <v>2</v>
      </c>
      <c r="Q3476" s="1">
        <v>19.2</v>
      </c>
      <c r="R3476" s="1">
        <v>7.6</v>
      </c>
      <c r="S3476" s="1">
        <v>81</v>
      </c>
    </row>
    <row r="3477" spans="1:38" x14ac:dyDescent="0.3">
      <c r="A3477" s="1">
        <v>59503</v>
      </c>
      <c r="B3477" s="1" t="s">
        <v>254</v>
      </c>
      <c r="C3477" s="1" t="s">
        <v>231</v>
      </c>
      <c r="D3477" s="2">
        <f t="shared" si="188"/>
        <v>2017</v>
      </c>
      <c r="E3477" s="2">
        <f t="shared" si="189"/>
        <v>8</v>
      </c>
      <c r="F3477" s="3" t="s">
        <v>179</v>
      </c>
      <c r="G3477" s="4">
        <v>42963</v>
      </c>
      <c r="H3477" s="1">
        <v>6594430</v>
      </c>
      <c r="I3477" s="1">
        <v>1625370</v>
      </c>
      <c r="J3477" s="1" t="s">
        <v>201</v>
      </c>
      <c r="K3477" s="1"/>
      <c r="L3477" s="1" t="str">
        <f t="shared" si="187"/>
        <v xml:space="preserve">Mörtsjön </v>
      </c>
      <c r="M3477" s="1" t="s">
        <v>213</v>
      </c>
      <c r="N3477" s="1">
        <v>3</v>
      </c>
      <c r="O3477" s="1">
        <v>3</v>
      </c>
      <c r="Q3477" s="1">
        <v>19</v>
      </c>
      <c r="R3477" s="1">
        <v>6.3</v>
      </c>
      <c r="S3477" s="1">
        <v>67</v>
      </c>
    </row>
    <row r="3478" spans="1:38" x14ac:dyDescent="0.3">
      <c r="A3478" s="1">
        <v>59504</v>
      </c>
      <c r="B3478" s="1" t="s">
        <v>254</v>
      </c>
      <c r="C3478" s="1" t="s">
        <v>231</v>
      </c>
      <c r="D3478" s="2">
        <f t="shared" si="188"/>
        <v>2017</v>
      </c>
      <c r="E3478" s="2">
        <f t="shared" si="189"/>
        <v>8</v>
      </c>
      <c r="F3478" s="3" t="s">
        <v>179</v>
      </c>
      <c r="G3478" s="4">
        <v>42963</v>
      </c>
      <c r="H3478" s="1">
        <v>6594430</v>
      </c>
      <c r="I3478" s="1">
        <v>1625370</v>
      </c>
      <c r="J3478" s="1" t="s">
        <v>201</v>
      </c>
      <c r="K3478" s="1"/>
      <c r="L3478" s="1" t="str">
        <f t="shared" si="187"/>
        <v xml:space="preserve">Mörtsjön </v>
      </c>
      <c r="M3478" s="1" t="s">
        <v>184</v>
      </c>
      <c r="N3478" s="1">
        <v>4</v>
      </c>
      <c r="O3478" s="1">
        <v>4</v>
      </c>
      <c r="Q3478" s="1">
        <v>15.5</v>
      </c>
      <c r="R3478" s="1">
        <v>0.1</v>
      </c>
      <c r="S3478" s="1">
        <v>1</v>
      </c>
      <c r="V3478" s="1">
        <v>2.0359209485999998</v>
      </c>
      <c r="W3478" s="1">
        <v>1.0044</v>
      </c>
      <c r="X3478" s="1">
        <v>6.9369882980959575E-3</v>
      </c>
      <c r="Y3478" s="1">
        <v>0.115</v>
      </c>
      <c r="Z3478" s="1">
        <v>0</v>
      </c>
      <c r="AA3478" s="1">
        <v>4.5</v>
      </c>
      <c r="AD3478" s="1">
        <v>0</v>
      </c>
      <c r="AE3478" s="1">
        <v>7.39</v>
      </c>
      <c r="AK3478" s="1">
        <v>41.94</v>
      </c>
      <c r="AL3478" s="1">
        <v>854.66</v>
      </c>
    </row>
    <row r="3479" spans="1:38" x14ac:dyDescent="0.3">
      <c r="A3479" s="1">
        <v>59505</v>
      </c>
      <c r="B3479" s="1" t="s">
        <v>254</v>
      </c>
      <c r="C3479" s="1" t="s">
        <v>231</v>
      </c>
      <c r="D3479" s="2">
        <f t="shared" si="188"/>
        <v>2017</v>
      </c>
      <c r="E3479" s="2">
        <f t="shared" si="189"/>
        <v>8</v>
      </c>
      <c r="F3479" s="3" t="s">
        <v>179</v>
      </c>
      <c r="G3479" s="4">
        <v>42963</v>
      </c>
      <c r="H3479" s="1">
        <v>6594430</v>
      </c>
      <c r="I3479" s="1">
        <v>1625370</v>
      </c>
      <c r="J3479" s="1" t="s">
        <v>201</v>
      </c>
      <c r="K3479" s="1"/>
      <c r="L3479" s="1" t="str">
        <f t="shared" si="187"/>
        <v xml:space="preserve">Mörtsjön </v>
      </c>
      <c r="M3479" s="1" t="s">
        <v>225</v>
      </c>
      <c r="N3479" s="1">
        <v>2</v>
      </c>
      <c r="O3479" s="1">
        <v>0</v>
      </c>
    </row>
    <row r="3480" spans="1:38" x14ac:dyDescent="0.3">
      <c r="A3480" s="1">
        <v>59521</v>
      </c>
      <c r="B3480" s="1" t="s">
        <v>252</v>
      </c>
      <c r="C3480" s="1" t="s">
        <v>209</v>
      </c>
      <c r="D3480" s="2">
        <f t="shared" si="188"/>
        <v>2017</v>
      </c>
      <c r="E3480" s="2">
        <f t="shared" si="189"/>
        <v>8</v>
      </c>
      <c r="F3480" s="3" t="s">
        <v>179</v>
      </c>
      <c r="G3480" s="4">
        <v>42963</v>
      </c>
      <c r="H3480" s="1">
        <v>6600935</v>
      </c>
      <c r="I3480" s="1">
        <v>1626764</v>
      </c>
      <c r="J3480" s="1" t="s">
        <v>191</v>
      </c>
      <c r="K3480" s="1" t="s">
        <v>210</v>
      </c>
      <c r="L3480" s="1" t="str">
        <f t="shared" si="187"/>
        <v>Vallentunasjön Va2</v>
      </c>
      <c r="M3480" s="1" t="s">
        <v>177</v>
      </c>
      <c r="N3480" s="1">
        <v>0.5</v>
      </c>
      <c r="O3480" s="1">
        <v>0.5</v>
      </c>
      <c r="P3480" s="1">
        <v>0.8</v>
      </c>
      <c r="Q3480" s="1">
        <v>19.5</v>
      </c>
      <c r="R3480" s="1">
        <v>9.6999999999999993</v>
      </c>
      <c r="S3480" s="1">
        <v>105</v>
      </c>
    </row>
    <row r="3481" spans="1:38" x14ac:dyDescent="0.3">
      <c r="A3481" s="1">
        <v>59522</v>
      </c>
      <c r="B3481" s="1" t="s">
        <v>252</v>
      </c>
      <c r="C3481" s="1" t="s">
        <v>209</v>
      </c>
      <c r="D3481" s="2">
        <f t="shared" si="188"/>
        <v>2017</v>
      </c>
      <c r="E3481" s="2">
        <f t="shared" si="189"/>
        <v>8</v>
      </c>
      <c r="F3481" s="3" t="s">
        <v>179</v>
      </c>
      <c r="G3481" s="4">
        <v>42963</v>
      </c>
      <c r="H3481" s="1">
        <v>6600935</v>
      </c>
      <c r="I3481" s="1">
        <v>1626764</v>
      </c>
      <c r="J3481" s="1" t="s">
        <v>191</v>
      </c>
      <c r="K3481" s="1" t="s">
        <v>210</v>
      </c>
      <c r="L3481" s="1" t="str">
        <f t="shared" si="187"/>
        <v>Vallentunasjön Va2</v>
      </c>
      <c r="M3481" s="1" t="s">
        <v>211</v>
      </c>
      <c r="N3481" s="1">
        <v>1</v>
      </c>
      <c r="O3481" s="1">
        <v>1</v>
      </c>
      <c r="Q3481" s="1">
        <v>19.5</v>
      </c>
      <c r="R3481" s="1">
        <v>9.6999999999999993</v>
      </c>
      <c r="S3481" s="1">
        <v>105</v>
      </c>
    </row>
    <row r="3482" spans="1:38" x14ac:dyDescent="0.3">
      <c r="A3482" s="1">
        <v>59523</v>
      </c>
      <c r="B3482" s="1" t="s">
        <v>252</v>
      </c>
      <c r="C3482" s="1" t="s">
        <v>209</v>
      </c>
      <c r="D3482" s="2">
        <f t="shared" si="188"/>
        <v>2017</v>
      </c>
      <c r="E3482" s="2">
        <f t="shared" si="189"/>
        <v>8</v>
      </c>
      <c r="F3482" s="3" t="s">
        <v>179</v>
      </c>
      <c r="G3482" s="4">
        <v>42963</v>
      </c>
      <c r="H3482" s="1">
        <v>6600935</v>
      </c>
      <c r="I3482" s="1">
        <v>1626764</v>
      </c>
      <c r="J3482" s="1" t="s">
        <v>191</v>
      </c>
      <c r="K3482" s="1" t="s">
        <v>210</v>
      </c>
      <c r="L3482" s="1" t="str">
        <f t="shared" si="187"/>
        <v>Vallentunasjön Va2</v>
      </c>
      <c r="M3482" s="1" t="s">
        <v>212</v>
      </c>
      <c r="N3482" s="1">
        <v>2</v>
      </c>
      <c r="O3482" s="1">
        <v>2</v>
      </c>
      <c r="Q3482" s="1">
        <v>19.399999999999999</v>
      </c>
      <c r="R3482" s="1">
        <v>9.6</v>
      </c>
      <c r="S3482" s="1">
        <v>104</v>
      </c>
    </row>
    <row r="3483" spans="1:38" x14ac:dyDescent="0.3">
      <c r="A3483" s="1">
        <v>59524</v>
      </c>
      <c r="B3483" s="1" t="s">
        <v>252</v>
      </c>
      <c r="C3483" s="1" t="s">
        <v>209</v>
      </c>
      <c r="D3483" s="2">
        <f t="shared" si="188"/>
        <v>2017</v>
      </c>
      <c r="E3483" s="2">
        <f t="shared" si="189"/>
        <v>8</v>
      </c>
      <c r="F3483" s="3" t="s">
        <v>179</v>
      </c>
      <c r="G3483" s="4">
        <v>42963</v>
      </c>
      <c r="H3483" s="1">
        <v>6600935</v>
      </c>
      <c r="I3483" s="1">
        <v>1626764</v>
      </c>
      <c r="J3483" s="1" t="s">
        <v>191</v>
      </c>
      <c r="K3483" s="1" t="s">
        <v>210</v>
      </c>
      <c r="L3483" s="1" t="str">
        <f t="shared" si="187"/>
        <v>Vallentunasjön Va2</v>
      </c>
      <c r="M3483" s="1" t="s">
        <v>213</v>
      </c>
      <c r="N3483" s="1">
        <v>3</v>
      </c>
      <c r="O3483" s="1">
        <v>3</v>
      </c>
      <c r="Q3483" s="1">
        <v>19.399999999999999</v>
      </c>
      <c r="R3483" s="1">
        <v>9.1</v>
      </c>
      <c r="S3483" s="1">
        <v>98</v>
      </c>
    </row>
    <row r="3484" spans="1:38" x14ac:dyDescent="0.3">
      <c r="A3484" s="1">
        <v>59525</v>
      </c>
      <c r="B3484" s="1" t="s">
        <v>252</v>
      </c>
      <c r="C3484" s="1" t="s">
        <v>209</v>
      </c>
      <c r="D3484" s="2">
        <f t="shared" si="188"/>
        <v>2017</v>
      </c>
      <c r="E3484" s="2">
        <f t="shared" si="189"/>
        <v>8</v>
      </c>
      <c r="F3484" s="3" t="s">
        <v>179</v>
      </c>
      <c r="G3484" s="4">
        <v>42963</v>
      </c>
      <c r="H3484" s="1">
        <v>6600935</v>
      </c>
      <c r="I3484" s="1">
        <v>1626764</v>
      </c>
      <c r="J3484" s="1" t="s">
        <v>191</v>
      </c>
      <c r="K3484" s="1" t="s">
        <v>210</v>
      </c>
      <c r="L3484" s="1" t="str">
        <f t="shared" si="187"/>
        <v>Vallentunasjön Va2</v>
      </c>
      <c r="M3484" s="1" t="s">
        <v>214</v>
      </c>
      <c r="N3484" s="1">
        <v>4</v>
      </c>
      <c r="O3484" s="1">
        <v>4</v>
      </c>
      <c r="Q3484" s="1">
        <v>19.399999999999999</v>
      </c>
      <c r="R3484" s="1">
        <v>8.8000000000000007</v>
      </c>
      <c r="S3484" s="1">
        <v>96</v>
      </c>
    </row>
    <row r="3485" spans="1:38" x14ac:dyDescent="0.3">
      <c r="A3485" s="1">
        <v>59526</v>
      </c>
      <c r="B3485" s="1" t="s">
        <v>252</v>
      </c>
      <c r="C3485" s="1" t="s">
        <v>209</v>
      </c>
      <c r="D3485" s="2">
        <f t="shared" si="188"/>
        <v>2017</v>
      </c>
      <c r="E3485" s="2">
        <f t="shared" si="189"/>
        <v>8</v>
      </c>
      <c r="F3485" s="3" t="s">
        <v>179</v>
      </c>
      <c r="G3485" s="4">
        <v>42963</v>
      </c>
      <c r="H3485" s="1">
        <v>6600935</v>
      </c>
      <c r="I3485" s="1">
        <v>1626764</v>
      </c>
      <c r="J3485" s="1" t="s">
        <v>191</v>
      </c>
      <c r="K3485" s="1" t="s">
        <v>210</v>
      </c>
      <c r="L3485" s="1" t="str">
        <f t="shared" si="187"/>
        <v>Vallentunasjön Va2</v>
      </c>
      <c r="M3485" s="1" t="s">
        <v>184</v>
      </c>
    </row>
    <row r="3486" spans="1:38" x14ac:dyDescent="0.3">
      <c r="A3486" s="1">
        <v>59527</v>
      </c>
      <c r="B3486" s="1" t="s">
        <v>252</v>
      </c>
      <c r="C3486" s="1" t="s">
        <v>209</v>
      </c>
      <c r="D3486" s="2">
        <f t="shared" si="188"/>
        <v>2017</v>
      </c>
      <c r="E3486" s="2">
        <f t="shared" si="189"/>
        <v>8</v>
      </c>
      <c r="F3486" s="3" t="s">
        <v>179</v>
      </c>
      <c r="G3486" s="4">
        <v>42963</v>
      </c>
      <c r="J3486" s="1" t="s">
        <v>191</v>
      </c>
      <c r="K3486" s="1" t="s">
        <v>206</v>
      </c>
      <c r="L3486" s="1" t="str">
        <f t="shared" si="187"/>
        <v>Vallentunasjön Blandprov</v>
      </c>
      <c r="M3486" s="1" t="s">
        <v>177</v>
      </c>
      <c r="N3486" s="1">
        <v>4</v>
      </c>
      <c r="O3486" s="1">
        <v>0</v>
      </c>
      <c r="Q3486" s="1">
        <v>19.399999999999999</v>
      </c>
      <c r="W3486" s="1">
        <v>7.6097000000000001</v>
      </c>
      <c r="X3486" s="1">
        <v>0.51222092261337537</v>
      </c>
      <c r="Y3486" s="1">
        <v>3.4000000000000002E-2</v>
      </c>
      <c r="Z3486" s="1">
        <v>0</v>
      </c>
      <c r="AB3486" s="1">
        <v>34.970399999999998</v>
      </c>
      <c r="AD3486" s="1">
        <v>0</v>
      </c>
      <c r="AE3486" s="1">
        <v>8.2799999999999994</v>
      </c>
      <c r="AG3486" s="1">
        <v>31</v>
      </c>
      <c r="AK3486" s="1">
        <v>87.96</v>
      </c>
      <c r="AL3486" s="1">
        <v>1562.04</v>
      </c>
    </row>
    <row r="3487" spans="1:38" x14ac:dyDescent="0.3">
      <c r="A3487" s="1">
        <v>59121</v>
      </c>
      <c r="B3487" s="1" t="s">
        <v>254</v>
      </c>
      <c r="C3487" s="1" t="s">
        <v>231</v>
      </c>
      <c r="D3487" s="2">
        <f t="shared" si="188"/>
        <v>2017</v>
      </c>
      <c r="E3487" s="2">
        <f t="shared" si="189"/>
        <v>8</v>
      </c>
      <c r="F3487" s="3" t="s">
        <v>179</v>
      </c>
      <c r="G3487" s="4">
        <v>42962</v>
      </c>
      <c r="H3487" s="1">
        <v>6595400</v>
      </c>
      <c r="I3487" s="1">
        <v>1624045</v>
      </c>
      <c r="J3487" s="1" t="s">
        <v>183</v>
      </c>
      <c r="K3487" s="1"/>
      <c r="L3487" s="1" t="str">
        <f t="shared" si="187"/>
        <v xml:space="preserve">Fjäturen </v>
      </c>
      <c r="M3487" s="1" t="s">
        <v>177</v>
      </c>
      <c r="N3487" s="1">
        <v>0.5</v>
      </c>
      <c r="O3487" s="1">
        <v>0.5</v>
      </c>
      <c r="P3487" s="1">
        <v>2.1</v>
      </c>
      <c r="Q3487" s="1">
        <v>19.7</v>
      </c>
      <c r="R3487" s="1">
        <v>8.1</v>
      </c>
      <c r="S3487" s="1">
        <v>87</v>
      </c>
      <c r="V3487" s="1">
        <v>2.1192191999999999</v>
      </c>
      <c r="W3487" s="1">
        <v>2.4836999999999998</v>
      </c>
      <c r="X3487" s="1">
        <v>9.2579319315984149E-2</v>
      </c>
      <c r="Y3487" s="1">
        <v>3.7999999999999999E-2</v>
      </c>
      <c r="Z3487" s="1">
        <v>0</v>
      </c>
      <c r="AA3487" s="1">
        <v>2.8</v>
      </c>
      <c r="AB3487" s="1">
        <v>8.4497999999999998</v>
      </c>
      <c r="AD3487" s="1">
        <v>0</v>
      </c>
      <c r="AE3487" s="1">
        <v>8</v>
      </c>
      <c r="AK3487" s="1">
        <v>21.13</v>
      </c>
      <c r="AL3487" s="1">
        <v>622.29999999999995</v>
      </c>
    </row>
    <row r="3488" spans="1:38" x14ac:dyDescent="0.3">
      <c r="A3488" s="1">
        <v>59122</v>
      </c>
      <c r="B3488" s="1" t="s">
        <v>254</v>
      </c>
      <c r="C3488" s="1" t="s">
        <v>231</v>
      </c>
      <c r="D3488" s="2">
        <f t="shared" si="188"/>
        <v>2017</v>
      </c>
      <c r="E3488" s="2">
        <f t="shared" si="189"/>
        <v>8</v>
      </c>
      <c r="F3488" s="3" t="s">
        <v>179</v>
      </c>
      <c r="G3488" s="4">
        <v>42962</v>
      </c>
      <c r="H3488" s="1">
        <v>6595400</v>
      </c>
      <c r="I3488" s="1">
        <v>1624045</v>
      </c>
      <c r="J3488" s="1" t="s">
        <v>183</v>
      </c>
      <c r="K3488" s="1"/>
      <c r="L3488" s="1" t="str">
        <f t="shared" si="187"/>
        <v xml:space="preserve">Fjäturen </v>
      </c>
      <c r="M3488" s="1" t="s">
        <v>211</v>
      </c>
      <c r="N3488" s="1">
        <v>1</v>
      </c>
      <c r="O3488" s="1">
        <v>1</v>
      </c>
      <c r="Q3488" s="1">
        <v>19.7</v>
      </c>
      <c r="R3488" s="1">
        <v>8.4</v>
      </c>
      <c r="S3488" s="1">
        <v>90</v>
      </c>
    </row>
    <row r="3489" spans="1:38" x14ac:dyDescent="0.3">
      <c r="A3489" s="1">
        <v>59123</v>
      </c>
      <c r="B3489" s="1" t="s">
        <v>254</v>
      </c>
      <c r="C3489" s="1" t="s">
        <v>231</v>
      </c>
      <c r="D3489" s="2">
        <f t="shared" si="188"/>
        <v>2017</v>
      </c>
      <c r="E3489" s="2">
        <f t="shared" si="189"/>
        <v>8</v>
      </c>
      <c r="F3489" s="3" t="s">
        <v>179</v>
      </c>
      <c r="G3489" s="4">
        <v>42962</v>
      </c>
      <c r="H3489" s="1">
        <v>6595400</v>
      </c>
      <c r="I3489" s="1">
        <v>1624045</v>
      </c>
      <c r="J3489" s="1" t="s">
        <v>183</v>
      </c>
      <c r="K3489" s="1"/>
      <c r="L3489" s="1" t="str">
        <f t="shared" si="187"/>
        <v xml:space="preserve">Fjäturen </v>
      </c>
      <c r="M3489" s="1" t="s">
        <v>212</v>
      </c>
      <c r="N3489" s="1">
        <v>2</v>
      </c>
      <c r="O3489" s="1">
        <v>2</v>
      </c>
      <c r="Q3489" s="1">
        <v>19.600000000000001</v>
      </c>
      <c r="R3489" s="1">
        <v>8.5</v>
      </c>
      <c r="S3489" s="1">
        <v>92</v>
      </c>
    </row>
    <row r="3490" spans="1:38" x14ac:dyDescent="0.3">
      <c r="A3490" s="1">
        <v>59124</v>
      </c>
      <c r="B3490" s="1" t="s">
        <v>254</v>
      </c>
      <c r="C3490" s="1" t="s">
        <v>231</v>
      </c>
      <c r="D3490" s="2">
        <f t="shared" si="188"/>
        <v>2017</v>
      </c>
      <c r="E3490" s="2">
        <f t="shared" si="189"/>
        <v>8</v>
      </c>
      <c r="F3490" s="3" t="s">
        <v>179</v>
      </c>
      <c r="G3490" s="4">
        <v>42962</v>
      </c>
      <c r="H3490" s="1">
        <v>6595400</v>
      </c>
      <c r="I3490" s="1">
        <v>1624045</v>
      </c>
      <c r="J3490" s="1" t="s">
        <v>183</v>
      </c>
      <c r="K3490" s="1"/>
      <c r="L3490" s="1" t="str">
        <f t="shared" si="187"/>
        <v xml:space="preserve">Fjäturen </v>
      </c>
      <c r="M3490" s="1" t="s">
        <v>213</v>
      </c>
      <c r="N3490" s="1">
        <v>3</v>
      </c>
      <c r="O3490" s="1">
        <v>3</v>
      </c>
      <c r="Q3490" s="1">
        <v>19.600000000000001</v>
      </c>
      <c r="R3490" s="1">
        <v>8.5</v>
      </c>
      <c r="S3490" s="1">
        <v>91</v>
      </c>
    </row>
    <row r="3491" spans="1:38" x14ac:dyDescent="0.3">
      <c r="A3491" s="1">
        <v>59125</v>
      </c>
      <c r="B3491" s="1" t="s">
        <v>254</v>
      </c>
      <c r="C3491" s="1" t="s">
        <v>231</v>
      </c>
      <c r="D3491" s="2">
        <f t="shared" si="188"/>
        <v>2017</v>
      </c>
      <c r="E3491" s="2">
        <f t="shared" si="189"/>
        <v>8</v>
      </c>
      <c r="F3491" s="3" t="s">
        <v>179</v>
      </c>
      <c r="G3491" s="4">
        <v>42962</v>
      </c>
      <c r="H3491" s="1">
        <v>6595400</v>
      </c>
      <c r="I3491" s="1">
        <v>1624045</v>
      </c>
      <c r="J3491" s="1" t="s">
        <v>183</v>
      </c>
      <c r="K3491" s="1"/>
      <c r="L3491" s="1" t="str">
        <f t="shared" si="187"/>
        <v xml:space="preserve">Fjäturen </v>
      </c>
      <c r="M3491" s="1" t="s">
        <v>214</v>
      </c>
      <c r="N3491" s="1">
        <v>4</v>
      </c>
      <c r="O3491" s="1">
        <v>4</v>
      </c>
      <c r="Q3491" s="1">
        <v>19.399999999999999</v>
      </c>
      <c r="R3491" s="1">
        <v>7.7</v>
      </c>
      <c r="S3491" s="1">
        <v>82</v>
      </c>
    </row>
    <row r="3492" spans="1:38" x14ac:dyDescent="0.3">
      <c r="A3492" s="1">
        <v>59126</v>
      </c>
      <c r="B3492" s="1" t="s">
        <v>254</v>
      </c>
      <c r="C3492" s="1" t="s">
        <v>231</v>
      </c>
      <c r="D3492" s="2">
        <f t="shared" si="188"/>
        <v>2017</v>
      </c>
      <c r="E3492" s="2">
        <f t="shared" si="189"/>
        <v>8</v>
      </c>
      <c r="F3492" s="3" t="s">
        <v>179</v>
      </c>
      <c r="G3492" s="4">
        <v>42962</v>
      </c>
      <c r="H3492" s="1">
        <v>6595400</v>
      </c>
      <c r="I3492" s="1">
        <v>1624045</v>
      </c>
      <c r="J3492" s="1" t="s">
        <v>183</v>
      </c>
      <c r="K3492" s="1"/>
      <c r="L3492" s="1" t="str">
        <f t="shared" si="187"/>
        <v xml:space="preserve">Fjäturen </v>
      </c>
      <c r="M3492" s="1" t="s">
        <v>217</v>
      </c>
      <c r="N3492" s="1">
        <v>5</v>
      </c>
      <c r="O3492" s="1">
        <v>5</v>
      </c>
      <c r="Q3492" s="1">
        <v>19</v>
      </c>
      <c r="R3492" s="1">
        <v>6</v>
      </c>
      <c r="S3492" s="1">
        <v>63</v>
      </c>
    </row>
    <row r="3493" spans="1:38" x14ac:dyDescent="0.3">
      <c r="A3493" s="1">
        <v>59127</v>
      </c>
      <c r="B3493" s="1" t="s">
        <v>254</v>
      </c>
      <c r="C3493" s="1" t="s">
        <v>231</v>
      </c>
      <c r="D3493" s="2">
        <f t="shared" si="188"/>
        <v>2017</v>
      </c>
      <c r="E3493" s="2">
        <f t="shared" si="189"/>
        <v>8</v>
      </c>
      <c r="F3493" s="3" t="s">
        <v>179</v>
      </c>
      <c r="G3493" s="4">
        <v>42962</v>
      </c>
      <c r="H3493" s="1">
        <v>6595400</v>
      </c>
      <c r="I3493" s="1">
        <v>1624045</v>
      </c>
      <c r="J3493" s="1" t="s">
        <v>183</v>
      </c>
      <c r="K3493" s="1"/>
      <c r="L3493" s="1" t="str">
        <f t="shared" si="187"/>
        <v xml:space="preserve">Fjäturen </v>
      </c>
      <c r="M3493" s="1" t="s">
        <v>218</v>
      </c>
      <c r="N3493" s="1">
        <v>6</v>
      </c>
      <c r="O3493" s="1">
        <v>6</v>
      </c>
      <c r="Q3493" s="1">
        <v>15.8</v>
      </c>
      <c r="R3493" s="1">
        <v>0.1</v>
      </c>
      <c r="S3493" s="1">
        <v>1</v>
      </c>
    </row>
    <row r="3494" spans="1:38" x14ac:dyDescent="0.3">
      <c r="A3494" s="1">
        <v>59128</v>
      </c>
      <c r="B3494" s="1" t="s">
        <v>254</v>
      </c>
      <c r="C3494" s="1" t="s">
        <v>231</v>
      </c>
      <c r="D3494" s="2">
        <f t="shared" si="188"/>
        <v>2017</v>
      </c>
      <c r="E3494" s="2">
        <f t="shared" si="189"/>
        <v>8</v>
      </c>
      <c r="F3494" s="3" t="s">
        <v>179</v>
      </c>
      <c r="G3494" s="4">
        <v>42962</v>
      </c>
      <c r="H3494" s="1">
        <v>6595400</v>
      </c>
      <c r="I3494" s="1">
        <v>1624045</v>
      </c>
      <c r="J3494" s="1" t="s">
        <v>183</v>
      </c>
      <c r="K3494" s="1"/>
      <c r="L3494" s="1" t="str">
        <f t="shared" si="187"/>
        <v xml:space="preserve">Fjäturen </v>
      </c>
      <c r="M3494" s="1" t="s">
        <v>219</v>
      </c>
      <c r="N3494" s="1">
        <v>7</v>
      </c>
      <c r="O3494" s="1">
        <v>7</v>
      </c>
      <c r="Q3494" s="1">
        <v>13.6</v>
      </c>
      <c r="R3494" s="1">
        <v>0.1</v>
      </c>
      <c r="S3494" s="1">
        <v>1</v>
      </c>
    </row>
    <row r="3495" spans="1:38" x14ac:dyDescent="0.3">
      <c r="A3495" s="1">
        <v>59129</v>
      </c>
      <c r="B3495" s="1" t="s">
        <v>254</v>
      </c>
      <c r="C3495" s="1" t="s">
        <v>231</v>
      </c>
      <c r="D3495" s="2">
        <f t="shared" si="188"/>
        <v>2017</v>
      </c>
      <c r="E3495" s="2">
        <f t="shared" si="189"/>
        <v>8</v>
      </c>
      <c r="F3495" s="3" t="s">
        <v>179</v>
      </c>
      <c r="G3495" s="4">
        <v>42962</v>
      </c>
      <c r="H3495" s="1">
        <v>6595400</v>
      </c>
      <c r="I3495" s="1">
        <v>1624045</v>
      </c>
      <c r="J3495" s="1" t="s">
        <v>183</v>
      </c>
      <c r="K3495" s="1"/>
      <c r="L3495" s="1" t="str">
        <f t="shared" si="187"/>
        <v xml:space="preserve">Fjäturen </v>
      </c>
      <c r="M3495" s="1" t="s">
        <v>220</v>
      </c>
      <c r="N3495" s="1">
        <v>8</v>
      </c>
      <c r="O3495" s="1">
        <v>8</v>
      </c>
      <c r="Q3495" s="1">
        <v>12.5</v>
      </c>
      <c r="R3495" s="1">
        <v>0.1</v>
      </c>
      <c r="S3495" s="1">
        <v>1</v>
      </c>
    </row>
    <row r="3496" spans="1:38" x14ac:dyDescent="0.3">
      <c r="A3496" s="1">
        <v>59130</v>
      </c>
      <c r="B3496" s="1" t="s">
        <v>254</v>
      </c>
      <c r="C3496" s="1" t="s">
        <v>231</v>
      </c>
      <c r="D3496" s="2">
        <f t="shared" si="188"/>
        <v>2017</v>
      </c>
      <c r="E3496" s="2">
        <f t="shared" si="189"/>
        <v>8</v>
      </c>
      <c r="F3496" s="3" t="s">
        <v>179</v>
      </c>
      <c r="G3496" s="4">
        <v>42962</v>
      </c>
      <c r="H3496" s="1">
        <v>6595400</v>
      </c>
      <c r="I3496" s="1">
        <v>1624045</v>
      </c>
      <c r="J3496" s="1" t="s">
        <v>183</v>
      </c>
      <c r="K3496" s="1"/>
      <c r="L3496" s="1" t="str">
        <f t="shared" si="187"/>
        <v xml:space="preserve">Fjäturen </v>
      </c>
      <c r="M3496" s="1" t="s">
        <v>184</v>
      </c>
      <c r="N3496" s="1">
        <v>9</v>
      </c>
      <c r="O3496" s="1">
        <v>9</v>
      </c>
      <c r="Q3496" s="1">
        <v>12.5</v>
      </c>
      <c r="R3496" s="1">
        <v>0.1</v>
      </c>
      <c r="S3496" s="1">
        <v>1</v>
      </c>
      <c r="V3496" s="1">
        <v>2.8060032000000001</v>
      </c>
      <c r="W3496" s="1">
        <v>1596.2203</v>
      </c>
      <c r="X3496" s="1">
        <v>14.858631483372845</v>
      </c>
      <c r="Y3496" s="1">
        <v>6.8000000000000005E-2</v>
      </c>
      <c r="Z3496" s="1">
        <v>429.2</v>
      </c>
      <c r="AA3496" s="1">
        <v>7.8</v>
      </c>
      <c r="AD3496" s="1">
        <v>0.59</v>
      </c>
      <c r="AE3496" s="1">
        <v>7.62</v>
      </c>
      <c r="AK3496" s="1">
        <v>442.85</v>
      </c>
      <c r="AL3496" s="1">
        <v>1683.84</v>
      </c>
    </row>
    <row r="3497" spans="1:38" x14ac:dyDescent="0.3">
      <c r="A3497" s="1">
        <v>59131</v>
      </c>
      <c r="B3497" s="1" t="s">
        <v>254</v>
      </c>
      <c r="C3497" s="1" t="s">
        <v>231</v>
      </c>
      <c r="D3497" s="2">
        <f t="shared" si="188"/>
        <v>2017</v>
      </c>
      <c r="E3497" s="2">
        <f t="shared" si="189"/>
        <v>8</v>
      </c>
      <c r="F3497" s="3" t="s">
        <v>179</v>
      </c>
      <c r="G3497" s="4">
        <v>42962</v>
      </c>
      <c r="H3497" s="1">
        <v>6595400</v>
      </c>
      <c r="I3497" s="1">
        <v>1624045</v>
      </c>
      <c r="J3497" s="1" t="s">
        <v>183</v>
      </c>
      <c r="K3497" s="1"/>
      <c r="L3497" s="1" t="str">
        <f t="shared" si="187"/>
        <v xml:space="preserve">Fjäturen </v>
      </c>
      <c r="M3497" s="1" t="s">
        <v>228</v>
      </c>
      <c r="N3497" s="1">
        <v>4</v>
      </c>
      <c r="O3497" s="1">
        <v>0</v>
      </c>
    </row>
    <row r="3498" spans="1:38" x14ac:dyDescent="0.3">
      <c r="A3498" s="1">
        <v>59132</v>
      </c>
      <c r="B3498" s="1" t="s">
        <v>254</v>
      </c>
      <c r="C3498" s="1" t="s">
        <v>231</v>
      </c>
      <c r="D3498" s="2">
        <f t="shared" si="188"/>
        <v>2017</v>
      </c>
      <c r="E3498" s="2">
        <f t="shared" si="189"/>
        <v>8</v>
      </c>
      <c r="F3498" s="3" t="s">
        <v>179</v>
      </c>
      <c r="G3498" s="4">
        <v>42962</v>
      </c>
      <c r="H3498" s="1">
        <v>6593820</v>
      </c>
      <c r="I3498" s="1">
        <v>1619360</v>
      </c>
      <c r="J3498" s="1" t="s">
        <v>188</v>
      </c>
      <c r="K3498" s="1"/>
      <c r="L3498" s="1" t="str">
        <f t="shared" si="187"/>
        <v xml:space="preserve">Ravalen </v>
      </c>
      <c r="M3498" s="1" t="s">
        <v>177</v>
      </c>
      <c r="N3498" s="1">
        <v>0.5</v>
      </c>
      <c r="O3498" s="1">
        <v>0.5</v>
      </c>
      <c r="P3498" s="1">
        <v>1.5</v>
      </c>
      <c r="Q3498" s="1">
        <v>20</v>
      </c>
      <c r="R3498" s="1">
        <v>10.6</v>
      </c>
      <c r="S3498" s="1">
        <v>117</v>
      </c>
      <c r="V3498" s="1">
        <v>1.2165888</v>
      </c>
      <c r="W3498" s="1">
        <v>3.7111000000000001</v>
      </c>
      <c r="X3498" s="1">
        <v>1.291696574988535</v>
      </c>
      <c r="Y3498" s="1">
        <v>0.05</v>
      </c>
      <c r="Z3498" s="1">
        <v>1.34</v>
      </c>
      <c r="AA3498" s="1">
        <v>0.78</v>
      </c>
      <c r="AB3498" s="1">
        <v>2.0476800000000002</v>
      </c>
      <c r="AD3498" s="1">
        <v>0</v>
      </c>
      <c r="AE3498" s="1">
        <v>9.1300000000000008</v>
      </c>
      <c r="AK3498" s="1">
        <v>19.57</v>
      </c>
      <c r="AL3498" s="1">
        <v>851.37</v>
      </c>
    </row>
    <row r="3499" spans="1:38" x14ac:dyDescent="0.3">
      <c r="A3499" s="1">
        <v>59133</v>
      </c>
      <c r="B3499" s="1" t="s">
        <v>254</v>
      </c>
      <c r="C3499" s="1" t="s">
        <v>231</v>
      </c>
      <c r="D3499" s="2">
        <f t="shared" si="188"/>
        <v>2017</v>
      </c>
      <c r="E3499" s="2">
        <f t="shared" si="189"/>
        <v>8</v>
      </c>
      <c r="F3499" s="3" t="s">
        <v>179</v>
      </c>
      <c r="G3499" s="4">
        <v>42962</v>
      </c>
      <c r="H3499" s="1">
        <v>6593820</v>
      </c>
      <c r="I3499" s="1">
        <v>1619360</v>
      </c>
      <c r="J3499" s="1" t="s">
        <v>188</v>
      </c>
      <c r="K3499" s="1"/>
      <c r="L3499" s="1" t="str">
        <f t="shared" si="187"/>
        <v xml:space="preserve">Ravalen </v>
      </c>
      <c r="M3499" s="1" t="s">
        <v>211</v>
      </c>
      <c r="N3499" s="1">
        <v>1</v>
      </c>
      <c r="O3499" s="1">
        <v>1</v>
      </c>
      <c r="Q3499" s="1">
        <v>19.899999999999999</v>
      </c>
      <c r="R3499" s="1">
        <v>11.6</v>
      </c>
      <c r="S3499" s="1">
        <v>126</v>
      </c>
    </row>
    <row r="3500" spans="1:38" x14ac:dyDescent="0.3">
      <c r="A3500" s="1">
        <v>59134</v>
      </c>
      <c r="B3500" s="1" t="s">
        <v>254</v>
      </c>
      <c r="C3500" s="1" t="s">
        <v>231</v>
      </c>
      <c r="D3500" s="2">
        <f t="shared" si="188"/>
        <v>2017</v>
      </c>
      <c r="E3500" s="2">
        <f t="shared" si="189"/>
        <v>8</v>
      </c>
      <c r="F3500" s="3" t="s">
        <v>179</v>
      </c>
      <c r="G3500" s="4">
        <v>42962</v>
      </c>
      <c r="H3500" s="1">
        <v>6593820</v>
      </c>
      <c r="I3500" s="1">
        <v>1619360</v>
      </c>
      <c r="J3500" s="1" t="s">
        <v>188</v>
      </c>
      <c r="K3500" s="1"/>
      <c r="L3500" s="1" t="str">
        <f t="shared" si="187"/>
        <v xml:space="preserve">Ravalen </v>
      </c>
      <c r="M3500" s="1" t="s">
        <v>184</v>
      </c>
      <c r="N3500" s="1">
        <v>2</v>
      </c>
      <c r="O3500" s="1">
        <v>2</v>
      </c>
      <c r="Q3500" s="1">
        <v>19.899999999999999</v>
      </c>
      <c r="R3500" s="1">
        <v>11.7</v>
      </c>
      <c r="S3500" s="1">
        <v>127</v>
      </c>
      <c r="V3500" s="1">
        <v>1.2165888</v>
      </c>
      <c r="W3500" s="1">
        <v>5.9028999999999998</v>
      </c>
      <c r="X3500" s="1">
        <v>2.1067650974921399</v>
      </c>
      <c r="Y3500" s="1">
        <v>5.0999999999999997E-2</v>
      </c>
      <c r="Z3500" s="1">
        <v>1.87</v>
      </c>
      <c r="AA3500" s="1">
        <v>0.81</v>
      </c>
      <c r="AD3500" s="1">
        <v>0</v>
      </c>
      <c r="AE3500" s="1">
        <v>9.15</v>
      </c>
      <c r="AK3500" s="1">
        <v>19.84</v>
      </c>
      <c r="AL3500" s="1">
        <v>873.36</v>
      </c>
    </row>
    <row r="3501" spans="1:38" x14ac:dyDescent="0.3">
      <c r="A3501" s="1">
        <v>59135</v>
      </c>
      <c r="B3501" s="1" t="s">
        <v>254</v>
      </c>
      <c r="C3501" s="1" t="s">
        <v>231</v>
      </c>
      <c r="D3501" s="2">
        <f t="shared" si="188"/>
        <v>2017</v>
      </c>
      <c r="E3501" s="2">
        <f t="shared" si="189"/>
        <v>8</v>
      </c>
      <c r="F3501" s="3" t="s">
        <v>179</v>
      </c>
      <c r="G3501" s="4">
        <v>42962</v>
      </c>
      <c r="H3501" s="1">
        <v>6593820</v>
      </c>
      <c r="I3501" s="1">
        <v>1619360</v>
      </c>
      <c r="J3501" s="1" t="s">
        <v>188</v>
      </c>
      <c r="K3501" s="1"/>
      <c r="L3501" s="1" t="str">
        <f t="shared" si="187"/>
        <v xml:space="preserve">Ravalen </v>
      </c>
      <c r="M3501" s="1" t="s">
        <v>242</v>
      </c>
      <c r="N3501" s="1">
        <v>1</v>
      </c>
      <c r="O3501" s="1">
        <v>0</v>
      </c>
    </row>
    <row r="3502" spans="1:38" x14ac:dyDescent="0.3">
      <c r="A3502" s="1">
        <v>59136</v>
      </c>
      <c r="B3502" s="1" t="s">
        <v>254</v>
      </c>
      <c r="C3502" s="1" t="s">
        <v>231</v>
      </c>
      <c r="D3502" s="2">
        <f t="shared" si="188"/>
        <v>2017</v>
      </c>
      <c r="E3502" s="2">
        <f t="shared" si="189"/>
        <v>8</v>
      </c>
      <c r="F3502" s="3" t="s">
        <v>179</v>
      </c>
      <c r="G3502" s="4">
        <v>42962</v>
      </c>
      <c r="H3502" s="1">
        <v>6594420</v>
      </c>
      <c r="I3502" s="1">
        <v>1615795</v>
      </c>
      <c r="J3502" s="1" t="s">
        <v>193</v>
      </c>
      <c r="K3502" s="1"/>
      <c r="L3502" s="1" t="str">
        <f t="shared" si="187"/>
        <v xml:space="preserve">Översjön </v>
      </c>
      <c r="M3502" s="1" t="s">
        <v>177</v>
      </c>
      <c r="N3502" s="1">
        <v>0.5</v>
      </c>
      <c r="O3502" s="1">
        <v>0.5</v>
      </c>
      <c r="P3502" s="1">
        <v>1.4</v>
      </c>
      <c r="Q3502" s="1">
        <v>20.6</v>
      </c>
      <c r="R3502" s="1">
        <v>10</v>
      </c>
      <c r="S3502" s="1">
        <v>110</v>
      </c>
      <c r="V3502" s="1">
        <v>1.96224</v>
      </c>
      <c r="W3502" s="1">
        <v>3.9864000000000002</v>
      </c>
      <c r="X3502" s="1">
        <v>0.382989572774383</v>
      </c>
      <c r="Y3502" s="1">
        <v>5.0999999999999997E-2</v>
      </c>
      <c r="Z3502" s="1">
        <v>2.12</v>
      </c>
      <c r="AA3502" s="1">
        <v>6.5</v>
      </c>
      <c r="AB3502" s="1">
        <v>27.597046154000001</v>
      </c>
      <c r="AD3502" s="1">
        <v>0.01</v>
      </c>
      <c r="AE3502" s="1">
        <v>8.41</v>
      </c>
      <c r="AK3502" s="1">
        <v>51.4</v>
      </c>
      <c r="AL3502" s="1">
        <v>1235.3599999999999</v>
      </c>
    </row>
    <row r="3503" spans="1:38" x14ac:dyDescent="0.3">
      <c r="A3503" s="1">
        <v>59137</v>
      </c>
      <c r="B3503" s="1" t="s">
        <v>254</v>
      </c>
      <c r="C3503" s="1" t="s">
        <v>231</v>
      </c>
      <c r="D3503" s="2">
        <f t="shared" si="188"/>
        <v>2017</v>
      </c>
      <c r="E3503" s="2">
        <f t="shared" si="189"/>
        <v>8</v>
      </c>
      <c r="F3503" s="3" t="s">
        <v>179</v>
      </c>
      <c r="G3503" s="4">
        <v>42962</v>
      </c>
      <c r="H3503" s="1">
        <v>6594420</v>
      </c>
      <c r="I3503" s="1">
        <v>1615795</v>
      </c>
      <c r="J3503" s="1" t="s">
        <v>193</v>
      </c>
      <c r="K3503" s="1"/>
      <c r="L3503" s="1" t="str">
        <f t="shared" si="187"/>
        <v xml:space="preserve">Översjön </v>
      </c>
      <c r="M3503" s="1" t="s">
        <v>211</v>
      </c>
      <c r="N3503" s="1">
        <v>1</v>
      </c>
      <c r="O3503" s="1">
        <v>1</v>
      </c>
      <c r="Q3503" s="1">
        <v>20.399999999999999</v>
      </c>
      <c r="R3503" s="1">
        <v>10.1</v>
      </c>
      <c r="S3503" s="1">
        <v>111</v>
      </c>
    </row>
    <row r="3504" spans="1:38" x14ac:dyDescent="0.3">
      <c r="A3504" s="1">
        <v>59138</v>
      </c>
      <c r="B3504" s="1" t="s">
        <v>254</v>
      </c>
      <c r="C3504" s="1" t="s">
        <v>231</v>
      </c>
      <c r="D3504" s="2">
        <f t="shared" si="188"/>
        <v>2017</v>
      </c>
      <c r="E3504" s="2">
        <f t="shared" si="189"/>
        <v>8</v>
      </c>
      <c r="F3504" s="3" t="s">
        <v>179</v>
      </c>
      <c r="G3504" s="4">
        <v>42962</v>
      </c>
      <c r="H3504" s="1">
        <v>6594420</v>
      </c>
      <c r="I3504" s="1">
        <v>1615795</v>
      </c>
      <c r="J3504" s="1" t="s">
        <v>193</v>
      </c>
      <c r="K3504" s="1"/>
      <c r="L3504" s="1" t="str">
        <f t="shared" si="187"/>
        <v xml:space="preserve">Översjön </v>
      </c>
      <c r="M3504" s="1" t="s">
        <v>212</v>
      </c>
      <c r="N3504" s="1">
        <v>2</v>
      </c>
      <c r="O3504" s="1">
        <v>2</v>
      </c>
      <c r="Q3504" s="1">
        <v>19.399999999999999</v>
      </c>
      <c r="R3504" s="1">
        <v>8.1</v>
      </c>
      <c r="S3504" s="1">
        <v>88</v>
      </c>
    </row>
    <row r="3505" spans="1:91" x14ac:dyDescent="0.3">
      <c r="A3505" s="1">
        <v>59139</v>
      </c>
      <c r="B3505" s="1" t="s">
        <v>254</v>
      </c>
      <c r="C3505" s="1" t="s">
        <v>231</v>
      </c>
      <c r="D3505" s="2">
        <f t="shared" si="188"/>
        <v>2017</v>
      </c>
      <c r="E3505" s="2">
        <f t="shared" si="189"/>
        <v>8</v>
      </c>
      <c r="F3505" s="3" t="s">
        <v>179</v>
      </c>
      <c r="G3505" s="4">
        <v>42962</v>
      </c>
      <c r="H3505" s="1">
        <v>6594420</v>
      </c>
      <c r="I3505" s="1">
        <v>1615795</v>
      </c>
      <c r="J3505" s="1" t="s">
        <v>193</v>
      </c>
      <c r="K3505" s="1"/>
      <c r="L3505" s="1" t="str">
        <f t="shared" si="187"/>
        <v xml:space="preserve">Översjön </v>
      </c>
      <c r="M3505" s="1" t="s">
        <v>213</v>
      </c>
      <c r="N3505" s="1">
        <v>3</v>
      </c>
      <c r="O3505" s="1">
        <v>3</v>
      </c>
      <c r="Q3505" s="1">
        <v>19.2</v>
      </c>
      <c r="R3505" s="1">
        <v>7.9</v>
      </c>
      <c r="S3505" s="1">
        <v>85</v>
      </c>
    </row>
    <row r="3506" spans="1:91" x14ac:dyDescent="0.3">
      <c r="A3506" s="1">
        <v>59140</v>
      </c>
      <c r="B3506" s="1" t="s">
        <v>254</v>
      </c>
      <c r="C3506" s="1" t="s">
        <v>231</v>
      </c>
      <c r="D3506" s="2">
        <f t="shared" si="188"/>
        <v>2017</v>
      </c>
      <c r="E3506" s="2">
        <f t="shared" si="189"/>
        <v>8</v>
      </c>
      <c r="F3506" s="3" t="s">
        <v>179</v>
      </c>
      <c r="G3506" s="4">
        <v>42962</v>
      </c>
      <c r="H3506" s="1">
        <v>6594420</v>
      </c>
      <c r="I3506" s="1">
        <v>1615795</v>
      </c>
      <c r="J3506" s="1" t="s">
        <v>193</v>
      </c>
      <c r="K3506" s="1"/>
      <c r="L3506" s="1" t="str">
        <f t="shared" si="187"/>
        <v xml:space="preserve">Översjön </v>
      </c>
      <c r="M3506" s="1" t="s">
        <v>184</v>
      </c>
      <c r="N3506" s="1">
        <v>4</v>
      </c>
      <c r="O3506" s="1">
        <v>4</v>
      </c>
      <c r="Q3506" s="1">
        <v>19.100000000000001</v>
      </c>
      <c r="R3506" s="1">
        <v>7.2</v>
      </c>
      <c r="S3506" s="1">
        <v>78</v>
      </c>
      <c r="V3506" s="1">
        <v>1.96224</v>
      </c>
      <c r="W3506" s="1">
        <v>56.736800000000002</v>
      </c>
      <c r="X3506" s="1">
        <v>2.2148565378078025</v>
      </c>
      <c r="Y3506" s="1">
        <v>5.1999999999999998E-2</v>
      </c>
      <c r="Z3506" s="1">
        <v>0.83</v>
      </c>
      <c r="AA3506" s="1">
        <v>6.9</v>
      </c>
      <c r="AD3506" s="1">
        <v>0</v>
      </c>
      <c r="AE3506" s="1">
        <v>8.0399999999999991</v>
      </c>
      <c r="AK3506" s="1">
        <v>72.02</v>
      </c>
      <c r="AL3506" s="1">
        <v>1296.3</v>
      </c>
    </row>
    <row r="3507" spans="1:91" x14ac:dyDescent="0.3">
      <c r="A3507" s="1">
        <v>59141</v>
      </c>
      <c r="B3507" s="1" t="s">
        <v>254</v>
      </c>
      <c r="C3507" s="1" t="s">
        <v>231</v>
      </c>
      <c r="D3507" s="2">
        <f t="shared" si="188"/>
        <v>2017</v>
      </c>
      <c r="E3507" s="2">
        <f t="shared" si="189"/>
        <v>8</v>
      </c>
      <c r="F3507" s="3" t="s">
        <v>179</v>
      </c>
      <c r="G3507" s="4">
        <v>42962</v>
      </c>
      <c r="H3507" s="1">
        <v>6594420</v>
      </c>
      <c r="I3507" s="1">
        <v>1615795</v>
      </c>
      <c r="J3507" s="1" t="s">
        <v>193</v>
      </c>
      <c r="K3507" s="1"/>
      <c r="L3507" s="1" t="str">
        <f t="shared" si="187"/>
        <v xml:space="preserve">Översjön </v>
      </c>
      <c r="M3507" s="1" t="s">
        <v>225</v>
      </c>
      <c r="N3507" s="1">
        <v>2</v>
      </c>
      <c r="O3507" s="1">
        <v>0</v>
      </c>
    </row>
    <row r="3508" spans="1:91" x14ac:dyDescent="0.3">
      <c r="A3508" s="1">
        <v>59142</v>
      </c>
      <c r="B3508" s="1" t="s">
        <v>254</v>
      </c>
      <c r="C3508" s="1" t="s">
        <v>231</v>
      </c>
      <c r="D3508" s="2">
        <f t="shared" si="188"/>
        <v>2017</v>
      </c>
      <c r="E3508" s="2">
        <f t="shared" si="189"/>
        <v>8</v>
      </c>
      <c r="F3508" s="3" t="s">
        <v>179</v>
      </c>
      <c r="G3508" s="4">
        <v>42962</v>
      </c>
      <c r="H3508" s="1">
        <v>6593820</v>
      </c>
      <c r="I3508" s="1">
        <v>1624215</v>
      </c>
      <c r="J3508" s="1" t="s">
        <v>189</v>
      </c>
      <c r="K3508" s="1"/>
      <c r="L3508" s="1" t="str">
        <f t="shared" si="187"/>
        <v xml:space="preserve">Rösjön </v>
      </c>
      <c r="M3508" s="1" t="s">
        <v>177</v>
      </c>
      <c r="N3508" s="1">
        <v>0.5</v>
      </c>
      <c r="O3508" s="1">
        <v>0.5</v>
      </c>
      <c r="P3508" s="1">
        <v>3.5</v>
      </c>
      <c r="Q3508" s="1">
        <v>20.3</v>
      </c>
      <c r="R3508" s="1">
        <v>8.5</v>
      </c>
      <c r="S3508" s="1">
        <v>93</v>
      </c>
      <c r="V3508" s="1">
        <v>1.5501696</v>
      </c>
      <c r="W3508" s="1">
        <v>4.3756000000000004</v>
      </c>
      <c r="X3508" s="1">
        <v>0.2167436395121051</v>
      </c>
      <c r="Y3508" s="1">
        <v>2.5000000000000001E-2</v>
      </c>
      <c r="Z3508" s="1">
        <v>0.42</v>
      </c>
      <c r="AA3508" s="1">
        <v>1.4</v>
      </c>
      <c r="AB3508" s="1">
        <v>6.2752499999999998</v>
      </c>
      <c r="AD3508" s="1">
        <v>0.69</v>
      </c>
      <c r="AE3508" s="1">
        <v>8.11</v>
      </c>
      <c r="AI3508" s="1">
        <v>8.6509999999999998</v>
      </c>
      <c r="AJ3508" s="1">
        <v>8.2690000000000001</v>
      </c>
      <c r="AK3508" s="1">
        <v>16.649999999999999</v>
      </c>
      <c r="AL3508" s="1">
        <v>535.32000000000005</v>
      </c>
      <c r="AR3508" s="1">
        <v>30.3</v>
      </c>
      <c r="AS3508" s="1">
        <v>4.53E-2</v>
      </c>
      <c r="AT3508" s="1">
        <v>2.12</v>
      </c>
      <c r="AU3508" s="1">
        <v>4.43</v>
      </c>
      <c r="AW3508" s="1">
        <v>15</v>
      </c>
      <c r="AY3508" s="1">
        <v>0.97099999999999898</v>
      </c>
      <c r="AZ3508" s="1">
        <v>14.4</v>
      </c>
      <c r="BA3508" s="1">
        <v>0.97199999999999898</v>
      </c>
      <c r="BB3508" s="1">
        <v>15.5</v>
      </c>
      <c r="BC3508" s="1">
        <v>1E-3</v>
      </c>
      <c r="BD3508" s="1">
        <v>2.4E-2</v>
      </c>
      <c r="BE3508" s="1">
        <v>5.5800000000000002E-2</v>
      </c>
      <c r="BF3508" s="1">
        <v>0.58599999999999897</v>
      </c>
      <c r="BG3508" s="1">
        <v>1E-3</v>
      </c>
      <c r="BH3508" s="1">
        <v>27.5</v>
      </c>
      <c r="BI3508" s="1">
        <v>0.59699999999999898</v>
      </c>
      <c r="BJ3508" s="1">
        <v>0.34100000000000003</v>
      </c>
      <c r="BK3508" s="1">
        <v>14.3</v>
      </c>
      <c r="BL3508" s="1">
        <v>0.109</v>
      </c>
      <c r="BM3508" s="1">
        <v>70.099999999999895</v>
      </c>
      <c r="BN3508" s="1">
        <v>0.38800000000000001</v>
      </c>
      <c r="BO3508" s="1">
        <v>0.88200000000000001</v>
      </c>
      <c r="BQ3508" s="1">
        <v>2.1800000000000002</v>
      </c>
      <c r="BR3508" s="6">
        <v>1E-3</v>
      </c>
      <c r="BS3508" s="1">
        <v>2.5000000000000001E-3</v>
      </c>
      <c r="BT3508" s="1">
        <v>5.0000000000000001E-3</v>
      </c>
      <c r="BU3508" s="1">
        <v>0.49199999999999899</v>
      </c>
      <c r="BV3508" s="1">
        <v>0.29699999999999899</v>
      </c>
      <c r="BW3508" s="1">
        <v>0.19400000000000001</v>
      </c>
      <c r="BX3508" s="1">
        <v>1.14E-2</v>
      </c>
      <c r="BY3508" s="1">
        <v>1.31</v>
      </c>
      <c r="BZ3508" s="1">
        <v>30.4</v>
      </c>
      <c r="CA3508" s="1">
        <v>4.47</v>
      </c>
      <c r="CC3508" s="1">
        <v>9.3200000000000002E-3</v>
      </c>
      <c r="CD3508" s="1">
        <v>2.11</v>
      </c>
      <c r="CE3508" s="1">
        <v>15.2</v>
      </c>
      <c r="CF3508" s="1">
        <v>0.93500000000000005</v>
      </c>
      <c r="CG3508" s="1">
        <v>0.85199999999999898</v>
      </c>
      <c r="CH3508" s="1">
        <v>13.2</v>
      </c>
      <c r="CI3508" s="6">
        <v>1E-3</v>
      </c>
      <c r="CJ3508" s="1">
        <v>0.63400000000000001</v>
      </c>
      <c r="CK3508" s="1">
        <v>8.8800000000000008</v>
      </c>
      <c r="CL3508" s="1">
        <v>0.373</v>
      </c>
      <c r="CM3508" s="1">
        <v>70.5</v>
      </c>
    </row>
    <row r="3509" spans="1:91" x14ac:dyDescent="0.3">
      <c r="A3509" s="1">
        <v>59143</v>
      </c>
      <c r="B3509" s="1" t="s">
        <v>254</v>
      </c>
      <c r="C3509" s="1" t="s">
        <v>231</v>
      </c>
      <c r="D3509" s="2">
        <f t="shared" si="188"/>
        <v>2017</v>
      </c>
      <c r="E3509" s="2">
        <f t="shared" si="189"/>
        <v>8</v>
      </c>
      <c r="F3509" s="3" t="s">
        <v>179</v>
      </c>
      <c r="G3509" s="4">
        <v>42962</v>
      </c>
      <c r="H3509" s="1">
        <v>6593820</v>
      </c>
      <c r="I3509" s="1">
        <v>1624215</v>
      </c>
      <c r="J3509" s="1" t="s">
        <v>189</v>
      </c>
      <c r="K3509" s="1"/>
      <c r="L3509" s="1" t="str">
        <f t="shared" si="187"/>
        <v xml:space="preserve">Rösjön </v>
      </c>
      <c r="M3509" s="1" t="s">
        <v>211</v>
      </c>
      <c r="N3509" s="1">
        <v>1</v>
      </c>
      <c r="O3509" s="1">
        <v>1</v>
      </c>
      <c r="Q3509" s="1">
        <v>20.2</v>
      </c>
      <c r="R3509" s="1">
        <v>8.6999999999999993</v>
      </c>
      <c r="S3509" s="1">
        <v>95</v>
      </c>
    </row>
    <row r="3510" spans="1:91" x14ac:dyDescent="0.3">
      <c r="A3510" s="1">
        <v>59144</v>
      </c>
      <c r="B3510" s="1" t="s">
        <v>254</v>
      </c>
      <c r="C3510" s="1" t="s">
        <v>231</v>
      </c>
      <c r="D3510" s="2">
        <f t="shared" si="188"/>
        <v>2017</v>
      </c>
      <c r="E3510" s="2">
        <f t="shared" si="189"/>
        <v>8</v>
      </c>
      <c r="F3510" s="3" t="s">
        <v>179</v>
      </c>
      <c r="G3510" s="4">
        <v>42962</v>
      </c>
      <c r="H3510" s="1">
        <v>6593820</v>
      </c>
      <c r="I3510" s="1">
        <v>1624215</v>
      </c>
      <c r="J3510" s="1" t="s">
        <v>189</v>
      </c>
      <c r="K3510" s="1"/>
      <c r="L3510" s="1" t="str">
        <f t="shared" si="187"/>
        <v xml:space="preserve">Rösjön </v>
      </c>
      <c r="M3510" s="1" t="s">
        <v>212</v>
      </c>
      <c r="N3510" s="1">
        <v>2</v>
      </c>
      <c r="O3510" s="1">
        <v>2</v>
      </c>
      <c r="Q3510" s="1">
        <v>20.100000000000001</v>
      </c>
      <c r="R3510" s="1">
        <v>8.9</v>
      </c>
      <c r="S3510" s="1">
        <v>97</v>
      </c>
    </row>
    <row r="3511" spans="1:91" x14ac:dyDescent="0.3">
      <c r="A3511" s="1">
        <v>59145</v>
      </c>
      <c r="B3511" s="1" t="s">
        <v>254</v>
      </c>
      <c r="C3511" s="1" t="s">
        <v>231</v>
      </c>
      <c r="D3511" s="2">
        <f t="shared" si="188"/>
        <v>2017</v>
      </c>
      <c r="E3511" s="2">
        <f t="shared" si="189"/>
        <v>8</v>
      </c>
      <c r="F3511" s="3" t="s">
        <v>179</v>
      </c>
      <c r="G3511" s="4">
        <v>42962</v>
      </c>
      <c r="H3511" s="1">
        <v>6593820</v>
      </c>
      <c r="I3511" s="1">
        <v>1624215</v>
      </c>
      <c r="J3511" s="1" t="s">
        <v>189</v>
      </c>
      <c r="K3511" s="1"/>
      <c r="L3511" s="1" t="str">
        <f t="shared" si="187"/>
        <v xml:space="preserve">Rösjön </v>
      </c>
      <c r="M3511" s="1" t="s">
        <v>213</v>
      </c>
      <c r="N3511" s="1">
        <v>3</v>
      </c>
      <c r="O3511" s="1">
        <v>3</v>
      </c>
      <c r="Q3511" s="1">
        <v>20</v>
      </c>
      <c r="R3511" s="1">
        <v>8.8000000000000007</v>
      </c>
      <c r="S3511" s="1">
        <v>95</v>
      </c>
    </row>
    <row r="3512" spans="1:91" x14ac:dyDescent="0.3">
      <c r="A3512" s="1">
        <v>59146</v>
      </c>
      <c r="B3512" s="1" t="s">
        <v>254</v>
      </c>
      <c r="C3512" s="1" t="s">
        <v>231</v>
      </c>
      <c r="D3512" s="2">
        <f t="shared" si="188"/>
        <v>2017</v>
      </c>
      <c r="E3512" s="2">
        <f t="shared" si="189"/>
        <v>8</v>
      </c>
      <c r="F3512" s="3" t="s">
        <v>179</v>
      </c>
      <c r="G3512" s="4">
        <v>42962</v>
      </c>
      <c r="H3512" s="1">
        <v>6593820</v>
      </c>
      <c r="I3512" s="1">
        <v>1624215</v>
      </c>
      <c r="J3512" s="1" t="s">
        <v>189</v>
      </c>
      <c r="K3512" s="1"/>
      <c r="L3512" s="1" t="str">
        <f t="shared" si="187"/>
        <v xml:space="preserve">Rösjön </v>
      </c>
      <c r="M3512" s="1" t="s">
        <v>214</v>
      </c>
      <c r="N3512" s="1">
        <v>4</v>
      </c>
      <c r="O3512" s="1">
        <v>4</v>
      </c>
      <c r="Q3512" s="1">
        <v>19.899999999999999</v>
      </c>
      <c r="R3512" s="1">
        <v>8.1999999999999993</v>
      </c>
      <c r="S3512" s="1">
        <v>89</v>
      </c>
    </row>
    <row r="3513" spans="1:91" x14ac:dyDescent="0.3">
      <c r="A3513" s="1">
        <v>59147</v>
      </c>
      <c r="B3513" s="1" t="s">
        <v>254</v>
      </c>
      <c r="C3513" s="1" t="s">
        <v>231</v>
      </c>
      <c r="D3513" s="2">
        <f t="shared" si="188"/>
        <v>2017</v>
      </c>
      <c r="E3513" s="2">
        <f t="shared" si="189"/>
        <v>8</v>
      </c>
      <c r="F3513" s="3" t="s">
        <v>179</v>
      </c>
      <c r="G3513" s="4">
        <v>42962</v>
      </c>
      <c r="H3513" s="1">
        <v>6593820</v>
      </c>
      <c r="I3513" s="1">
        <v>1624215</v>
      </c>
      <c r="J3513" s="1" t="s">
        <v>189</v>
      </c>
      <c r="K3513" s="1"/>
      <c r="L3513" s="1" t="str">
        <f t="shared" si="187"/>
        <v xml:space="preserve">Rösjön </v>
      </c>
      <c r="M3513" s="1" t="s">
        <v>217</v>
      </c>
      <c r="N3513" s="1">
        <v>5</v>
      </c>
      <c r="O3513" s="1">
        <v>5</v>
      </c>
      <c r="Q3513" s="1">
        <v>19.8</v>
      </c>
      <c r="R3513" s="1">
        <v>7.4</v>
      </c>
      <c r="S3513" s="1">
        <v>80</v>
      </c>
    </row>
    <row r="3514" spans="1:91" x14ac:dyDescent="0.3">
      <c r="A3514" s="1">
        <v>59148</v>
      </c>
      <c r="B3514" s="1" t="s">
        <v>254</v>
      </c>
      <c r="C3514" s="1" t="s">
        <v>231</v>
      </c>
      <c r="D3514" s="2">
        <f t="shared" si="188"/>
        <v>2017</v>
      </c>
      <c r="E3514" s="2">
        <f t="shared" si="189"/>
        <v>8</v>
      </c>
      <c r="F3514" s="3" t="s">
        <v>179</v>
      </c>
      <c r="G3514" s="4">
        <v>42962</v>
      </c>
      <c r="H3514" s="1">
        <v>6593820</v>
      </c>
      <c r="I3514" s="1">
        <v>1624215</v>
      </c>
      <c r="J3514" s="1" t="s">
        <v>189</v>
      </c>
      <c r="K3514" s="1"/>
      <c r="L3514" s="1" t="str">
        <f t="shared" si="187"/>
        <v xml:space="preserve">Rösjön </v>
      </c>
      <c r="M3514" s="1" t="s">
        <v>218</v>
      </c>
      <c r="N3514" s="1">
        <v>6</v>
      </c>
      <c r="O3514" s="1">
        <v>6</v>
      </c>
      <c r="Q3514" s="1">
        <v>19.399999999999999</v>
      </c>
      <c r="R3514" s="1">
        <v>4.2</v>
      </c>
      <c r="S3514" s="1">
        <v>46</v>
      </c>
    </row>
    <row r="3515" spans="1:91" x14ac:dyDescent="0.3">
      <c r="A3515" s="1">
        <v>59149</v>
      </c>
      <c r="B3515" s="1" t="s">
        <v>254</v>
      </c>
      <c r="C3515" s="1" t="s">
        <v>231</v>
      </c>
      <c r="D3515" s="2">
        <f t="shared" si="188"/>
        <v>2017</v>
      </c>
      <c r="E3515" s="2">
        <f t="shared" si="189"/>
        <v>8</v>
      </c>
      <c r="F3515" s="3" t="s">
        <v>179</v>
      </c>
      <c r="G3515" s="4">
        <v>42962</v>
      </c>
      <c r="H3515" s="1">
        <v>6593820</v>
      </c>
      <c r="I3515" s="1">
        <v>1624215</v>
      </c>
      <c r="J3515" s="1" t="s">
        <v>189</v>
      </c>
      <c r="K3515" s="1"/>
      <c r="L3515" s="1" t="str">
        <f t="shared" si="187"/>
        <v xml:space="preserve">Rösjön </v>
      </c>
      <c r="M3515" s="1" t="s">
        <v>184</v>
      </c>
      <c r="N3515" s="1">
        <v>7</v>
      </c>
      <c r="O3515" s="1">
        <v>7</v>
      </c>
      <c r="Q3515" s="1">
        <v>19.399999999999999</v>
      </c>
      <c r="R3515" s="1">
        <v>3.8</v>
      </c>
      <c r="S3515" s="1">
        <v>42</v>
      </c>
      <c r="V3515" s="1">
        <v>1.5305472</v>
      </c>
      <c r="W3515" s="1">
        <v>25.815999999999999</v>
      </c>
      <c r="X3515" s="1">
        <v>0.96322571570806448</v>
      </c>
      <c r="Y3515" s="1">
        <v>2.9000000000000001E-2</v>
      </c>
      <c r="Z3515" s="1">
        <v>2.88</v>
      </c>
      <c r="AA3515" s="1">
        <v>2.7</v>
      </c>
      <c r="AD3515" s="1">
        <v>1.23</v>
      </c>
      <c r="AE3515" s="1">
        <v>8.01</v>
      </c>
      <c r="AK3515" s="1">
        <v>24.03</v>
      </c>
      <c r="AL3515" s="1">
        <v>593.36</v>
      </c>
    </row>
    <row r="3516" spans="1:91" x14ac:dyDescent="0.3">
      <c r="A3516" s="1">
        <v>59150</v>
      </c>
      <c r="B3516" s="1" t="s">
        <v>254</v>
      </c>
      <c r="C3516" s="1" t="s">
        <v>231</v>
      </c>
      <c r="D3516" s="2">
        <f t="shared" si="188"/>
        <v>2017</v>
      </c>
      <c r="E3516" s="2">
        <f t="shared" si="189"/>
        <v>8</v>
      </c>
      <c r="F3516" s="3" t="s">
        <v>179</v>
      </c>
      <c r="G3516" s="4">
        <v>42962</v>
      </c>
      <c r="H3516" s="1">
        <v>6593820</v>
      </c>
      <c r="I3516" s="1">
        <v>1624215</v>
      </c>
      <c r="J3516" s="1" t="s">
        <v>189</v>
      </c>
      <c r="K3516" s="1"/>
      <c r="L3516" s="1" t="str">
        <f t="shared" si="187"/>
        <v xml:space="preserve">Rösjön </v>
      </c>
      <c r="M3516" s="1" t="s">
        <v>225</v>
      </c>
      <c r="N3516" s="1">
        <v>2</v>
      </c>
      <c r="O3516" s="1">
        <v>0</v>
      </c>
    </row>
    <row r="3517" spans="1:91" x14ac:dyDescent="0.3">
      <c r="A3517" s="1">
        <v>59151</v>
      </c>
      <c r="B3517" s="1" t="s">
        <v>254</v>
      </c>
      <c r="C3517" s="1" t="s">
        <v>231</v>
      </c>
      <c r="D3517" s="2">
        <f t="shared" si="188"/>
        <v>2017</v>
      </c>
      <c r="E3517" s="2">
        <f t="shared" si="189"/>
        <v>8</v>
      </c>
      <c r="F3517" s="3" t="s">
        <v>179</v>
      </c>
      <c r="G3517" s="4">
        <v>42962</v>
      </c>
      <c r="H3517" s="1">
        <v>6594980</v>
      </c>
      <c r="I3517" s="1">
        <v>1622960</v>
      </c>
      <c r="J3517" s="1" t="s">
        <v>192</v>
      </c>
      <c r="K3517" s="1"/>
      <c r="L3517" s="1" t="str">
        <f t="shared" si="187"/>
        <v xml:space="preserve">Väsjön </v>
      </c>
      <c r="M3517" s="1" t="s">
        <v>177</v>
      </c>
      <c r="N3517" s="1">
        <v>0.5</v>
      </c>
      <c r="O3517" s="1">
        <v>0.5</v>
      </c>
      <c r="P3517" s="1">
        <v>2.1</v>
      </c>
      <c r="Q3517" s="1">
        <v>18.8</v>
      </c>
      <c r="R3517" s="1">
        <v>6.7</v>
      </c>
      <c r="S3517" s="1">
        <v>71</v>
      </c>
      <c r="V3517" s="1">
        <v>3.1003392000000001</v>
      </c>
      <c r="W3517" s="1">
        <v>2.2397</v>
      </c>
      <c r="X3517" s="1">
        <v>5.4778668473464298E-2</v>
      </c>
      <c r="Y3517" s="1">
        <v>5.3999999999999999E-2</v>
      </c>
      <c r="Z3517" s="1">
        <v>0</v>
      </c>
      <c r="AA3517" s="1">
        <v>1.03</v>
      </c>
      <c r="AB3517" s="1">
        <v>2.871</v>
      </c>
      <c r="AD3517" s="1">
        <v>0.69</v>
      </c>
      <c r="AE3517" s="1">
        <v>7.84</v>
      </c>
      <c r="AI3517" s="1">
        <v>12.96</v>
      </c>
      <c r="AJ3517" s="1">
        <v>12.15</v>
      </c>
      <c r="AK3517" s="1">
        <v>13.07</v>
      </c>
      <c r="AL3517" s="1">
        <v>682.09</v>
      </c>
      <c r="AR3517" s="1">
        <v>61.5</v>
      </c>
      <c r="AS3517" s="1">
        <v>1.11E-2</v>
      </c>
      <c r="AT3517" s="1">
        <v>4.4000000000000004</v>
      </c>
      <c r="AU3517" s="1">
        <v>8.86</v>
      </c>
      <c r="AW3517" s="1">
        <v>40.799999999999898</v>
      </c>
      <c r="AY3517" s="1">
        <v>0.29699999999999899</v>
      </c>
      <c r="AZ3517" s="1">
        <v>2.8</v>
      </c>
      <c r="BA3517" s="1">
        <v>0.86</v>
      </c>
      <c r="BB3517" s="1">
        <v>33.200000000000003</v>
      </c>
      <c r="BC3517" s="1">
        <v>1E-3</v>
      </c>
      <c r="BD3517" s="1">
        <v>2.9000000000000001E-2</v>
      </c>
      <c r="BE3517" s="1">
        <v>4.24E-2</v>
      </c>
      <c r="BF3517" s="1">
        <v>0.20100000000000001</v>
      </c>
      <c r="BG3517" s="1">
        <v>1E-3</v>
      </c>
      <c r="BH3517" s="1">
        <v>52.7</v>
      </c>
      <c r="BI3517" s="1">
        <v>0.877</v>
      </c>
      <c r="BJ3517" s="1">
        <v>0.25900000000000001</v>
      </c>
      <c r="BK3517" s="1">
        <v>16.3</v>
      </c>
      <c r="BL3517" s="1">
        <v>2.8799999999999899E-2</v>
      </c>
      <c r="BM3517" s="1">
        <v>138</v>
      </c>
      <c r="BN3517" s="1">
        <v>0.247</v>
      </c>
      <c r="BO3517" s="1">
        <v>1.02</v>
      </c>
      <c r="BQ3517" s="1">
        <v>0.69699999999999895</v>
      </c>
      <c r="BR3517" s="6">
        <v>1E-3</v>
      </c>
      <c r="BS3517" s="1">
        <v>1.01E-2</v>
      </c>
      <c r="BT3517" s="1">
        <v>3.6799999999999902E-2</v>
      </c>
      <c r="BU3517" s="1">
        <v>0.13600000000000001</v>
      </c>
      <c r="BV3517" s="1">
        <v>0.76400000000000001</v>
      </c>
      <c r="BW3517" s="1">
        <v>0.13</v>
      </c>
      <c r="BX3517" s="1">
        <v>5.0000000000000001E-3</v>
      </c>
      <c r="BY3517" s="1">
        <v>1.1399999999999899</v>
      </c>
      <c r="BZ3517" s="1">
        <v>61.1</v>
      </c>
      <c r="CA3517" s="1">
        <v>8.82</v>
      </c>
      <c r="CC3517" s="1">
        <v>2.0899999999999899E-3</v>
      </c>
      <c r="CD3517" s="1">
        <v>4.3600000000000003</v>
      </c>
      <c r="CE3517" s="1">
        <v>41.4</v>
      </c>
      <c r="CF3517" s="1">
        <v>0.29299999999999898</v>
      </c>
      <c r="CG3517" s="1">
        <v>0.79200000000000004</v>
      </c>
      <c r="CH3517" s="1">
        <v>27.6</v>
      </c>
      <c r="CI3517" s="6">
        <v>1E-3</v>
      </c>
      <c r="CJ3517" s="1">
        <v>0.94699999999999895</v>
      </c>
      <c r="CK3517" s="1">
        <v>7.68</v>
      </c>
      <c r="CL3517" s="1">
        <v>0.19600000000000001</v>
      </c>
      <c r="CM3517" s="1">
        <v>137</v>
      </c>
    </row>
    <row r="3518" spans="1:91" x14ac:dyDescent="0.3">
      <c r="A3518" s="1">
        <v>59152</v>
      </c>
      <c r="B3518" s="1" t="s">
        <v>254</v>
      </c>
      <c r="C3518" s="1" t="s">
        <v>231</v>
      </c>
      <c r="D3518" s="2">
        <f t="shared" si="188"/>
        <v>2017</v>
      </c>
      <c r="E3518" s="2">
        <f t="shared" si="189"/>
        <v>8</v>
      </c>
      <c r="F3518" s="3" t="s">
        <v>179</v>
      </c>
      <c r="G3518" s="4">
        <v>42962</v>
      </c>
      <c r="H3518" s="1">
        <v>6594980</v>
      </c>
      <c r="I3518" s="1">
        <v>1622960</v>
      </c>
      <c r="J3518" s="1" t="s">
        <v>192</v>
      </c>
      <c r="K3518" s="1"/>
      <c r="L3518" s="1" t="str">
        <f t="shared" ref="L3518:L3581" si="190">CONCATENATE(J3518," ",K3518)</f>
        <v xml:space="preserve">Väsjön </v>
      </c>
      <c r="M3518" s="1" t="s">
        <v>211</v>
      </c>
      <c r="N3518" s="1">
        <v>1</v>
      </c>
      <c r="O3518" s="1">
        <v>1</v>
      </c>
      <c r="Q3518" s="1">
        <v>18.600000000000001</v>
      </c>
      <c r="R3518" s="1">
        <v>6.4</v>
      </c>
      <c r="S3518" s="1">
        <v>68</v>
      </c>
    </row>
    <row r="3519" spans="1:91" x14ac:dyDescent="0.3">
      <c r="A3519" s="1">
        <v>59153</v>
      </c>
      <c r="B3519" s="1" t="s">
        <v>254</v>
      </c>
      <c r="C3519" s="1" t="s">
        <v>231</v>
      </c>
      <c r="D3519" s="2">
        <f t="shared" si="188"/>
        <v>2017</v>
      </c>
      <c r="E3519" s="2">
        <f t="shared" si="189"/>
        <v>8</v>
      </c>
      <c r="F3519" s="3" t="s">
        <v>179</v>
      </c>
      <c r="G3519" s="4">
        <v>42962</v>
      </c>
      <c r="H3519" s="1">
        <v>6594980</v>
      </c>
      <c r="I3519" s="1">
        <v>1622960</v>
      </c>
      <c r="J3519" s="1" t="s">
        <v>192</v>
      </c>
      <c r="K3519" s="1"/>
      <c r="L3519" s="1" t="str">
        <f t="shared" si="190"/>
        <v xml:space="preserve">Väsjön </v>
      </c>
      <c r="M3519" s="1" t="s">
        <v>212</v>
      </c>
      <c r="N3519" s="1">
        <v>2</v>
      </c>
      <c r="O3519" s="1">
        <v>2</v>
      </c>
      <c r="Q3519" s="1">
        <v>18.600000000000001</v>
      </c>
      <c r="R3519" s="1">
        <v>6.1</v>
      </c>
      <c r="S3519" s="1">
        <v>64</v>
      </c>
    </row>
    <row r="3520" spans="1:91" x14ac:dyDescent="0.3">
      <c r="A3520" s="1">
        <v>59154</v>
      </c>
      <c r="B3520" s="1" t="s">
        <v>254</v>
      </c>
      <c r="C3520" s="1" t="s">
        <v>231</v>
      </c>
      <c r="D3520" s="2">
        <f t="shared" si="188"/>
        <v>2017</v>
      </c>
      <c r="E3520" s="2">
        <f t="shared" si="189"/>
        <v>8</v>
      </c>
      <c r="F3520" s="3" t="s">
        <v>179</v>
      </c>
      <c r="G3520" s="4">
        <v>42962</v>
      </c>
      <c r="H3520" s="1">
        <v>6594980</v>
      </c>
      <c r="I3520" s="1">
        <v>1622960</v>
      </c>
      <c r="J3520" s="1" t="s">
        <v>192</v>
      </c>
      <c r="K3520" s="1"/>
      <c r="L3520" s="1" t="str">
        <f t="shared" si="190"/>
        <v xml:space="preserve">Väsjön </v>
      </c>
      <c r="M3520" s="1" t="s">
        <v>184</v>
      </c>
      <c r="N3520" s="1">
        <v>2.5</v>
      </c>
      <c r="O3520" s="1">
        <v>2.5</v>
      </c>
      <c r="Q3520" s="1">
        <v>18.600000000000001</v>
      </c>
      <c r="R3520" s="1">
        <v>5.9</v>
      </c>
      <c r="S3520" s="1">
        <v>60</v>
      </c>
      <c r="V3520" s="1">
        <v>3.1003392000000001</v>
      </c>
      <c r="W3520" s="1">
        <v>8.4067000000000007</v>
      </c>
      <c r="X3520" s="1">
        <v>0.20267154910979709</v>
      </c>
      <c r="Y3520" s="1">
        <v>5.5E-2</v>
      </c>
      <c r="Z3520" s="1">
        <v>0</v>
      </c>
      <c r="AA3520" s="1">
        <v>1.1200000000000001</v>
      </c>
      <c r="AD3520" s="1">
        <v>0</v>
      </c>
      <c r="AE3520" s="1">
        <v>7.84</v>
      </c>
      <c r="AK3520" s="1">
        <v>24.16</v>
      </c>
      <c r="AL3520" s="1">
        <v>729.19</v>
      </c>
    </row>
    <row r="3521" spans="1:38" x14ac:dyDescent="0.3">
      <c r="A3521" s="1">
        <v>59155</v>
      </c>
      <c r="B3521" s="1" t="s">
        <v>254</v>
      </c>
      <c r="C3521" s="1" t="s">
        <v>231</v>
      </c>
      <c r="D3521" s="2">
        <f t="shared" si="188"/>
        <v>2017</v>
      </c>
      <c r="E3521" s="2">
        <f t="shared" si="189"/>
        <v>8</v>
      </c>
      <c r="F3521" s="3" t="s">
        <v>179</v>
      </c>
      <c r="G3521" s="4">
        <v>42962</v>
      </c>
      <c r="H3521" s="1">
        <v>6594980</v>
      </c>
      <c r="I3521" s="1">
        <v>1622960</v>
      </c>
      <c r="J3521" s="1" t="s">
        <v>192</v>
      </c>
      <c r="K3521" s="1"/>
      <c r="L3521" s="1" t="str">
        <f t="shared" si="190"/>
        <v xml:space="preserve">Väsjön </v>
      </c>
      <c r="M3521" s="1" t="s">
        <v>242</v>
      </c>
      <c r="N3521" s="1">
        <v>1</v>
      </c>
      <c r="O3521" s="1">
        <v>0</v>
      </c>
    </row>
    <row r="3522" spans="1:38" x14ac:dyDescent="0.3">
      <c r="A3522" s="1">
        <v>59156</v>
      </c>
      <c r="B3522" s="1" t="s">
        <v>254</v>
      </c>
      <c r="C3522" s="1" t="s">
        <v>231</v>
      </c>
      <c r="D3522" s="2">
        <f t="shared" si="188"/>
        <v>2017</v>
      </c>
      <c r="E3522" s="2">
        <f t="shared" si="189"/>
        <v>8</v>
      </c>
      <c r="F3522" s="3" t="s">
        <v>179</v>
      </c>
      <c r="G3522" s="4">
        <v>42962</v>
      </c>
      <c r="H3522" s="1">
        <v>6599695</v>
      </c>
      <c r="I3522" s="1">
        <v>1617290</v>
      </c>
      <c r="J3522" s="1" t="s">
        <v>182</v>
      </c>
      <c r="K3522" s="1"/>
      <c r="L3522" s="1" t="str">
        <f t="shared" si="190"/>
        <v xml:space="preserve">Edssjön </v>
      </c>
      <c r="M3522" s="1" t="s">
        <v>177</v>
      </c>
      <c r="N3522" s="1">
        <v>0.5</v>
      </c>
      <c r="O3522" s="1">
        <v>0.5</v>
      </c>
      <c r="P3522" s="1">
        <v>0.8</v>
      </c>
      <c r="Q3522" s="1">
        <v>20.100000000000001</v>
      </c>
      <c r="R3522" s="1">
        <v>10</v>
      </c>
      <c r="S3522" s="1">
        <v>109</v>
      </c>
      <c r="V3522" s="1">
        <v>2.6686464000000001</v>
      </c>
      <c r="W3522" s="1">
        <v>6.5709</v>
      </c>
      <c r="X3522" s="1">
        <v>1.1154676162063761</v>
      </c>
      <c r="Y3522" s="1">
        <v>5.8000000000000003E-2</v>
      </c>
      <c r="Z3522" s="1">
        <v>77.180000000000007</v>
      </c>
      <c r="AA3522" s="1">
        <v>20</v>
      </c>
      <c r="AB3522" s="1">
        <v>37.341540000000002</v>
      </c>
      <c r="AD3522" s="1">
        <v>0.79</v>
      </c>
      <c r="AE3522" s="1">
        <v>8.7100000000000009</v>
      </c>
      <c r="AK3522" s="1">
        <v>158.19999999999999</v>
      </c>
      <c r="AL3522" s="1">
        <v>1307.69</v>
      </c>
    </row>
    <row r="3523" spans="1:38" x14ac:dyDescent="0.3">
      <c r="A3523" s="1">
        <v>59157</v>
      </c>
      <c r="B3523" s="1" t="s">
        <v>254</v>
      </c>
      <c r="C3523" s="1" t="s">
        <v>231</v>
      </c>
      <c r="D3523" s="2">
        <f t="shared" si="188"/>
        <v>2017</v>
      </c>
      <c r="E3523" s="2">
        <f t="shared" si="189"/>
        <v>8</v>
      </c>
      <c r="F3523" s="3" t="s">
        <v>179</v>
      </c>
      <c r="G3523" s="4">
        <v>42962</v>
      </c>
      <c r="H3523" s="1">
        <v>6599695</v>
      </c>
      <c r="I3523" s="1">
        <v>1617290</v>
      </c>
      <c r="J3523" s="1" t="s">
        <v>182</v>
      </c>
      <c r="K3523" s="1"/>
      <c r="L3523" s="1" t="str">
        <f t="shared" si="190"/>
        <v xml:space="preserve">Edssjön </v>
      </c>
      <c r="M3523" s="1" t="s">
        <v>211</v>
      </c>
      <c r="N3523" s="1">
        <v>1</v>
      </c>
      <c r="O3523" s="1">
        <v>1</v>
      </c>
      <c r="Q3523" s="1">
        <v>20</v>
      </c>
      <c r="R3523" s="1">
        <v>10.199999999999999</v>
      </c>
      <c r="S3523" s="1">
        <v>111</v>
      </c>
    </row>
    <row r="3524" spans="1:38" x14ac:dyDescent="0.3">
      <c r="A3524" s="1">
        <v>59158</v>
      </c>
      <c r="B3524" s="1" t="s">
        <v>254</v>
      </c>
      <c r="C3524" s="1" t="s">
        <v>231</v>
      </c>
      <c r="D3524" s="2">
        <f t="shared" si="188"/>
        <v>2017</v>
      </c>
      <c r="E3524" s="2">
        <f t="shared" si="189"/>
        <v>8</v>
      </c>
      <c r="F3524" s="3" t="s">
        <v>179</v>
      </c>
      <c r="G3524" s="4">
        <v>42962</v>
      </c>
      <c r="H3524" s="1">
        <v>6599695</v>
      </c>
      <c r="I3524" s="1">
        <v>1617290</v>
      </c>
      <c r="J3524" s="1" t="s">
        <v>182</v>
      </c>
      <c r="K3524" s="1"/>
      <c r="L3524" s="1" t="str">
        <f t="shared" si="190"/>
        <v xml:space="preserve">Edssjön </v>
      </c>
      <c r="M3524" s="1" t="s">
        <v>212</v>
      </c>
      <c r="N3524" s="1">
        <v>2</v>
      </c>
      <c r="O3524" s="1">
        <v>2</v>
      </c>
      <c r="Q3524" s="1">
        <v>19.899999999999999</v>
      </c>
      <c r="R3524" s="1">
        <v>10.3</v>
      </c>
      <c r="S3524" s="1">
        <v>112</v>
      </c>
    </row>
    <row r="3525" spans="1:38" x14ac:dyDescent="0.3">
      <c r="A3525" s="1">
        <v>59159</v>
      </c>
      <c r="B3525" s="1" t="s">
        <v>254</v>
      </c>
      <c r="C3525" s="1" t="s">
        <v>231</v>
      </c>
      <c r="D3525" s="2">
        <f t="shared" si="188"/>
        <v>2017</v>
      </c>
      <c r="E3525" s="2">
        <f t="shared" si="189"/>
        <v>8</v>
      </c>
      <c r="F3525" s="3" t="s">
        <v>179</v>
      </c>
      <c r="G3525" s="4">
        <v>42962</v>
      </c>
      <c r="H3525" s="1">
        <v>6599695</v>
      </c>
      <c r="I3525" s="1">
        <v>1617290</v>
      </c>
      <c r="J3525" s="1" t="s">
        <v>182</v>
      </c>
      <c r="K3525" s="1"/>
      <c r="L3525" s="1" t="str">
        <f t="shared" si="190"/>
        <v xml:space="preserve">Edssjön </v>
      </c>
      <c r="M3525" s="1" t="s">
        <v>213</v>
      </c>
      <c r="N3525" s="1">
        <v>3</v>
      </c>
      <c r="O3525" s="1">
        <v>3</v>
      </c>
      <c r="Q3525" s="1">
        <v>19.399999999999999</v>
      </c>
      <c r="R3525" s="1">
        <v>8.5</v>
      </c>
      <c r="S3525" s="1">
        <v>92</v>
      </c>
    </row>
    <row r="3526" spans="1:38" x14ac:dyDescent="0.3">
      <c r="A3526" s="1">
        <v>59160</v>
      </c>
      <c r="B3526" s="1" t="s">
        <v>254</v>
      </c>
      <c r="C3526" s="1" t="s">
        <v>231</v>
      </c>
      <c r="D3526" s="2">
        <f t="shared" ref="D3526:D3589" si="191">YEAR(G3526)</f>
        <v>2017</v>
      </c>
      <c r="E3526" s="2">
        <f t="shared" ref="E3526:E3589" si="192">MONTH(G3526)</f>
        <v>8</v>
      </c>
      <c r="F3526" s="3" t="s">
        <v>179</v>
      </c>
      <c r="G3526" s="4">
        <v>42962</v>
      </c>
      <c r="H3526" s="1">
        <v>6599695</v>
      </c>
      <c r="I3526" s="1">
        <v>1617290</v>
      </c>
      <c r="J3526" s="1" t="s">
        <v>182</v>
      </c>
      <c r="K3526" s="1"/>
      <c r="L3526" s="1" t="str">
        <f t="shared" si="190"/>
        <v xml:space="preserve">Edssjön </v>
      </c>
      <c r="M3526" s="1" t="s">
        <v>214</v>
      </c>
      <c r="N3526" s="1">
        <v>4</v>
      </c>
      <c r="O3526" s="1">
        <v>4</v>
      </c>
      <c r="Q3526" s="1">
        <v>19.3</v>
      </c>
      <c r="R3526" s="1">
        <v>6.7</v>
      </c>
      <c r="S3526" s="1">
        <v>73</v>
      </c>
    </row>
    <row r="3527" spans="1:38" x14ac:dyDescent="0.3">
      <c r="A3527" s="1">
        <v>59161</v>
      </c>
      <c r="B3527" s="1" t="s">
        <v>254</v>
      </c>
      <c r="C3527" s="1" t="s">
        <v>231</v>
      </c>
      <c r="D3527" s="2">
        <f t="shared" si="191"/>
        <v>2017</v>
      </c>
      <c r="E3527" s="2">
        <f t="shared" si="192"/>
        <v>8</v>
      </c>
      <c r="F3527" s="3" t="s">
        <v>179</v>
      </c>
      <c r="G3527" s="4">
        <v>42962</v>
      </c>
      <c r="H3527" s="1">
        <v>6599695</v>
      </c>
      <c r="I3527" s="1">
        <v>1617290</v>
      </c>
      <c r="J3527" s="1" t="s">
        <v>182</v>
      </c>
      <c r="K3527" s="1"/>
      <c r="L3527" s="1" t="str">
        <f t="shared" si="190"/>
        <v xml:space="preserve">Edssjön </v>
      </c>
      <c r="M3527" s="1" t="s">
        <v>184</v>
      </c>
      <c r="Q3527" s="1">
        <v>19.100000000000001</v>
      </c>
      <c r="R3527" s="1">
        <v>5.4</v>
      </c>
      <c r="S3527" s="1">
        <v>58</v>
      </c>
      <c r="V3527" s="1">
        <v>2.7667584000000001</v>
      </c>
      <c r="W3527" s="1">
        <v>6.9878</v>
      </c>
      <c r="X3527" s="1">
        <v>0.97277366739386539</v>
      </c>
      <c r="Y3527" s="1">
        <v>5.2999999999999999E-2</v>
      </c>
      <c r="Z3527" s="1">
        <v>83.24</v>
      </c>
      <c r="AA3527" s="1">
        <v>18.5</v>
      </c>
      <c r="AD3527" s="1">
        <v>0</v>
      </c>
      <c r="AE3527" s="1">
        <v>8.64</v>
      </c>
      <c r="AK3527" s="1">
        <v>160.69999999999999</v>
      </c>
      <c r="AL3527" s="1">
        <v>1296.18</v>
      </c>
    </row>
    <row r="3528" spans="1:38" x14ac:dyDescent="0.3">
      <c r="A3528" s="1">
        <v>59162</v>
      </c>
      <c r="B3528" s="1" t="s">
        <v>254</v>
      </c>
      <c r="C3528" s="1" t="s">
        <v>231</v>
      </c>
      <c r="D3528" s="2">
        <f t="shared" si="191"/>
        <v>2017</v>
      </c>
      <c r="E3528" s="2">
        <f t="shared" si="192"/>
        <v>8</v>
      </c>
      <c r="F3528" s="3" t="s">
        <v>179</v>
      </c>
      <c r="G3528" s="4">
        <v>42962</v>
      </c>
      <c r="H3528" s="1">
        <v>6599695</v>
      </c>
      <c r="I3528" s="1">
        <v>1617290</v>
      </c>
      <c r="J3528" s="1" t="s">
        <v>182</v>
      </c>
      <c r="K3528" s="1"/>
      <c r="L3528" s="1" t="str">
        <f t="shared" si="190"/>
        <v xml:space="preserve">Edssjön </v>
      </c>
      <c r="M3528" s="1" t="s">
        <v>225</v>
      </c>
      <c r="N3528" s="1">
        <v>2</v>
      </c>
      <c r="O3528" s="1">
        <v>0</v>
      </c>
    </row>
    <row r="3529" spans="1:38" x14ac:dyDescent="0.3">
      <c r="A3529" s="1">
        <v>59163</v>
      </c>
      <c r="B3529" s="1" t="s">
        <v>254</v>
      </c>
      <c r="C3529" s="1" t="s">
        <v>231</v>
      </c>
      <c r="D3529" s="2">
        <f t="shared" si="191"/>
        <v>2017</v>
      </c>
      <c r="E3529" s="2">
        <f t="shared" si="192"/>
        <v>8</v>
      </c>
      <c r="F3529" s="3" t="s">
        <v>179</v>
      </c>
      <c r="G3529" s="4">
        <v>42962</v>
      </c>
      <c r="H3529" s="1">
        <v>6606035</v>
      </c>
      <c r="I3529" s="1">
        <v>1615620</v>
      </c>
      <c r="J3529" s="1" t="s">
        <v>187</v>
      </c>
      <c r="K3529" s="1"/>
      <c r="L3529" s="1" t="str">
        <f t="shared" si="190"/>
        <v xml:space="preserve">Oxundasjön </v>
      </c>
      <c r="M3529" s="1" t="s">
        <v>177</v>
      </c>
      <c r="N3529" s="1">
        <v>0.5</v>
      </c>
      <c r="O3529" s="1">
        <v>0.5</v>
      </c>
      <c r="P3529" s="1">
        <v>1.5</v>
      </c>
      <c r="Q3529" s="1">
        <v>20</v>
      </c>
      <c r="R3529" s="1">
        <v>8.8000000000000007</v>
      </c>
      <c r="S3529" s="1">
        <v>96</v>
      </c>
      <c r="V3529" s="1">
        <v>2.6294016</v>
      </c>
      <c r="W3529" s="1">
        <v>3.5865</v>
      </c>
      <c r="X3529" s="1">
        <v>0.33815397891820914</v>
      </c>
      <c r="Y3529" s="1">
        <v>4.4999999999999998E-2</v>
      </c>
      <c r="Z3529" s="1">
        <v>31.52</v>
      </c>
      <c r="AA3529" s="1">
        <v>5.7</v>
      </c>
      <c r="AB3529" s="1">
        <v>21.597570000000001</v>
      </c>
      <c r="AD3529" s="1">
        <v>0.03</v>
      </c>
      <c r="AE3529" s="1">
        <v>8.42</v>
      </c>
      <c r="AK3529" s="1">
        <v>97.7</v>
      </c>
      <c r="AL3529" s="1">
        <v>870.03</v>
      </c>
    </row>
    <row r="3530" spans="1:38" x14ac:dyDescent="0.3">
      <c r="A3530" s="1">
        <v>59164</v>
      </c>
      <c r="B3530" s="1" t="s">
        <v>254</v>
      </c>
      <c r="C3530" s="1" t="s">
        <v>231</v>
      </c>
      <c r="D3530" s="2">
        <f t="shared" si="191"/>
        <v>2017</v>
      </c>
      <c r="E3530" s="2">
        <f t="shared" si="192"/>
        <v>8</v>
      </c>
      <c r="F3530" s="3" t="s">
        <v>179</v>
      </c>
      <c r="G3530" s="4">
        <v>42962</v>
      </c>
      <c r="H3530" s="1">
        <v>6606035</v>
      </c>
      <c r="I3530" s="1">
        <v>1615620</v>
      </c>
      <c r="J3530" s="1" t="s">
        <v>187</v>
      </c>
      <c r="K3530" s="1"/>
      <c r="L3530" s="1" t="str">
        <f t="shared" si="190"/>
        <v xml:space="preserve">Oxundasjön </v>
      </c>
      <c r="M3530" s="1" t="s">
        <v>211</v>
      </c>
      <c r="N3530" s="1">
        <v>1</v>
      </c>
      <c r="O3530" s="1">
        <v>1</v>
      </c>
      <c r="Q3530" s="1">
        <v>19.8</v>
      </c>
      <c r="R3530" s="1">
        <v>8.8000000000000007</v>
      </c>
      <c r="S3530" s="1">
        <v>95</v>
      </c>
    </row>
    <row r="3531" spans="1:38" x14ac:dyDescent="0.3">
      <c r="A3531" s="1">
        <v>59165</v>
      </c>
      <c r="B3531" s="1" t="s">
        <v>254</v>
      </c>
      <c r="C3531" s="1" t="s">
        <v>231</v>
      </c>
      <c r="D3531" s="2">
        <f t="shared" si="191"/>
        <v>2017</v>
      </c>
      <c r="E3531" s="2">
        <f t="shared" si="192"/>
        <v>8</v>
      </c>
      <c r="F3531" s="3" t="s">
        <v>179</v>
      </c>
      <c r="G3531" s="4">
        <v>42962</v>
      </c>
      <c r="H3531" s="1">
        <v>6606035</v>
      </c>
      <c r="I3531" s="1">
        <v>1615620</v>
      </c>
      <c r="J3531" s="1" t="s">
        <v>187</v>
      </c>
      <c r="K3531" s="1"/>
      <c r="L3531" s="1" t="str">
        <f t="shared" si="190"/>
        <v xml:space="preserve">Oxundasjön </v>
      </c>
      <c r="M3531" s="1" t="s">
        <v>212</v>
      </c>
      <c r="N3531" s="1">
        <v>2</v>
      </c>
      <c r="O3531" s="1">
        <v>2</v>
      </c>
      <c r="Q3531" s="1">
        <v>19.5</v>
      </c>
      <c r="R3531" s="1">
        <v>8</v>
      </c>
      <c r="S3531" s="1">
        <v>86</v>
      </c>
    </row>
    <row r="3532" spans="1:38" x14ac:dyDescent="0.3">
      <c r="A3532" s="1">
        <v>59166</v>
      </c>
      <c r="B3532" s="1" t="s">
        <v>254</v>
      </c>
      <c r="C3532" s="1" t="s">
        <v>231</v>
      </c>
      <c r="D3532" s="2">
        <f t="shared" si="191"/>
        <v>2017</v>
      </c>
      <c r="E3532" s="2">
        <f t="shared" si="192"/>
        <v>8</v>
      </c>
      <c r="F3532" s="3" t="s">
        <v>179</v>
      </c>
      <c r="G3532" s="4">
        <v>42962</v>
      </c>
      <c r="H3532" s="1">
        <v>6606035</v>
      </c>
      <c r="I3532" s="1">
        <v>1615620</v>
      </c>
      <c r="J3532" s="1" t="s">
        <v>187</v>
      </c>
      <c r="K3532" s="1"/>
      <c r="L3532" s="1" t="str">
        <f t="shared" si="190"/>
        <v xml:space="preserve">Oxundasjön </v>
      </c>
      <c r="M3532" s="1" t="s">
        <v>213</v>
      </c>
      <c r="N3532" s="1">
        <v>3</v>
      </c>
      <c r="O3532" s="1">
        <v>3</v>
      </c>
      <c r="Q3532" s="1">
        <v>19.5</v>
      </c>
      <c r="R3532" s="1">
        <v>7.8</v>
      </c>
      <c r="S3532" s="1">
        <v>84</v>
      </c>
    </row>
    <row r="3533" spans="1:38" x14ac:dyDescent="0.3">
      <c r="A3533" s="1">
        <v>59167</v>
      </c>
      <c r="B3533" s="1" t="s">
        <v>254</v>
      </c>
      <c r="C3533" s="1" t="s">
        <v>231</v>
      </c>
      <c r="D3533" s="2">
        <f t="shared" si="191"/>
        <v>2017</v>
      </c>
      <c r="E3533" s="2">
        <f t="shared" si="192"/>
        <v>8</v>
      </c>
      <c r="F3533" s="3" t="s">
        <v>179</v>
      </c>
      <c r="G3533" s="4">
        <v>42962</v>
      </c>
      <c r="H3533" s="1">
        <v>6606035</v>
      </c>
      <c r="I3533" s="1">
        <v>1615620</v>
      </c>
      <c r="J3533" s="1" t="s">
        <v>187</v>
      </c>
      <c r="K3533" s="1"/>
      <c r="L3533" s="1" t="str">
        <f t="shared" si="190"/>
        <v xml:space="preserve">Oxundasjön </v>
      </c>
      <c r="M3533" s="1" t="s">
        <v>214</v>
      </c>
      <c r="N3533" s="1">
        <v>4</v>
      </c>
      <c r="O3533" s="1">
        <v>4</v>
      </c>
      <c r="Q3533" s="1">
        <v>19.5</v>
      </c>
      <c r="R3533" s="1">
        <v>7.5</v>
      </c>
      <c r="S3533" s="1">
        <v>81</v>
      </c>
    </row>
    <row r="3534" spans="1:38" x14ac:dyDescent="0.3">
      <c r="A3534" s="1">
        <v>59168</v>
      </c>
      <c r="B3534" s="1" t="s">
        <v>254</v>
      </c>
      <c r="C3534" s="1" t="s">
        <v>231</v>
      </c>
      <c r="D3534" s="2">
        <f t="shared" si="191"/>
        <v>2017</v>
      </c>
      <c r="E3534" s="2">
        <f t="shared" si="192"/>
        <v>8</v>
      </c>
      <c r="F3534" s="3" t="s">
        <v>179</v>
      </c>
      <c r="G3534" s="4">
        <v>42962</v>
      </c>
      <c r="H3534" s="1">
        <v>6606035</v>
      </c>
      <c r="I3534" s="1">
        <v>1615620</v>
      </c>
      <c r="J3534" s="1" t="s">
        <v>187</v>
      </c>
      <c r="K3534" s="1"/>
      <c r="L3534" s="1" t="str">
        <f t="shared" si="190"/>
        <v xml:space="preserve">Oxundasjön </v>
      </c>
      <c r="M3534" s="1" t="s">
        <v>217</v>
      </c>
      <c r="N3534" s="1">
        <v>5</v>
      </c>
      <c r="O3534" s="1">
        <v>5</v>
      </c>
      <c r="Q3534" s="1">
        <v>19.5</v>
      </c>
      <c r="R3534" s="1">
        <v>7.1</v>
      </c>
      <c r="S3534" s="1">
        <v>77</v>
      </c>
    </row>
    <row r="3535" spans="1:38" x14ac:dyDescent="0.3">
      <c r="A3535" s="1">
        <v>59169</v>
      </c>
      <c r="B3535" s="1" t="s">
        <v>254</v>
      </c>
      <c r="C3535" s="1" t="s">
        <v>231</v>
      </c>
      <c r="D3535" s="2">
        <f t="shared" si="191"/>
        <v>2017</v>
      </c>
      <c r="E3535" s="2">
        <f t="shared" si="192"/>
        <v>8</v>
      </c>
      <c r="F3535" s="3" t="s">
        <v>179</v>
      </c>
      <c r="G3535" s="4">
        <v>42962</v>
      </c>
      <c r="H3535" s="1">
        <v>6606035</v>
      </c>
      <c r="I3535" s="1">
        <v>1615620</v>
      </c>
      <c r="J3535" s="1" t="s">
        <v>187</v>
      </c>
      <c r="K3535" s="1"/>
      <c r="L3535" s="1" t="str">
        <f t="shared" si="190"/>
        <v xml:space="preserve">Oxundasjön </v>
      </c>
      <c r="M3535" s="1" t="s">
        <v>184</v>
      </c>
      <c r="Q3535" s="1">
        <v>19.2</v>
      </c>
      <c r="R3535" s="1">
        <v>3.1</v>
      </c>
      <c r="S3535" s="1">
        <v>33</v>
      </c>
      <c r="V3535" s="1">
        <v>2.6490239999999998</v>
      </c>
      <c r="W3535" s="1">
        <v>4.2218</v>
      </c>
      <c r="X3535" s="1">
        <v>0.2925995261354305</v>
      </c>
      <c r="Y3535" s="1">
        <v>4.7E-2</v>
      </c>
      <c r="Z3535" s="1">
        <v>33.020000000000003</v>
      </c>
      <c r="AA3535" s="1">
        <v>5.8</v>
      </c>
      <c r="AD3535" s="1">
        <v>0</v>
      </c>
      <c r="AE3535" s="1">
        <v>8.3000000000000007</v>
      </c>
      <c r="AK3535" s="1">
        <v>96.52</v>
      </c>
      <c r="AL3535" s="1">
        <v>879.66</v>
      </c>
    </row>
    <row r="3536" spans="1:38" x14ac:dyDescent="0.3">
      <c r="A3536" s="1">
        <v>59170</v>
      </c>
      <c r="B3536" s="1" t="s">
        <v>254</v>
      </c>
      <c r="C3536" s="1" t="s">
        <v>231</v>
      </c>
      <c r="D3536" s="2">
        <f t="shared" si="191"/>
        <v>2017</v>
      </c>
      <c r="E3536" s="2">
        <f t="shared" si="192"/>
        <v>8</v>
      </c>
      <c r="F3536" s="3" t="s">
        <v>179</v>
      </c>
      <c r="G3536" s="4">
        <v>42962</v>
      </c>
      <c r="H3536" s="1">
        <v>6606035</v>
      </c>
      <c r="I3536" s="1">
        <v>1615620</v>
      </c>
      <c r="J3536" s="1" t="s">
        <v>187</v>
      </c>
      <c r="K3536" s="1"/>
      <c r="L3536" s="1" t="str">
        <f t="shared" si="190"/>
        <v xml:space="preserve">Oxundasjön </v>
      </c>
      <c r="M3536" s="1" t="s">
        <v>255</v>
      </c>
      <c r="N3536" s="1">
        <v>2</v>
      </c>
      <c r="O3536" s="1">
        <v>0</v>
      </c>
    </row>
    <row r="3537" spans="1:38" x14ac:dyDescent="0.3">
      <c r="A3537" s="1">
        <v>59177</v>
      </c>
      <c r="B3537" s="1" t="s">
        <v>254</v>
      </c>
      <c r="C3537" s="1" t="s">
        <v>231</v>
      </c>
      <c r="D3537" s="2">
        <f t="shared" si="191"/>
        <v>2017</v>
      </c>
      <c r="E3537" s="2">
        <f t="shared" si="192"/>
        <v>8</v>
      </c>
      <c r="F3537" s="3" t="s">
        <v>179</v>
      </c>
      <c r="G3537" s="4">
        <v>42962</v>
      </c>
      <c r="H3537" s="1">
        <v>6599245</v>
      </c>
      <c r="I3537" s="1">
        <v>1622345</v>
      </c>
      <c r="J3537" s="1" t="s">
        <v>186</v>
      </c>
      <c r="K3537" s="1" t="s">
        <v>211</v>
      </c>
      <c r="L3537" s="1" t="str">
        <f t="shared" si="190"/>
        <v>Norrviken 1</v>
      </c>
      <c r="M3537" s="1" t="s">
        <v>177</v>
      </c>
      <c r="N3537" s="1">
        <v>0.5</v>
      </c>
      <c r="O3537" s="1">
        <v>0.5</v>
      </c>
      <c r="P3537" s="1">
        <v>1</v>
      </c>
      <c r="Q3537" s="1">
        <v>20.2</v>
      </c>
      <c r="R3537" s="1">
        <v>11.4</v>
      </c>
      <c r="S3537" s="1">
        <v>124</v>
      </c>
      <c r="V3537" s="1">
        <v>2.6294016</v>
      </c>
      <c r="W3537" s="1">
        <v>5.2690999999999999</v>
      </c>
      <c r="X3537" s="1">
        <v>0.58174069046320198</v>
      </c>
      <c r="Y3537" s="1">
        <v>4.7E-2</v>
      </c>
      <c r="Z3537" s="1">
        <v>6.28</v>
      </c>
      <c r="AA3537" s="1">
        <v>10.7</v>
      </c>
      <c r="AB3537" s="1">
        <v>52.03566</v>
      </c>
      <c r="AD3537" s="1">
        <v>0.43</v>
      </c>
      <c r="AE3537" s="1">
        <v>8.49</v>
      </c>
      <c r="AK3537" s="1">
        <v>99.52</v>
      </c>
      <c r="AL3537" s="1">
        <v>1183.25</v>
      </c>
    </row>
    <row r="3538" spans="1:38" x14ac:dyDescent="0.3">
      <c r="A3538" s="1">
        <v>59178</v>
      </c>
      <c r="B3538" s="1" t="s">
        <v>254</v>
      </c>
      <c r="C3538" s="1" t="s">
        <v>231</v>
      </c>
      <c r="D3538" s="2">
        <f t="shared" si="191"/>
        <v>2017</v>
      </c>
      <c r="E3538" s="2">
        <f t="shared" si="192"/>
        <v>8</v>
      </c>
      <c r="F3538" s="3" t="s">
        <v>179</v>
      </c>
      <c r="G3538" s="4">
        <v>42962</v>
      </c>
      <c r="H3538" s="1">
        <v>6599245</v>
      </c>
      <c r="I3538" s="1">
        <v>1622345</v>
      </c>
      <c r="J3538" s="1" t="s">
        <v>186</v>
      </c>
      <c r="K3538" s="1" t="s">
        <v>211</v>
      </c>
      <c r="L3538" s="1" t="str">
        <f t="shared" si="190"/>
        <v>Norrviken 1</v>
      </c>
      <c r="M3538" s="1" t="s">
        <v>211</v>
      </c>
      <c r="N3538" s="1">
        <v>1</v>
      </c>
      <c r="O3538" s="1">
        <v>1</v>
      </c>
      <c r="Q3538" s="1">
        <v>20.100000000000001</v>
      </c>
      <c r="R3538" s="1">
        <v>10.7</v>
      </c>
      <c r="S3538" s="1">
        <v>117</v>
      </c>
    </row>
    <row r="3539" spans="1:38" x14ac:dyDescent="0.3">
      <c r="A3539" s="1">
        <v>59179</v>
      </c>
      <c r="B3539" s="1" t="s">
        <v>254</v>
      </c>
      <c r="C3539" s="1" t="s">
        <v>231</v>
      </c>
      <c r="D3539" s="2">
        <f t="shared" si="191"/>
        <v>2017</v>
      </c>
      <c r="E3539" s="2">
        <f t="shared" si="192"/>
        <v>8</v>
      </c>
      <c r="F3539" s="3" t="s">
        <v>179</v>
      </c>
      <c r="G3539" s="4">
        <v>42962</v>
      </c>
      <c r="H3539" s="1">
        <v>6599245</v>
      </c>
      <c r="I3539" s="1">
        <v>1622345</v>
      </c>
      <c r="J3539" s="1" t="s">
        <v>186</v>
      </c>
      <c r="K3539" s="1" t="s">
        <v>211</v>
      </c>
      <c r="L3539" s="1" t="str">
        <f t="shared" si="190"/>
        <v>Norrviken 1</v>
      </c>
      <c r="M3539" s="1" t="s">
        <v>212</v>
      </c>
      <c r="N3539" s="1">
        <v>2</v>
      </c>
      <c r="O3539" s="1">
        <v>2</v>
      </c>
      <c r="Q3539" s="1">
        <v>19.600000000000001</v>
      </c>
      <c r="R3539" s="1">
        <v>8.6999999999999993</v>
      </c>
      <c r="S3539" s="1">
        <v>94</v>
      </c>
    </row>
    <row r="3540" spans="1:38" x14ac:dyDescent="0.3">
      <c r="A3540" s="1">
        <v>59180</v>
      </c>
      <c r="B3540" s="1" t="s">
        <v>254</v>
      </c>
      <c r="C3540" s="1" t="s">
        <v>231</v>
      </c>
      <c r="D3540" s="2">
        <f t="shared" si="191"/>
        <v>2017</v>
      </c>
      <c r="E3540" s="2">
        <f t="shared" si="192"/>
        <v>8</v>
      </c>
      <c r="F3540" s="3" t="s">
        <v>179</v>
      </c>
      <c r="G3540" s="4">
        <v>42962</v>
      </c>
      <c r="H3540" s="1">
        <v>6599245</v>
      </c>
      <c r="I3540" s="1">
        <v>1622345</v>
      </c>
      <c r="J3540" s="1" t="s">
        <v>186</v>
      </c>
      <c r="K3540" s="1" t="s">
        <v>211</v>
      </c>
      <c r="L3540" s="1" t="str">
        <f t="shared" si="190"/>
        <v>Norrviken 1</v>
      </c>
      <c r="M3540" s="1" t="s">
        <v>184</v>
      </c>
      <c r="N3540" s="1">
        <v>2.5</v>
      </c>
      <c r="O3540" s="1">
        <v>2.5</v>
      </c>
      <c r="Q3540" s="1">
        <v>19.399999999999999</v>
      </c>
      <c r="R3540" s="1">
        <v>7.5</v>
      </c>
      <c r="S3540" s="1">
        <v>80</v>
      </c>
      <c r="V3540" s="1">
        <v>2.7667584000000001</v>
      </c>
      <c r="W3540" s="1">
        <v>6.0091000000000001</v>
      </c>
      <c r="X3540" s="1">
        <v>0.4132556669694068</v>
      </c>
      <c r="Y3540" s="1">
        <v>4.7E-2</v>
      </c>
      <c r="Z3540" s="1">
        <v>13.16</v>
      </c>
      <c r="AA3540" s="1">
        <v>10.6</v>
      </c>
      <c r="AD3540" s="1">
        <v>0</v>
      </c>
      <c r="AE3540" s="1">
        <v>8.2899999999999991</v>
      </c>
      <c r="AK3540" s="1">
        <v>105.85</v>
      </c>
      <c r="AL3540" s="1">
        <v>1135.27</v>
      </c>
    </row>
    <row r="3541" spans="1:38" x14ac:dyDescent="0.3">
      <c r="A3541" s="1">
        <v>59181</v>
      </c>
      <c r="B3541" s="1" t="s">
        <v>254</v>
      </c>
      <c r="C3541" s="1" t="s">
        <v>231</v>
      </c>
      <c r="D3541" s="2">
        <f t="shared" si="191"/>
        <v>2017</v>
      </c>
      <c r="E3541" s="2">
        <f t="shared" si="192"/>
        <v>8</v>
      </c>
      <c r="F3541" s="3" t="s">
        <v>179</v>
      </c>
      <c r="G3541" s="4">
        <v>42962</v>
      </c>
      <c r="H3541" s="1">
        <v>6599245</v>
      </c>
      <c r="I3541" s="1">
        <v>1622345</v>
      </c>
      <c r="J3541" s="1" t="s">
        <v>186</v>
      </c>
      <c r="K3541" s="1" t="s">
        <v>211</v>
      </c>
      <c r="L3541" s="1" t="str">
        <f t="shared" si="190"/>
        <v>Norrviken 1</v>
      </c>
      <c r="M3541" s="1" t="s">
        <v>225</v>
      </c>
      <c r="N3541" s="1">
        <v>2</v>
      </c>
      <c r="O3541" s="1">
        <v>0</v>
      </c>
    </row>
    <row r="3542" spans="1:38" x14ac:dyDescent="0.3">
      <c r="A3542" s="1">
        <v>59182</v>
      </c>
      <c r="B3542" s="1" t="s">
        <v>254</v>
      </c>
      <c r="C3542" s="1" t="s">
        <v>231</v>
      </c>
      <c r="D3542" s="2">
        <f t="shared" si="191"/>
        <v>2017</v>
      </c>
      <c r="E3542" s="2">
        <f t="shared" si="192"/>
        <v>8</v>
      </c>
      <c r="F3542" s="3" t="s">
        <v>179</v>
      </c>
      <c r="G3542" s="4">
        <v>42962</v>
      </c>
      <c r="H3542" s="1">
        <v>6596620</v>
      </c>
      <c r="I3542" s="1">
        <v>1620350</v>
      </c>
      <c r="J3542" s="1" t="s">
        <v>186</v>
      </c>
      <c r="K3542" s="1" t="s">
        <v>212</v>
      </c>
      <c r="L3542" s="1" t="str">
        <f t="shared" si="190"/>
        <v>Norrviken 2</v>
      </c>
      <c r="M3542" s="1" t="s">
        <v>177</v>
      </c>
      <c r="N3542" s="1">
        <v>0.5</v>
      </c>
      <c r="O3542" s="1">
        <v>0.5</v>
      </c>
      <c r="P3542" s="1">
        <v>2.7</v>
      </c>
      <c r="Q3542" s="1">
        <v>20.399999999999999</v>
      </c>
      <c r="R3542" s="1">
        <v>9.3000000000000007</v>
      </c>
      <c r="S3542" s="1">
        <v>102</v>
      </c>
      <c r="V3542" s="1">
        <v>2.6294016</v>
      </c>
      <c r="W3542" s="1">
        <v>2.1890000000000001</v>
      </c>
      <c r="X3542" s="1">
        <v>0.22089678514686006</v>
      </c>
      <c r="Y3542" s="1">
        <v>3.2000000000000001E-2</v>
      </c>
      <c r="Z3542" s="1">
        <v>25.69</v>
      </c>
      <c r="AA3542" s="1">
        <v>3.3</v>
      </c>
      <c r="AB3542" s="1">
        <v>12.498412500000001</v>
      </c>
      <c r="AD3542" s="1">
        <v>0</v>
      </c>
      <c r="AE3542" s="1">
        <v>8.44</v>
      </c>
      <c r="AK3542" s="1">
        <v>62.64</v>
      </c>
      <c r="AL3542" s="1">
        <v>768.76</v>
      </c>
    </row>
    <row r="3543" spans="1:38" x14ac:dyDescent="0.3">
      <c r="A3543" s="1">
        <v>59183</v>
      </c>
      <c r="B3543" s="1" t="s">
        <v>254</v>
      </c>
      <c r="C3543" s="1" t="s">
        <v>231</v>
      </c>
      <c r="D3543" s="2">
        <f t="shared" si="191"/>
        <v>2017</v>
      </c>
      <c r="E3543" s="2">
        <f t="shared" si="192"/>
        <v>8</v>
      </c>
      <c r="F3543" s="3" t="s">
        <v>179</v>
      </c>
      <c r="G3543" s="4">
        <v>42962</v>
      </c>
      <c r="H3543" s="1">
        <v>6596620</v>
      </c>
      <c r="I3543" s="1">
        <v>1620350</v>
      </c>
      <c r="J3543" s="1" t="s">
        <v>186</v>
      </c>
      <c r="K3543" s="1" t="s">
        <v>212</v>
      </c>
      <c r="L3543" s="1" t="str">
        <f t="shared" si="190"/>
        <v>Norrviken 2</v>
      </c>
      <c r="M3543" s="1" t="s">
        <v>211</v>
      </c>
      <c r="N3543" s="1">
        <v>1</v>
      </c>
      <c r="O3543" s="1">
        <v>1</v>
      </c>
      <c r="Q3543" s="1">
        <v>20.399999999999999</v>
      </c>
      <c r="R3543" s="1">
        <v>9.3000000000000007</v>
      </c>
      <c r="S3543" s="1">
        <v>102</v>
      </c>
    </row>
    <row r="3544" spans="1:38" x14ac:dyDescent="0.3">
      <c r="A3544" s="1">
        <v>59184</v>
      </c>
      <c r="B3544" s="1" t="s">
        <v>254</v>
      </c>
      <c r="C3544" s="1" t="s">
        <v>231</v>
      </c>
      <c r="D3544" s="2">
        <f t="shared" si="191"/>
        <v>2017</v>
      </c>
      <c r="E3544" s="2">
        <f t="shared" si="192"/>
        <v>8</v>
      </c>
      <c r="F3544" s="3" t="s">
        <v>179</v>
      </c>
      <c r="G3544" s="4">
        <v>42962</v>
      </c>
      <c r="H3544" s="1">
        <v>6596620</v>
      </c>
      <c r="I3544" s="1">
        <v>1620350</v>
      </c>
      <c r="J3544" s="1" t="s">
        <v>186</v>
      </c>
      <c r="K3544" s="1" t="s">
        <v>212</v>
      </c>
      <c r="L3544" s="1" t="str">
        <f t="shared" si="190"/>
        <v>Norrviken 2</v>
      </c>
      <c r="M3544" s="1" t="s">
        <v>212</v>
      </c>
      <c r="N3544" s="1">
        <v>2</v>
      </c>
      <c r="O3544" s="1">
        <v>2</v>
      </c>
      <c r="Q3544" s="1">
        <v>20.100000000000001</v>
      </c>
      <c r="R3544" s="1">
        <v>8.6</v>
      </c>
      <c r="S3544" s="1">
        <v>94</v>
      </c>
    </row>
    <row r="3545" spans="1:38" x14ac:dyDescent="0.3">
      <c r="A3545" s="1">
        <v>59185</v>
      </c>
      <c r="B3545" s="1" t="s">
        <v>254</v>
      </c>
      <c r="C3545" s="1" t="s">
        <v>231</v>
      </c>
      <c r="D3545" s="2">
        <f t="shared" si="191"/>
        <v>2017</v>
      </c>
      <c r="E3545" s="2">
        <f t="shared" si="192"/>
        <v>8</v>
      </c>
      <c r="F3545" s="3" t="s">
        <v>179</v>
      </c>
      <c r="G3545" s="4">
        <v>42962</v>
      </c>
      <c r="H3545" s="1">
        <v>6596620</v>
      </c>
      <c r="I3545" s="1">
        <v>1620350</v>
      </c>
      <c r="J3545" s="1" t="s">
        <v>186</v>
      </c>
      <c r="K3545" s="1" t="s">
        <v>212</v>
      </c>
      <c r="L3545" s="1" t="str">
        <f t="shared" si="190"/>
        <v>Norrviken 2</v>
      </c>
      <c r="M3545" s="1" t="s">
        <v>213</v>
      </c>
      <c r="N3545" s="1">
        <v>3</v>
      </c>
      <c r="O3545" s="1">
        <v>3</v>
      </c>
      <c r="Q3545" s="1">
        <v>19.899999999999999</v>
      </c>
      <c r="R3545" s="1">
        <v>8.4</v>
      </c>
      <c r="S3545" s="1">
        <v>92</v>
      </c>
    </row>
    <row r="3546" spans="1:38" x14ac:dyDescent="0.3">
      <c r="A3546" s="1">
        <v>59186</v>
      </c>
      <c r="B3546" s="1" t="s">
        <v>254</v>
      </c>
      <c r="C3546" s="1" t="s">
        <v>231</v>
      </c>
      <c r="D3546" s="2">
        <f t="shared" si="191"/>
        <v>2017</v>
      </c>
      <c r="E3546" s="2">
        <f t="shared" si="192"/>
        <v>8</v>
      </c>
      <c r="F3546" s="3" t="s">
        <v>179</v>
      </c>
      <c r="G3546" s="4">
        <v>42962</v>
      </c>
      <c r="H3546" s="1">
        <v>6596620</v>
      </c>
      <c r="I3546" s="1">
        <v>1620350</v>
      </c>
      <c r="J3546" s="1" t="s">
        <v>186</v>
      </c>
      <c r="K3546" s="1" t="s">
        <v>212</v>
      </c>
      <c r="L3546" s="1" t="str">
        <f t="shared" si="190"/>
        <v>Norrviken 2</v>
      </c>
      <c r="M3546" s="1" t="s">
        <v>214</v>
      </c>
      <c r="N3546" s="1">
        <v>4</v>
      </c>
      <c r="O3546" s="1">
        <v>4</v>
      </c>
      <c r="Q3546" s="1">
        <v>19.8</v>
      </c>
      <c r="R3546" s="1">
        <v>8.1</v>
      </c>
      <c r="S3546" s="1">
        <v>87</v>
      </c>
    </row>
    <row r="3547" spans="1:38" x14ac:dyDescent="0.3">
      <c r="A3547" s="1">
        <v>59187</v>
      </c>
      <c r="B3547" s="1" t="s">
        <v>254</v>
      </c>
      <c r="C3547" s="1" t="s">
        <v>231</v>
      </c>
      <c r="D3547" s="2">
        <f t="shared" si="191"/>
        <v>2017</v>
      </c>
      <c r="E3547" s="2">
        <f t="shared" si="192"/>
        <v>8</v>
      </c>
      <c r="F3547" s="3" t="s">
        <v>179</v>
      </c>
      <c r="G3547" s="4">
        <v>42962</v>
      </c>
      <c r="H3547" s="1">
        <v>6596620</v>
      </c>
      <c r="I3547" s="1">
        <v>1620350</v>
      </c>
      <c r="J3547" s="1" t="s">
        <v>186</v>
      </c>
      <c r="K3547" s="1" t="s">
        <v>212</v>
      </c>
      <c r="L3547" s="1" t="str">
        <f t="shared" si="190"/>
        <v>Norrviken 2</v>
      </c>
      <c r="M3547" s="1" t="s">
        <v>217</v>
      </c>
      <c r="N3547" s="1">
        <v>5</v>
      </c>
      <c r="O3547" s="1">
        <v>5</v>
      </c>
      <c r="Q3547" s="1">
        <v>19.7</v>
      </c>
      <c r="R3547" s="1">
        <v>7.2</v>
      </c>
      <c r="S3547" s="1">
        <v>78</v>
      </c>
    </row>
    <row r="3548" spans="1:38" x14ac:dyDescent="0.3">
      <c r="A3548" s="1">
        <v>59188</v>
      </c>
      <c r="B3548" s="1" t="s">
        <v>254</v>
      </c>
      <c r="C3548" s="1" t="s">
        <v>231</v>
      </c>
      <c r="D3548" s="2">
        <f t="shared" si="191"/>
        <v>2017</v>
      </c>
      <c r="E3548" s="2">
        <f t="shared" si="192"/>
        <v>8</v>
      </c>
      <c r="F3548" s="3" t="s">
        <v>179</v>
      </c>
      <c r="G3548" s="4">
        <v>42962</v>
      </c>
      <c r="H3548" s="1">
        <v>6596620</v>
      </c>
      <c r="I3548" s="1">
        <v>1620350</v>
      </c>
      <c r="J3548" s="1" t="s">
        <v>186</v>
      </c>
      <c r="K3548" s="1" t="s">
        <v>212</v>
      </c>
      <c r="L3548" s="1" t="str">
        <f t="shared" si="190"/>
        <v>Norrviken 2</v>
      </c>
      <c r="M3548" s="1" t="s">
        <v>218</v>
      </c>
      <c r="N3548" s="1">
        <v>6</v>
      </c>
      <c r="O3548" s="1">
        <v>6</v>
      </c>
      <c r="Q3548" s="1">
        <v>19.399999999999999</v>
      </c>
      <c r="R3548" s="1">
        <v>7.2</v>
      </c>
      <c r="S3548" s="1">
        <v>78</v>
      </c>
    </row>
    <row r="3549" spans="1:38" x14ac:dyDescent="0.3">
      <c r="A3549" s="1">
        <v>59189</v>
      </c>
      <c r="B3549" s="1" t="s">
        <v>254</v>
      </c>
      <c r="C3549" s="1" t="s">
        <v>231</v>
      </c>
      <c r="D3549" s="2">
        <f t="shared" si="191"/>
        <v>2017</v>
      </c>
      <c r="E3549" s="2">
        <f t="shared" si="192"/>
        <v>8</v>
      </c>
      <c r="F3549" s="3" t="s">
        <v>179</v>
      </c>
      <c r="G3549" s="4">
        <v>42962</v>
      </c>
      <c r="H3549" s="1">
        <v>6596620</v>
      </c>
      <c r="I3549" s="1">
        <v>1620350</v>
      </c>
      <c r="J3549" s="1" t="s">
        <v>186</v>
      </c>
      <c r="K3549" s="1" t="s">
        <v>212</v>
      </c>
      <c r="L3549" s="1" t="str">
        <f t="shared" si="190"/>
        <v>Norrviken 2</v>
      </c>
      <c r="M3549" s="1" t="s">
        <v>219</v>
      </c>
      <c r="N3549" s="1">
        <v>7</v>
      </c>
      <c r="O3549" s="1">
        <v>7</v>
      </c>
      <c r="Q3549" s="1">
        <v>18.7</v>
      </c>
      <c r="R3549" s="1">
        <v>3.2</v>
      </c>
      <c r="S3549" s="1">
        <v>34</v>
      </c>
    </row>
    <row r="3550" spans="1:38" x14ac:dyDescent="0.3">
      <c r="A3550" s="1">
        <v>59190</v>
      </c>
      <c r="B3550" s="1" t="s">
        <v>254</v>
      </c>
      <c r="C3550" s="1" t="s">
        <v>231</v>
      </c>
      <c r="D3550" s="2">
        <f t="shared" si="191"/>
        <v>2017</v>
      </c>
      <c r="E3550" s="2">
        <f t="shared" si="192"/>
        <v>8</v>
      </c>
      <c r="F3550" s="3" t="s">
        <v>179</v>
      </c>
      <c r="G3550" s="4">
        <v>42962</v>
      </c>
      <c r="H3550" s="1">
        <v>6596620</v>
      </c>
      <c r="I3550" s="1">
        <v>1620350</v>
      </c>
      <c r="J3550" s="1" t="s">
        <v>186</v>
      </c>
      <c r="K3550" s="1" t="s">
        <v>212</v>
      </c>
      <c r="L3550" s="1" t="str">
        <f t="shared" si="190"/>
        <v>Norrviken 2</v>
      </c>
      <c r="M3550" s="1" t="s">
        <v>220</v>
      </c>
      <c r="N3550" s="1">
        <v>8</v>
      </c>
      <c r="O3550" s="1">
        <v>8</v>
      </c>
      <c r="Q3550" s="1">
        <v>17.600000000000001</v>
      </c>
      <c r="R3550" s="1">
        <v>0.1</v>
      </c>
      <c r="S3550" s="1">
        <v>1</v>
      </c>
    </row>
    <row r="3551" spans="1:38" x14ac:dyDescent="0.3">
      <c r="A3551" s="1">
        <v>59191</v>
      </c>
      <c r="B3551" s="1" t="s">
        <v>254</v>
      </c>
      <c r="C3551" s="1" t="s">
        <v>231</v>
      </c>
      <c r="D3551" s="2">
        <f t="shared" si="191"/>
        <v>2017</v>
      </c>
      <c r="E3551" s="2">
        <f t="shared" si="192"/>
        <v>8</v>
      </c>
      <c r="F3551" s="3" t="s">
        <v>179</v>
      </c>
      <c r="G3551" s="4">
        <v>42962</v>
      </c>
      <c r="H3551" s="1">
        <v>6596620</v>
      </c>
      <c r="I3551" s="1">
        <v>1620350</v>
      </c>
      <c r="J3551" s="1" t="s">
        <v>186</v>
      </c>
      <c r="K3551" s="1" t="s">
        <v>212</v>
      </c>
      <c r="L3551" s="1" t="str">
        <f t="shared" si="190"/>
        <v>Norrviken 2</v>
      </c>
      <c r="M3551" s="1" t="s">
        <v>184</v>
      </c>
      <c r="N3551" s="1">
        <v>9</v>
      </c>
      <c r="O3551" s="1">
        <v>9</v>
      </c>
      <c r="Q3551" s="1">
        <v>16.899999999999999</v>
      </c>
      <c r="R3551" s="1">
        <v>0.1</v>
      </c>
      <c r="S3551" s="1">
        <v>1</v>
      </c>
      <c r="V3551" s="1">
        <v>2.6686464000000001</v>
      </c>
      <c r="W3551" s="1">
        <v>174.30590000000001</v>
      </c>
      <c r="X3551" s="1">
        <v>5.3183641731558016</v>
      </c>
      <c r="Y3551" s="1">
        <v>4.2000000000000003E-2</v>
      </c>
      <c r="Z3551" s="1">
        <v>117.65</v>
      </c>
      <c r="AA3551" s="1">
        <v>6.7</v>
      </c>
      <c r="AD3551" s="1">
        <v>3.2</v>
      </c>
      <c r="AE3551" s="1">
        <v>8</v>
      </c>
      <c r="AK3551" s="1">
        <v>154.55000000000001</v>
      </c>
      <c r="AL3551" s="1">
        <v>882.53</v>
      </c>
    </row>
    <row r="3552" spans="1:38" x14ac:dyDescent="0.3">
      <c r="A3552" s="1">
        <v>59528</v>
      </c>
      <c r="B3552" s="1" t="s">
        <v>254</v>
      </c>
      <c r="C3552" s="1" t="s">
        <v>231</v>
      </c>
      <c r="D3552" s="2">
        <f t="shared" si="191"/>
        <v>2017</v>
      </c>
      <c r="E3552" s="2">
        <f t="shared" si="192"/>
        <v>8</v>
      </c>
      <c r="F3552" s="3" t="s">
        <v>179</v>
      </c>
      <c r="G3552" s="4">
        <v>42962</v>
      </c>
      <c r="H3552" s="1">
        <v>6594885</v>
      </c>
      <c r="I3552" s="1">
        <v>1620750</v>
      </c>
      <c r="J3552" s="1" t="s">
        <v>186</v>
      </c>
      <c r="K3552" s="1" t="s">
        <v>212</v>
      </c>
      <c r="L3552" s="1" t="str">
        <f t="shared" si="190"/>
        <v>Norrviken 2</v>
      </c>
      <c r="M3552" s="1" t="s">
        <v>243</v>
      </c>
      <c r="N3552" s="1">
        <v>6</v>
      </c>
      <c r="O3552" s="1">
        <v>0</v>
      </c>
    </row>
    <row r="3553" spans="1:38" x14ac:dyDescent="0.3">
      <c r="A3553" s="1">
        <v>59192</v>
      </c>
      <c r="B3553" s="1" t="s">
        <v>254</v>
      </c>
      <c r="C3553" s="1" t="s">
        <v>231</v>
      </c>
      <c r="D3553" s="2">
        <f t="shared" si="191"/>
        <v>2017</v>
      </c>
      <c r="E3553" s="2">
        <f t="shared" si="192"/>
        <v>8</v>
      </c>
      <c r="F3553" s="3" t="s">
        <v>179</v>
      </c>
      <c r="G3553" s="4">
        <v>42962</v>
      </c>
      <c r="H3553" s="1">
        <v>6594885</v>
      </c>
      <c r="I3553" s="1">
        <v>1620750</v>
      </c>
      <c r="J3553" s="1" t="s">
        <v>186</v>
      </c>
      <c r="K3553" s="1" t="s">
        <v>213</v>
      </c>
      <c r="L3553" s="1" t="str">
        <f t="shared" si="190"/>
        <v>Norrviken 3</v>
      </c>
      <c r="M3553" s="1" t="s">
        <v>177</v>
      </c>
      <c r="N3553" s="1">
        <v>0.5</v>
      </c>
      <c r="O3553" s="1">
        <v>0.5</v>
      </c>
      <c r="P3553" s="1">
        <v>2.6</v>
      </c>
      <c r="Q3553" s="1">
        <v>20.2</v>
      </c>
      <c r="R3553" s="1">
        <v>9.1999999999999993</v>
      </c>
      <c r="S3553" s="1">
        <v>101</v>
      </c>
      <c r="V3553" s="1">
        <v>2.6097792000000002</v>
      </c>
      <c r="W3553" s="1">
        <v>2.4460999999999999</v>
      </c>
      <c r="X3553" s="1">
        <v>0.21494662129362282</v>
      </c>
      <c r="Y3553" s="1">
        <v>3.2000000000000001E-2</v>
      </c>
      <c r="Z3553" s="1">
        <v>27</v>
      </c>
      <c r="AA3553" s="1">
        <v>2.8</v>
      </c>
      <c r="AB3553" s="1">
        <v>13.080870000000001</v>
      </c>
      <c r="AD3553" s="1">
        <v>0</v>
      </c>
      <c r="AE3553" s="1">
        <v>8.3800000000000008</v>
      </c>
      <c r="AK3553" s="1">
        <v>60.15</v>
      </c>
      <c r="AL3553" s="1">
        <v>721.43</v>
      </c>
    </row>
    <row r="3554" spans="1:38" x14ac:dyDescent="0.3">
      <c r="A3554" s="1">
        <v>59193</v>
      </c>
      <c r="B3554" s="1" t="s">
        <v>254</v>
      </c>
      <c r="C3554" s="1" t="s">
        <v>231</v>
      </c>
      <c r="D3554" s="2">
        <f t="shared" si="191"/>
        <v>2017</v>
      </c>
      <c r="E3554" s="2">
        <f t="shared" si="192"/>
        <v>8</v>
      </c>
      <c r="F3554" s="3" t="s">
        <v>179</v>
      </c>
      <c r="G3554" s="4">
        <v>42962</v>
      </c>
      <c r="H3554" s="1">
        <v>6594885</v>
      </c>
      <c r="I3554" s="1">
        <v>1620750</v>
      </c>
      <c r="J3554" s="1" t="s">
        <v>186</v>
      </c>
      <c r="K3554" s="1" t="s">
        <v>213</v>
      </c>
      <c r="L3554" s="1" t="str">
        <f t="shared" si="190"/>
        <v>Norrviken 3</v>
      </c>
      <c r="M3554" s="1" t="s">
        <v>211</v>
      </c>
      <c r="N3554" s="1">
        <v>1</v>
      </c>
      <c r="O3554" s="1">
        <v>1</v>
      </c>
      <c r="Q3554" s="1">
        <v>20.2</v>
      </c>
      <c r="R3554" s="1">
        <v>9.1999999999999993</v>
      </c>
      <c r="S3554" s="1">
        <v>101</v>
      </c>
    </row>
    <row r="3555" spans="1:38" x14ac:dyDescent="0.3">
      <c r="A3555" s="1">
        <v>59194</v>
      </c>
      <c r="B3555" s="1" t="s">
        <v>254</v>
      </c>
      <c r="C3555" s="1" t="s">
        <v>231</v>
      </c>
      <c r="D3555" s="2">
        <f t="shared" si="191"/>
        <v>2017</v>
      </c>
      <c r="E3555" s="2">
        <f t="shared" si="192"/>
        <v>8</v>
      </c>
      <c r="F3555" s="3" t="s">
        <v>179</v>
      </c>
      <c r="G3555" s="4">
        <v>42962</v>
      </c>
      <c r="H3555" s="1">
        <v>6594885</v>
      </c>
      <c r="I3555" s="1">
        <v>1620750</v>
      </c>
      <c r="J3555" s="1" t="s">
        <v>186</v>
      </c>
      <c r="K3555" s="1" t="s">
        <v>213</v>
      </c>
      <c r="L3555" s="1" t="str">
        <f t="shared" si="190"/>
        <v>Norrviken 3</v>
      </c>
      <c r="M3555" s="1" t="s">
        <v>212</v>
      </c>
      <c r="N3555" s="1">
        <v>2</v>
      </c>
      <c r="O3555" s="1">
        <v>2</v>
      </c>
      <c r="Q3555" s="1">
        <v>19.7</v>
      </c>
      <c r="R3555" s="1">
        <v>8.6999999999999993</v>
      </c>
      <c r="S3555" s="1">
        <v>94</v>
      </c>
    </row>
    <row r="3556" spans="1:38" x14ac:dyDescent="0.3">
      <c r="A3556" s="1">
        <v>59195</v>
      </c>
      <c r="B3556" s="1" t="s">
        <v>254</v>
      </c>
      <c r="C3556" s="1" t="s">
        <v>231</v>
      </c>
      <c r="D3556" s="2">
        <f t="shared" si="191"/>
        <v>2017</v>
      </c>
      <c r="E3556" s="2">
        <f t="shared" si="192"/>
        <v>8</v>
      </c>
      <c r="F3556" s="3" t="s">
        <v>179</v>
      </c>
      <c r="G3556" s="4">
        <v>42962</v>
      </c>
      <c r="H3556" s="1">
        <v>6594885</v>
      </c>
      <c r="I3556" s="1">
        <v>1620750</v>
      </c>
      <c r="J3556" s="1" t="s">
        <v>186</v>
      </c>
      <c r="K3556" s="1" t="s">
        <v>213</v>
      </c>
      <c r="L3556" s="1" t="str">
        <f t="shared" si="190"/>
        <v>Norrviken 3</v>
      </c>
      <c r="M3556" s="1" t="s">
        <v>213</v>
      </c>
      <c r="N3556" s="1">
        <v>3</v>
      </c>
      <c r="O3556" s="1">
        <v>3</v>
      </c>
      <c r="Q3556" s="1">
        <v>19.600000000000001</v>
      </c>
      <c r="R3556" s="1">
        <v>8.5</v>
      </c>
      <c r="S3556" s="1">
        <v>92</v>
      </c>
    </row>
    <row r="3557" spans="1:38" x14ac:dyDescent="0.3">
      <c r="A3557" s="1">
        <v>59196</v>
      </c>
      <c r="B3557" s="1" t="s">
        <v>254</v>
      </c>
      <c r="C3557" s="1" t="s">
        <v>231</v>
      </c>
      <c r="D3557" s="2">
        <f t="shared" si="191"/>
        <v>2017</v>
      </c>
      <c r="E3557" s="2">
        <f t="shared" si="192"/>
        <v>8</v>
      </c>
      <c r="F3557" s="3" t="s">
        <v>179</v>
      </c>
      <c r="G3557" s="4">
        <v>42962</v>
      </c>
      <c r="H3557" s="1">
        <v>6594885</v>
      </c>
      <c r="I3557" s="1">
        <v>1620750</v>
      </c>
      <c r="J3557" s="1" t="s">
        <v>186</v>
      </c>
      <c r="K3557" s="1" t="s">
        <v>213</v>
      </c>
      <c r="L3557" s="1" t="str">
        <f t="shared" si="190"/>
        <v>Norrviken 3</v>
      </c>
      <c r="M3557" s="1" t="s">
        <v>214</v>
      </c>
      <c r="N3557" s="1">
        <v>4</v>
      </c>
      <c r="O3557" s="1">
        <v>4</v>
      </c>
      <c r="Q3557" s="1">
        <v>19.600000000000001</v>
      </c>
      <c r="R3557" s="1">
        <v>8.6</v>
      </c>
      <c r="S3557" s="1">
        <v>93</v>
      </c>
    </row>
    <row r="3558" spans="1:38" x14ac:dyDescent="0.3">
      <c r="A3558" s="1">
        <v>59197</v>
      </c>
      <c r="B3558" s="1" t="s">
        <v>254</v>
      </c>
      <c r="C3558" s="1" t="s">
        <v>231</v>
      </c>
      <c r="D3558" s="2">
        <f t="shared" si="191"/>
        <v>2017</v>
      </c>
      <c r="E3558" s="2">
        <f t="shared" si="192"/>
        <v>8</v>
      </c>
      <c r="F3558" s="3" t="s">
        <v>179</v>
      </c>
      <c r="G3558" s="4">
        <v>42962</v>
      </c>
      <c r="H3558" s="1">
        <v>6594885</v>
      </c>
      <c r="I3558" s="1">
        <v>1620750</v>
      </c>
      <c r="J3558" s="1" t="s">
        <v>186</v>
      </c>
      <c r="K3558" s="1" t="s">
        <v>213</v>
      </c>
      <c r="L3558" s="1" t="str">
        <f t="shared" si="190"/>
        <v>Norrviken 3</v>
      </c>
      <c r="M3558" s="1" t="s">
        <v>217</v>
      </c>
      <c r="N3558" s="1">
        <v>5</v>
      </c>
      <c r="O3558" s="1">
        <v>5</v>
      </c>
      <c r="Q3558" s="1">
        <v>19.5</v>
      </c>
      <c r="R3558" s="1">
        <v>8.4</v>
      </c>
      <c r="S3558" s="1">
        <v>90</v>
      </c>
    </row>
    <row r="3559" spans="1:38" x14ac:dyDescent="0.3">
      <c r="A3559" s="1">
        <v>59198</v>
      </c>
      <c r="B3559" s="1" t="s">
        <v>254</v>
      </c>
      <c r="C3559" s="1" t="s">
        <v>231</v>
      </c>
      <c r="D3559" s="2">
        <f t="shared" si="191"/>
        <v>2017</v>
      </c>
      <c r="E3559" s="2">
        <f t="shared" si="192"/>
        <v>8</v>
      </c>
      <c r="F3559" s="3" t="s">
        <v>179</v>
      </c>
      <c r="G3559" s="4">
        <v>42962</v>
      </c>
      <c r="H3559" s="1">
        <v>6594885</v>
      </c>
      <c r="I3559" s="1">
        <v>1620750</v>
      </c>
      <c r="J3559" s="1" t="s">
        <v>186</v>
      </c>
      <c r="K3559" s="1" t="s">
        <v>213</v>
      </c>
      <c r="L3559" s="1" t="str">
        <f t="shared" si="190"/>
        <v>Norrviken 3</v>
      </c>
      <c r="M3559" s="1" t="s">
        <v>218</v>
      </c>
      <c r="N3559" s="1">
        <v>6</v>
      </c>
      <c r="O3559" s="1">
        <v>6</v>
      </c>
      <c r="Q3559" s="1">
        <v>19.5</v>
      </c>
      <c r="R3559" s="1">
        <v>8</v>
      </c>
      <c r="S3559" s="1">
        <v>86</v>
      </c>
    </row>
    <row r="3560" spans="1:38" x14ac:dyDescent="0.3">
      <c r="A3560" s="1">
        <v>59199</v>
      </c>
      <c r="B3560" s="1" t="s">
        <v>254</v>
      </c>
      <c r="C3560" s="1" t="s">
        <v>231</v>
      </c>
      <c r="D3560" s="2">
        <f t="shared" si="191"/>
        <v>2017</v>
      </c>
      <c r="E3560" s="2">
        <f t="shared" si="192"/>
        <v>8</v>
      </c>
      <c r="F3560" s="3" t="s">
        <v>179</v>
      </c>
      <c r="G3560" s="4">
        <v>42962</v>
      </c>
      <c r="H3560" s="1">
        <v>6594885</v>
      </c>
      <c r="I3560" s="1">
        <v>1620750</v>
      </c>
      <c r="J3560" s="1" t="s">
        <v>186</v>
      </c>
      <c r="K3560" s="1" t="s">
        <v>213</v>
      </c>
      <c r="L3560" s="1" t="str">
        <f t="shared" si="190"/>
        <v>Norrviken 3</v>
      </c>
      <c r="M3560" s="1" t="s">
        <v>219</v>
      </c>
      <c r="N3560" s="1">
        <v>7</v>
      </c>
      <c r="O3560" s="1">
        <v>7</v>
      </c>
      <c r="Q3560" s="1">
        <v>19.3</v>
      </c>
      <c r="R3560" s="1">
        <v>6.9</v>
      </c>
      <c r="S3560" s="1">
        <v>75</v>
      </c>
    </row>
    <row r="3561" spans="1:38" x14ac:dyDescent="0.3">
      <c r="A3561" s="1">
        <v>59200</v>
      </c>
      <c r="B3561" s="1" t="s">
        <v>254</v>
      </c>
      <c r="C3561" s="1" t="s">
        <v>231</v>
      </c>
      <c r="D3561" s="2">
        <f t="shared" si="191"/>
        <v>2017</v>
      </c>
      <c r="E3561" s="2">
        <f t="shared" si="192"/>
        <v>8</v>
      </c>
      <c r="F3561" s="3" t="s">
        <v>179</v>
      </c>
      <c r="G3561" s="4">
        <v>42962</v>
      </c>
      <c r="H3561" s="1">
        <v>6594885</v>
      </c>
      <c r="I3561" s="1">
        <v>1620750</v>
      </c>
      <c r="J3561" s="1" t="s">
        <v>186</v>
      </c>
      <c r="K3561" s="1" t="s">
        <v>213</v>
      </c>
      <c r="L3561" s="1" t="str">
        <f t="shared" si="190"/>
        <v>Norrviken 3</v>
      </c>
      <c r="M3561" s="1" t="s">
        <v>220</v>
      </c>
      <c r="N3561" s="1">
        <v>8</v>
      </c>
      <c r="O3561" s="1">
        <v>8</v>
      </c>
      <c r="Q3561" s="1">
        <v>18.2</v>
      </c>
      <c r="R3561" s="1">
        <v>0.6</v>
      </c>
      <c r="S3561" s="1">
        <v>7</v>
      </c>
    </row>
    <row r="3562" spans="1:38" x14ac:dyDescent="0.3">
      <c r="A3562" s="1">
        <v>59201</v>
      </c>
      <c r="B3562" s="1" t="s">
        <v>254</v>
      </c>
      <c r="C3562" s="1" t="s">
        <v>231</v>
      </c>
      <c r="D3562" s="2">
        <f t="shared" si="191"/>
        <v>2017</v>
      </c>
      <c r="E3562" s="2">
        <f t="shared" si="192"/>
        <v>8</v>
      </c>
      <c r="F3562" s="3" t="s">
        <v>179</v>
      </c>
      <c r="G3562" s="4">
        <v>42962</v>
      </c>
      <c r="H3562" s="1">
        <v>6594885</v>
      </c>
      <c r="I3562" s="1">
        <v>1620750</v>
      </c>
      <c r="J3562" s="1" t="s">
        <v>186</v>
      </c>
      <c r="K3562" s="1" t="s">
        <v>213</v>
      </c>
      <c r="L3562" s="1" t="str">
        <f t="shared" si="190"/>
        <v>Norrviken 3</v>
      </c>
      <c r="M3562" s="1" t="s">
        <v>221</v>
      </c>
      <c r="N3562" s="1">
        <v>9</v>
      </c>
      <c r="O3562" s="1">
        <v>9</v>
      </c>
      <c r="Q3562" s="1">
        <v>16.600000000000001</v>
      </c>
      <c r="R3562" s="1">
        <v>0.1</v>
      </c>
      <c r="S3562" s="1">
        <v>1</v>
      </c>
    </row>
    <row r="3563" spans="1:38" x14ac:dyDescent="0.3">
      <c r="A3563" s="1">
        <v>59202</v>
      </c>
      <c r="B3563" s="1" t="s">
        <v>254</v>
      </c>
      <c r="C3563" s="1" t="s">
        <v>231</v>
      </c>
      <c r="D3563" s="2">
        <f t="shared" si="191"/>
        <v>2017</v>
      </c>
      <c r="E3563" s="2">
        <f t="shared" si="192"/>
        <v>8</v>
      </c>
      <c r="F3563" s="3" t="s">
        <v>179</v>
      </c>
      <c r="G3563" s="4">
        <v>42962</v>
      </c>
      <c r="H3563" s="1">
        <v>6594885</v>
      </c>
      <c r="I3563" s="1">
        <v>1620750</v>
      </c>
      <c r="J3563" s="1" t="s">
        <v>186</v>
      </c>
      <c r="K3563" s="1" t="s">
        <v>213</v>
      </c>
      <c r="L3563" s="1" t="str">
        <f t="shared" si="190"/>
        <v>Norrviken 3</v>
      </c>
      <c r="M3563" s="1" t="s">
        <v>222</v>
      </c>
      <c r="N3563" s="1">
        <v>10</v>
      </c>
      <c r="O3563" s="1">
        <v>10</v>
      </c>
      <c r="Q3563" s="1">
        <v>14.2</v>
      </c>
      <c r="R3563" s="1">
        <v>0.1</v>
      </c>
      <c r="S3563" s="1">
        <v>1</v>
      </c>
    </row>
    <row r="3564" spans="1:38" x14ac:dyDescent="0.3">
      <c r="A3564" s="1">
        <v>59203</v>
      </c>
      <c r="B3564" s="1" t="s">
        <v>254</v>
      </c>
      <c r="C3564" s="1" t="s">
        <v>231</v>
      </c>
      <c r="D3564" s="2">
        <f t="shared" si="191"/>
        <v>2017</v>
      </c>
      <c r="E3564" s="2">
        <f t="shared" si="192"/>
        <v>8</v>
      </c>
      <c r="F3564" s="3" t="s">
        <v>179</v>
      </c>
      <c r="G3564" s="4">
        <v>42962</v>
      </c>
      <c r="H3564" s="1">
        <v>6594885</v>
      </c>
      <c r="I3564" s="1">
        <v>1620750</v>
      </c>
      <c r="J3564" s="1" t="s">
        <v>186</v>
      </c>
      <c r="K3564" s="1" t="s">
        <v>213</v>
      </c>
      <c r="L3564" s="1" t="str">
        <f t="shared" si="190"/>
        <v>Norrviken 3</v>
      </c>
      <c r="M3564" s="1" t="s">
        <v>184</v>
      </c>
      <c r="N3564" s="1">
        <v>11</v>
      </c>
      <c r="O3564" s="1">
        <v>11</v>
      </c>
      <c r="Q3564" s="1">
        <v>13.6</v>
      </c>
      <c r="R3564" s="1">
        <v>0.1</v>
      </c>
      <c r="S3564" s="1">
        <v>1</v>
      </c>
      <c r="V3564" s="1">
        <v>2.9237375999999999</v>
      </c>
      <c r="W3564" s="1">
        <v>436.3449</v>
      </c>
      <c r="X3564" s="1">
        <v>6.9575747221676698</v>
      </c>
      <c r="Y3564" s="1">
        <v>3.9E-2</v>
      </c>
      <c r="Z3564" s="1">
        <v>278.02</v>
      </c>
      <c r="AA3564" s="1">
        <v>4.9000000000000004</v>
      </c>
      <c r="AD3564" s="1">
        <v>0</v>
      </c>
      <c r="AE3564" s="1">
        <v>7.82</v>
      </c>
      <c r="AK3564" s="1">
        <v>312.02999999999997</v>
      </c>
      <c r="AL3564" s="1">
        <v>1115.97</v>
      </c>
    </row>
    <row r="3565" spans="1:38" x14ac:dyDescent="0.3">
      <c r="A3565" s="1">
        <v>59205</v>
      </c>
      <c r="B3565" s="1" t="s">
        <v>254</v>
      </c>
      <c r="C3565" s="1" t="s">
        <v>231</v>
      </c>
      <c r="D3565" s="2">
        <f t="shared" si="191"/>
        <v>2017</v>
      </c>
      <c r="E3565" s="2">
        <f t="shared" si="192"/>
        <v>8</v>
      </c>
      <c r="F3565" s="3" t="s">
        <v>179</v>
      </c>
      <c r="G3565" s="4">
        <v>42962</v>
      </c>
      <c r="H3565" s="1">
        <v>6594885</v>
      </c>
      <c r="I3565" s="1">
        <v>1620750</v>
      </c>
      <c r="J3565" s="1" t="s">
        <v>186</v>
      </c>
      <c r="K3565" s="1" t="s">
        <v>213</v>
      </c>
      <c r="L3565" s="1" t="str">
        <f t="shared" si="190"/>
        <v>Norrviken 3</v>
      </c>
      <c r="M3565" s="1" t="s">
        <v>243</v>
      </c>
      <c r="N3565" s="1">
        <v>6</v>
      </c>
      <c r="O3565" s="1">
        <v>0</v>
      </c>
    </row>
    <row r="3566" spans="1:38" x14ac:dyDescent="0.3">
      <c r="A3566" s="1">
        <v>59206</v>
      </c>
      <c r="B3566" s="1" t="s">
        <v>254</v>
      </c>
      <c r="C3566" s="1" t="s">
        <v>231</v>
      </c>
      <c r="D3566" s="2">
        <f t="shared" si="191"/>
        <v>2017</v>
      </c>
      <c r="E3566" s="2">
        <f t="shared" si="192"/>
        <v>8</v>
      </c>
      <c r="F3566" s="3" t="s">
        <v>179</v>
      </c>
      <c r="G3566" s="4">
        <v>42962</v>
      </c>
      <c r="H3566" s="1">
        <v>6597300</v>
      </c>
      <c r="I3566" s="1">
        <v>1619975</v>
      </c>
      <c r="J3566" s="1" t="s">
        <v>186</v>
      </c>
      <c r="K3566" s="1" t="s">
        <v>214</v>
      </c>
      <c r="L3566" s="1" t="str">
        <f t="shared" si="190"/>
        <v>Norrviken 4</v>
      </c>
      <c r="M3566" s="1" t="s">
        <v>177</v>
      </c>
      <c r="N3566" s="1">
        <v>0.5</v>
      </c>
      <c r="O3566" s="1">
        <v>0.5</v>
      </c>
      <c r="P3566" s="1">
        <v>2</v>
      </c>
      <c r="Q3566" s="1">
        <v>20.6</v>
      </c>
      <c r="R3566" s="1">
        <v>9.5</v>
      </c>
      <c r="S3566" s="1">
        <v>105</v>
      </c>
      <c r="V3566" s="1">
        <v>2.6097792000000002</v>
      </c>
      <c r="W3566" s="1">
        <v>2.9611999999999998</v>
      </c>
      <c r="X3566" s="1">
        <v>0.28449446189531979</v>
      </c>
      <c r="Y3566" s="1">
        <v>3.5999999999999997E-2</v>
      </c>
      <c r="Z3566" s="1">
        <v>22.8</v>
      </c>
      <c r="AA3566" s="1">
        <v>6</v>
      </c>
      <c r="AB3566" s="1">
        <v>19.295369999999998</v>
      </c>
      <c r="AD3566" s="1">
        <v>0</v>
      </c>
      <c r="AE3566" s="1">
        <v>8.41</v>
      </c>
      <c r="AK3566" s="1">
        <v>66.400000000000006</v>
      </c>
      <c r="AL3566" s="1">
        <v>877.98</v>
      </c>
    </row>
    <row r="3567" spans="1:38" x14ac:dyDescent="0.3">
      <c r="A3567" s="1">
        <v>59207</v>
      </c>
      <c r="B3567" s="1" t="s">
        <v>254</v>
      </c>
      <c r="C3567" s="1" t="s">
        <v>231</v>
      </c>
      <c r="D3567" s="2">
        <f t="shared" si="191"/>
        <v>2017</v>
      </c>
      <c r="E3567" s="2">
        <f t="shared" si="192"/>
        <v>8</v>
      </c>
      <c r="F3567" s="3" t="s">
        <v>179</v>
      </c>
      <c r="G3567" s="4">
        <v>42962</v>
      </c>
      <c r="H3567" s="1">
        <v>6597300</v>
      </c>
      <c r="I3567" s="1">
        <v>1619975</v>
      </c>
      <c r="J3567" s="1" t="s">
        <v>186</v>
      </c>
      <c r="K3567" s="1" t="s">
        <v>214</v>
      </c>
      <c r="L3567" s="1" t="str">
        <f t="shared" si="190"/>
        <v>Norrviken 4</v>
      </c>
      <c r="M3567" s="1" t="s">
        <v>211</v>
      </c>
      <c r="N3567" s="1">
        <v>1</v>
      </c>
      <c r="O3567" s="1">
        <v>1</v>
      </c>
      <c r="Q3567" s="1">
        <v>20.2</v>
      </c>
      <c r="R3567" s="1">
        <v>9.8000000000000007</v>
      </c>
      <c r="S3567" s="1">
        <v>107</v>
      </c>
    </row>
    <row r="3568" spans="1:38" x14ac:dyDescent="0.3">
      <c r="A3568" s="1">
        <v>59208</v>
      </c>
      <c r="B3568" s="1" t="s">
        <v>254</v>
      </c>
      <c r="C3568" s="1" t="s">
        <v>231</v>
      </c>
      <c r="D3568" s="2">
        <f t="shared" si="191"/>
        <v>2017</v>
      </c>
      <c r="E3568" s="2">
        <f t="shared" si="192"/>
        <v>8</v>
      </c>
      <c r="F3568" s="3" t="s">
        <v>179</v>
      </c>
      <c r="G3568" s="4">
        <v>42962</v>
      </c>
      <c r="H3568" s="1">
        <v>6597300</v>
      </c>
      <c r="I3568" s="1">
        <v>1619975</v>
      </c>
      <c r="J3568" s="1" t="s">
        <v>186</v>
      </c>
      <c r="K3568" s="1" t="s">
        <v>214</v>
      </c>
      <c r="L3568" s="1" t="str">
        <f t="shared" si="190"/>
        <v>Norrviken 4</v>
      </c>
      <c r="M3568" s="1" t="s">
        <v>184</v>
      </c>
      <c r="N3568" s="1">
        <v>2</v>
      </c>
      <c r="O3568" s="1">
        <v>2</v>
      </c>
      <c r="Q3568" s="1">
        <v>19.3</v>
      </c>
      <c r="R3568" s="1">
        <v>10.1</v>
      </c>
      <c r="S3568" s="1">
        <v>108</v>
      </c>
      <c r="V3568" s="1">
        <v>2.6490239999999998</v>
      </c>
      <c r="W3568" s="1">
        <v>4.4273999999999996</v>
      </c>
      <c r="X3568" s="1">
        <v>0.45144408180258189</v>
      </c>
      <c r="Y3568" s="1">
        <v>3.5999999999999997E-2</v>
      </c>
      <c r="Z3568" s="1">
        <v>24.4</v>
      </c>
      <c r="AA3568" s="1">
        <v>5.7</v>
      </c>
      <c r="AD3568" s="1">
        <v>0</v>
      </c>
      <c r="AE3568" s="1">
        <v>8.48</v>
      </c>
      <c r="AK3568" s="1">
        <v>65.930000000000007</v>
      </c>
      <c r="AL3568" s="1">
        <v>850.19</v>
      </c>
    </row>
    <row r="3569" spans="1:38" x14ac:dyDescent="0.3">
      <c r="A3569" s="1">
        <v>59542</v>
      </c>
      <c r="B3569" s="1" t="s">
        <v>252</v>
      </c>
      <c r="C3569" s="1" t="s">
        <v>209</v>
      </c>
      <c r="D3569" s="2">
        <f t="shared" si="191"/>
        <v>2017</v>
      </c>
      <c r="E3569" s="2">
        <f t="shared" si="192"/>
        <v>8</v>
      </c>
      <c r="F3569" s="3" t="s">
        <v>179</v>
      </c>
      <c r="G3569" s="4">
        <v>42968</v>
      </c>
      <c r="H3569" s="1">
        <v>6600935</v>
      </c>
      <c r="I3569" s="1">
        <v>1626764</v>
      </c>
      <c r="J3569" s="1" t="s">
        <v>191</v>
      </c>
      <c r="K3569" s="1" t="s">
        <v>210</v>
      </c>
      <c r="L3569" s="1" t="str">
        <f t="shared" si="190"/>
        <v>Vallentunasjön Va2</v>
      </c>
      <c r="M3569" s="1" t="s">
        <v>177</v>
      </c>
      <c r="N3569" s="1">
        <v>0.5</v>
      </c>
      <c r="O3569" s="1">
        <v>0.5</v>
      </c>
      <c r="P3569" s="1">
        <v>0.9</v>
      </c>
      <c r="Q3569" s="1">
        <v>17.899999999999999</v>
      </c>
      <c r="R3569" s="1">
        <v>11.1</v>
      </c>
      <c r="S3569" s="1">
        <v>117</v>
      </c>
    </row>
    <row r="3570" spans="1:38" x14ac:dyDescent="0.3">
      <c r="A3570" s="1">
        <v>59543</v>
      </c>
      <c r="B3570" s="1" t="s">
        <v>252</v>
      </c>
      <c r="C3570" s="1" t="s">
        <v>209</v>
      </c>
      <c r="D3570" s="2">
        <f t="shared" si="191"/>
        <v>2017</v>
      </c>
      <c r="E3570" s="2">
        <f t="shared" si="192"/>
        <v>8</v>
      </c>
      <c r="F3570" s="3" t="s">
        <v>179</v>
      </c>
      <c r="G3570" s="4">
        <v>42968</v>
      </c>
      <c r="H3570" s="1">
        <v>6600935</v>
      </c>
      <c r="I3570" s="1">
        <v>1626764</v>
      </c>
      <c r="J3570" s="1" t="s">
        <v>191</v>
      </c>
      <c r="K3570" s="1" t="s">
        <v>210</v>
      </c>
      <c r="L3570" s="1" t="str">
        <f t="shared" si="190"/>
        <v>Vallentunasjön Va2</v>
      </c>
      <c r="M3570" s="1" t="s">
        <v>211</v>
      </c>
      <c r="N3570" s="1">
        <v>1</v>
      </c>
      <c r="O3570" s="1">
        <v>1</v>
      </c>
      <c r="Q3570" s="1">
        <v>17.8</v>
      </c>
      <c r="R3570" s="1">
        <v>11.1</v>
      </c>
      <c r="S3570" s="1">
        <v>117</v>
      </c>
    </row>
    <row r="3571" spans="1:38" x14ac:dyDescent="0.3">
      <c r="A3571" s="1">
        <v>59544</v>
      </c>
      <c r="B3571" s="1" t="s">
        <v>252</v>
      </c>
      <c r="C3571" s="1" t="s">
        <v>209</v>
      </c>
      <c r="D3571" s="2">
        <f t="shared" si="191"/>
        <v>2017</v>
      </c>
      <c r="E3571" s="2">
        <f t="shared" si="192"/>
        <v>8</v>
      </c>
      <c r="F3571" s="3" t="s">
        <v>179</v>
      </c>
      <c r="G3571" s="4">
        <v>42968</v>
      </c>
      <c r="H3571" s="1">
        <v>6600935</v>
      </c>
      <c r="I3571" s="1">
        <v>1626764</v>
      </c>
      <c r="J3571" s="1" t="s">
        <v>191</v>
      </c>
      <c r="K3571" s="1" t="s">
        <v>210</v>
      </c>
      <c r="L3571" s="1" t="str">
        <f t="shared" si="190"/>
        <v>Vallentunasjön Va2</v>
      </c>
      <c r="M3571" s="1" t="s">
        <v>212</v>
      </c>
      <c r="N3571" s="1">
        <v>2</v>
      </c>
      <c r="O3571" s="1">
        <v>2</v>
      </c>
      <c r="Q3571" s="1">
        <v>17.8</v>
      </c>
      <c r="R3571" s="1">
        <v>11</v>
      </c>
      <c r="S3571" s="1">
        <v>115</v>
      </c>
    </row>
    <row r="3572" spans="1:38" x14ac:dyDescent="0.3">
      <c r="A3572" s="1">
        <v>59545</v>
      </c>
      <c r="B3572" s="1" t="s">
        <v>252</v>
      </c>
      <c r="C3572" s="1" t="s">
        <v>209</v>
      </c>
      <c r="D3572" s="2">
        <f t="shared" si="191"/>
        <v>2017</v>
      </c>
      <c r="E3572" s="2">
        <f t="shared" si="192"/>
        <v>8</v>
      </c>
      <c r="F3572" s="3" t="s">
        <v>179</v>
      </c>
      <c r="G3572" s="4">
        <v>42968</v>
      </c>
      <c r="H3572" s="1">
        <v>6600935</v>
      </c>
      <c r="I3572" s="1">
        <v>1626764</v>
      </c>
      <c r="J3572" s="1" t="s">
        <v>191</v>
      </c>
      <c r="K3572" s="1" t="s">
        <v>210</v>
      </c>
      <c r="L3572" s="1" t="str">
        <f t="shared" si="190"/>
        <v>Vallentunasjön Va2</v>
      </c>
      <c r="M3572" s="1" t="s">
        <v>213</v>
      </c>
      <c r="N3572" s="1">
        <v>3</v>
      </c>
      <c r="O3572" s="1">
        <v>3</v>
      </c>
      <c r="Q3572" s="1">
        <v>17</v>
      </c>
      <c r="R3572" s="1">
        <v>9.6</v>
      </c>
      <c r="S3572" s="1">
        <v>99</v>
      </c>
    </row>
    <row r="3573" spans="1:38" x14ac:dyDescent="0.3">
      <c r="A3573" s="1">
        <v>59546</v>
      </c>
      <c r="B3573" s="1" t="s">
        <v>252</v>
      </c>
      <c r="C3573" s="1" t="s">
        <v>209</v>
      </c>
      <c r="D3573" s="2">
        <f t="shared" si="191"/>
        <v>2017</v>
      </c>
      <c r="E3573" s="2">
        <f t="shared" si="192"/>
        <v>8</v>
      </c>
      <c r="F3573" s="3" t="s">
        <v>179</v>
      </c>
      <c r="G3573" s="4">
        <v>42968</v>
      </c>
      <c r="H3573" s="1">
        <v>6600935</v>
      </c>
      <c r="I3573" s="1">
        <v>1626764</v>
      </c>
      <c r="J3573" s="1" t="s">
        <v>191</v>
      </c>
      <c r="K3573" s="1" t="s">
        <v>210</v>
      </c>
      <c r="L3573" s="1" t="str">
        <f t="shared" si="190"/>
        <v>Vallentunasjön Va2</v>
      </c>
      <c r="M3573" s="1" t="s">
        <v>214</v>
      </c>
      <c r="N3573" s="1">
        <v>4</v>
      </c>
      <c r="O3573" s="1">
        <v>4</v>
      </c>
      <c r="Q3573" s="1">
        <v>16.899999999999999</v>
      </c>
      <c r="R3573" s="1">
        <v>9.1</v>
      </c>
      <c r="S3573" s="1">
        <v>94</v>
      </c>
    </row>
    <row r="3574" spans="1:38" x14ac:dyDescent="0.3">
      <c r="A3574" s="1">
        <v>59547</v>
      </c>
      <c r="B3574" s="1" t="s">
        <v>252</v>
      </c>
      <c r="C3574" s="1" t="s">
        <v>209</v>
      </c>
      <c r="D3574" s="2">
        <f t="shared" si="191"/>
        <v>2017</v>
      </c>
      <c r="E3574" s="2">
        <f t="shared" si="192"/>
        <v>8</v>
      </c>
      <c r="F3574" s="3" t="s">
        <v>179</v>
      </c>
      <c r="G3574" s="4">
        <v>42968</v>
      </c>
      <c r="H3574" s="1">
        <v>6600935</v>
      </c>
      <c r="I3574" s="1">
        <v>1626764</v>
      </c>
      <c r="J3574" s="1" t="s">
        <v>191</v>
      </c>
      <c r="K3574" s="1" t="s">
        <v>210</v>
      </c>
      <c r="L3574" s="1" t="str">
        <f t="shared" si="190"/>
        <v>Vallentunasjön Va2</v>
      </c>
      <c r="M3574" s="1" t="s">
        <v>184</v>
      </c>
    </row>
    <row r="3575" spans="1:38" x14ac:dyDescent="0.3">
      <c r="A3575" s="1">
        <v>59548</v>
      </c>
      <c r="B3575" s="1" t="s">
        <v>252</v>
      </c>
      <c r="C3575" s="1" t="s">
        <v>209</v>
      </c>
      <c r="D3575" s="2">
        <f t="shared" si="191"/>
        <v>2017</v>
      </c>
      <c r="E3575" s="2">
        <f t="shared" si="192"/>
        <v>8</v>
      </c>
      <c r="F3575" s="3" t="s">
        <v>179</v>
      </c>
      <c r="G3575" s="4">
        <v>42968</v>
      </c>
      <c r="J3575" s="1" t="s">
        <v>191</v>
      </c>
      <c r="K3575" s="1" t="s">
        <v>206</v>
      </c>
      <c r="L3575" s="1" t="str">
        <f t="shared" si="190"/>
        <v>Vallentunasjön Blandprov</v>
      </c>
      <c r="M3575" s="1" t="s">
        <v>177</v>
      </c>
      <c r="N3575" s="1">
        <v>4</v>
      </c>
      <c r="O3575" s="1">
        <v>0</v>
      </c>
      <c r="Q3575" s="1">
        <v>17.8</v>
      </c>
      <c r="W3575" s="1">
        <v>8.6724999999999994</v>
      </c>
      <c r="X3575" s="1">
        <v>0.83418098949048991</v>
      </c>
      <c r="Y3575" s="1">
        <v>4.2000000000000003E-2</v>
      </c>
      <c r="Z3575" s="1">
        <v>2.42</v>
      </c>
      <c r="AB3575" s="1">
        <v>40.164299999999997</v>
      </c>
      <c r="AD3575" s="1">
        <v>0</v>
      </c>
      <c r="AE3575" s="1">
        <v>8.5</v>
      </c>
      <c r="AG3575" s="1">
        <v>28</v>
      </c>
      <c r="AK3575" s="1">
        <v>86.22</v>
      </c>
      <c r="AL3575" s="1">
        <v>1715.27</v>
      </c>
    </row>
    <row r="3576" spans="1:38" x14ac:dyDescent="0.3">
      <c r="A3576" s="1">
        <v>59827</v>
      </c>
      <c r="B3576" s="1" t="s">
        <v>252</v>
      </c>
      <c r="C3576" s="1" t="s">
        <v>209</v>
      </c>
      <c r="D3576" s="2">
        <f t="shared" si="191"/>
        <v>2017</v>
      </c>
      <c r="E3576" s="2">
        <f t="shared" si="192"/>
        <v>9</v>
      </c>
      <c r="G3576" s="4">
        <v>42991</v>
      </c>
      <c r="H3576" s="1">
        <v>6600935</v>
      </c>
      <c r="I3576" s="1">
        <v>1626764</v>
      </c>
      <c r="J3576" s="1" t="s">
        <v>191</v>
      </c>
      <c r="K3576" s="1" t="s">
        <v>210</v>
      </c>
      <c r="L3576" s="1" t="str">
        <f t="shared" si="190"/>
        <v>Vallentunasjön Va2</v>
      </c>
      <c r="M3576" s="1" t="s">
        <v>177</v>
      </c>
      <c r="N3576" s="1">
        <v>0.5</v>
      </c>
      <c r="O3576" s="1">
        <v>0.5</v>
      </c>
      <c r="P3576" s="1">
        <v>0.8</v>
      </c>
      <c r="Q3576" s="1">
        <v>15.6</v>
      </c>
      <c r="R3576" s="1">
        <v>10.3</v>
      </c>
      <c r="S3576" s="1">
        <v>105</v>
      </c>
    </row>
    <row r="3577" spans="1:38" x14ac:dyDescent="0.3">
      <c r="A3577" s="1">
        <v>59828</v>
      </c>
      <c r="B3577" s="1" t="s">
        <v>252</v>
      </c>
      <c r="C3577" s="1" t="s">
        <v>209</v>
      </c>
      <c r="D3577" s="2">
        <f t="shared" si="191"/>
        <v>2017</v>
      </c>
      <c r="E3577" s="2">
        <f t="shared" si="192"/>
        <v>9</v>
      </c>
      <c r="G3577" s="4">
        <v>42991</v>
      </c>
      <c r="H3577" s="1">
        <v>6600935</v>
      </c>
      <c r="I3577" s="1">
        <v>1626764</v>
      </c>
      <c r="J3577" s="1" t="s">
        <v>191</v>
      </c>
      <c r="K3577" s="1" t="s">
        <v>210</v>
      </c>
      <c r="L3577" s="1" t="str">
        <f t="shared" si="190"/>
        <v>Vallentunasjön Va2</v>
      </c>
      <c r="M3577" s="1" t="s">
        <v>211</v>
      </c>
      <c r="N3577" s="1">
        <v>1</v>
      </c>
      <c r="O3577" s="1">
        <v>1</v>
      </c>
      <c r="Q3577" s="1">
        <v>15.5</v>
      </c>
      <c r="R3577" s="1">
        <v>10.3</v>
      </c>
      <c r="S3577" s="1">
        <v>105</v>
      </c>
    </row>
    <row r="3578" spans="1:38" x14ac:dyDescent="0.3">
      <c r="A3578" s="1">
        <v>59829</v>
      </c>
      <c r="B3578" s="1" t="s">
        <v>252</v>
      </c>
      <c r="C3578" s="1" t="s">
        <v>209</v>
      </c>
      <c r="D3578" s="2">
        <f t="shared" si="191"/>
        <v>2017</v>
      </c>
      <c r="E3578" s="2">
        <f t="shared" si="192"/>
        <v>9</v>
      </c>
      <c r="G3578" s="4">
        <v>42991</v>
      </c>
      <c r="H3578" s="1">
        <v>6600935</v>
      </c>
      <c r="I3578" s="1">
        <v>1626764</v>
      </c>
      <c r="J3578" s="1" t="s">
        <v>191</v>
      </c>
      <c r="K3578" s="1" t="s">
        <v>210</v>
      </c>
      <c r="L3578" s="1" t="str">
        <f t="shared" si="190"/>
        <v>Vallentunasjön Va2</v>
      </c>
      <c r="M3578" s="1" t="s">
        <v>212</v>
      </c>
      <c r="N3578" s="1">
        <v>2</v>
      </c>
      <c r="O3578" s="1">
        <v>2</v>
      </c>
      <c r="Q3578" s="1">
        <v>15.5</v>
      </c>
      <c r="R3578" s="1">
        <v>10.3</v>
      </c>
      <c r="S3578" s="1">
        <v>105</v>
      </c>
    </row>
    <row r="3579" spans="1:38" x14ac:dyDescent="0.3">
      <c r="A3579" s="1">
        <v>59830</v>
      </c>
      <c r="B3579" s="1" t="s">
        <v>252</v>
      </c>
      <c r="C3579" s="1" t="s">
        <v>209</v>
      </c>
      <c r="D3579" s="2">
        <f t="shared" si="191"/>
        <v>2017</v>
      </c>
      <c r="E3579" s="2">
        <f t="shared" si="192"/>
        <v>9</v>
      </c>
      <c r="G3579" s="4">
        <v>42991</v>
      </c>
      <c r="H3579" s="1">
        <v>6600935</v>
      </c>
      <c r="I3579" s="1">
        <v>1626764</v>
      </c>
      <c r="J3579" s="1" t="s">
        <v>191</v>
      </c>
      <c r="K3579" s="1" t="s">
        <v>210</v>
      </c>
      <c r="L3579" s="1" t="str">
        <f t="shared" si="190"/>
        <v>Vallentunasjön Va2</v>
      </c>
      <c r="M3579" s="1" t="s">
        <v>213</v>
      </c>
      <c r="N3579" s="1">
        <v>3</v>
      </c>
      <c r="O3579" s="1">
        <v>3</v>
      </c>
      <c r="Q3579" s="1">
        <v>15.5</v>
      </c>
      <c r="R3579" s="1">
        <v>10.3</v>
      </c>
      <c r="S3579" s="1">
        <v>105</v>
      </c>
    </row>
    <row r="3580" spans="1:38" x14ac:dyDescent="0.3">
      <c r="A3580" s="1">
        <v>59831</v>
      </c>
      <c r="B3580" s="1" t="s">
        <v>252</v>
      </c>
      <c r="C3580" s="1" t="s">
        <v>209</v>
      </c>
      <c r="D3580" s="2">
        <f t="shared" si="191"/>
        <v>2017</v>
      </c>
      <c r="E3580" s="2">
        <f t="shared" si="192"/>
        <v>9</v>
      </c>
      <c r="G3580" s="4">
        <v>42991</v>
      </c>
      <c r="H3580" s="1">
        <v>6600935</v>
      </c>
      <c r="I3580" s="1">
        <v>1626764</v>
      </c>
      <c r="J3580" s="1" t="s">
        <v>191</v>
      </c>
      <c r="K3580" s="1" t="s">
        <v>210</v>
      </c>
      <c r="L3580" s="1" t="str">
        <f t="shared" si="190"/>
        <v>Vallentunasjön Va2</v>
      </c>
      <c r="M3580" s="1" t="s">
        <v>214</v>
      </c>
      <c r="N3580" s="1">
        <v>4</v>
      </c>
      <c r="O3580" s="1">
        <v>4</v>
      </c>
      <c r="Q3580" s="1">
        <v>15.5</v>
      </c>
      <c r="R3580" s="1">
        <v>10.199999999999999</v>
      </c>
      <c r="S3580" s="1">
        <v>104</v>
      </c>
    </row>
    <row r="3581" spans="1:38" x14ac:dyDescent="0.3">
      <c r="A3581" s="1">
        <v>59832</v>
      </c>
      <c r="B3581" s="1" t="s">
        <v>252</v>
      </c>
      <c r="C3581" s="1" t="s">
        <v>209</v>
      </c>
      <c r="D3581" s="2">
        <f t="shared" si="191"/>
        <v>2017</v>
      </c>
      <c r="E3581" s="2">
        <f t="shared" si="192"/>
        <v>9</v>
      </c>
      <c r="G3581" s="4">
        <v>42991</v>
      </c>
      <c r="H3581" s="1">
        <v>6600935</v>
      </c>
      <c r="I3581" s="1">
        <v>1626764</v>
      </c>
      <c r="J3581" s="1" t="s">
        <v>191</v>
      </c>
      <c r="K3581" s="1" t="s">
        <v>210</v>
      </c>
      <c r="L3581" s="1" t="str">
        <f t="shared" si="190"/>
        <v>Vallentunasjön Va2</v>
      </c>
      <c r="M3581" s="1" t="s">
        <v>184</v>
      </c>
    </row>
    <row r="3582" spans="1:38" x14ac:dyDescent="0.3">
      <c r="A3582" s="1">
        <v>59833</v>
      </c>
      <c r="B3582" s="1" t="s">
        <v>252</v>
      </c>
      <c r="C3582" s="1" t="s">
        <v>209</v>
      </c>
      <c r="D3582" s="2">
        <f t="shared" si="191"/>
        <v>2017</v>
      </c>
      <c r="E3582" s="2">
        <f t="shared" si="192"/>
        <v>9</v>
      </c>
      <c r="G3582" s="4">
        <v>42991</v>
      </c>
      <c r="J3582" s="1" t="s">
        <v>191</v>
      </c>
      <c r="K3582" s="1" t="s">
        <v>206</v>
      </c>
      <c r="L3582" s="1" t="str">
        <f t="shared" ref="L3582:L3645" si="193">CONCATENATE(J3582," ",K3582)</f>
        <v>Vallentunasjön Blandprov</v>
      </c>
      <c r="M3582" s="1" t="s">
        <v>177</v>
      </c>
      <c r="N3582" s="1">
        <v>4</v>
      </c>
      <c r="O3582" s="1">
        <v>0</v>
      </c>
      <c r="Q3582" s="1">
        <v>15.5</v>
      </c>
      <c r="W3582" s="1">
        <v>7.9744999999999999</v>
      </c>
      <c r="X3582" s="1">
        <v>0.50748278493326593</v>
      </c>
      <c r="Y3582" s="1">
        <v>5.0999999999999997E-2</v>
      </c>
      <c r="Z3582" s="1">
        <v>0</v>
      </c>
      <c r="AB3582" s="1">
        <v>46.417499999999997</v>
      </c>
      <c r="AD3582" s="1">
        <v>0</v>
      </c>
      <c r="AE3582" s="1">
        <v>8.3800000000000008</v>
      </c>
      <c r="AG3582" s="1">
        <v>23.333333332999999</v>
      </c>
      <c r="AK3582" s="1">
        <v>84.754999999999995</v>
      </c>
      <c r="AL3582" s="1">
        <v>1820.49</v>
      </c>
    </row>
    <row r="3583" spans="1:38" x14ac:dyDescent="0.3">
      <c r="A3583" s="1">
        <v>60448</v>
      </c>
      <c r="B3583" s="1" t="s">
        <v>252</v>
      </c>
      <c r="C3583" s="1" t="s">
        <v>209</v>
      </c>
      <c r="D3583" s="2">
        <f t="shared" si="191"/>
        <v>2017</v>
      </c>
      <c r="E3583" s="2">
        <f t="shared" si="192"/>
        <v>10</v>
      </c>
      <c r="F3583" s="3" t="s">
        <v>180</v>
      </c>
      <c r="G3583" s="4">
        <v>43026</v>
      </c>
      <c r="H3583" s="1">
        <v>6600935</v>
      </c>
      <c r="I3583" s="1">
        <v>1626764</v>
      </c>
      <c r="J3583" s="1" t="s">
        <v>191</v>
      </c>
      <c r="K3583" s="1" t="s">
        <v>210</v>
      </c>
      <c r="L3583" s="1" t="str">
        <f t="shared" si="193"/>
        <v>Vallentunasjön Va2</v>
      </c>
      <c r="M3583" s="1" t="s">
        <v>177</v>
      </c>
      <c r="N3583" s="1">
        <v>0.5</v>
      </c>
      <c r="O3583" s="1">
        <v>0.5</v>
      </c>
      <c r="P3583" s="1">
        <v>1.4</v>
      </c>
      <c r="Q3583" s="1">
        <v>10.4</v>
      </c>
      <c r="R3583" s="1">
        <v>11</v>
      </c>
      <c r="S3583" s="1">
        <v>98</v>
      </c>
    </row>
    <row r="3584" spans="1:38" x14ac:dyDescent="0.3">
      <c r="A3584" s="1">
        <v>60449</v>
      </c>
      <c r="B3584" s="1" t="s">
        <v>252</v>
      </c>
      <c r="C3584" s="1" t="s">
        <v>209</v>
      </c>
      <c r="D3584" s="2">
        <f t="shared" si="191"/>
        <v>2017</v>
      </c>
      <c r="E3584" s="2">
        <f t="shared" si="192"/>
        <v>10</v>
      </c>
      <c r="F3584" s="3" t="s">
        <v>180</v>
      </c>
      <c r="G3584" s="4">
        <v>43026</v>
      </c>
      <c r="H3584" s="1">
        <v>6600935</v>
      </c>
      <c r="I3584" s="1">
        <v>1626764</v>
      </c>
      <c r="J3584" s="1" t="s">
        <v>191</v>
      </c>
      <c r="K3584" s="1" t="s">
        <v>210</v>
      </c>
      <c r="L3584" s="1" t="str">
        <f t="shared" si="193"/>
        <v>Vallentunasjön Va2</v>
      </c>
      <c r="M3584" s="1" t="s">
        <v>211</v>
      </c>
      <c r="N3584" s="1">
        <v>1</v>
      </c>
      <c r="O3584" s="1">
        <v>1</v>
      </c>
      <c r="Q3584" s="1">
        <v>10.4</v>
      </c>
      <c r="R3584" s="1">
        <v>11</v>
      </c>
      <c r="S3584" s="1">
        <v>98</v>
      </c>
    </row>
    <row r="3585" spans="1:38" x14ac:dyDescent="0.3">
      <c r="A3585" s="1">
        <v>60450</v>
      </c>
      <c r="B3585" s="1" t="s">
        <v>252</v>
      </c>
      <c r="C3585" s="1" t="s">
        <v>209</v>
      </c>
      <c r="D3585" s="2">
        <f t="shared" si="191"/>
        <v>2017</v>
      </c>
      <c r="E3585" s="2">
        <f t="shared" si="192"/>
        <v>10</v>
      </c>
      <c r="F3585" s="3" t="s">
        <v>180</v>
      </c>
      <c r="G3585" s="4">
        <v>43026</v>
      </c>
      <c r="H3585" s="1">
        <v>6600935</v>
      </c>
      <c r="I3585" s="1">
        <v>1626764</v>
      </c>
      <c r="J3585" s="1" t="s">
        <v>191</v>
      </c>
      <c r="K3585" s="1" t="s">
        <v>210</v>
      </c>
      <c r="L3585" s="1" t="str">
        <f t="shared" si="193"/>
        <v>Vallentunasjön Va2</v>
      </c>
      <c r="M3585" s="1" t="s">
        <v>212</v>
      </c>
      <c r="N3585" s="1">
        <v>2</v>
      </c>
      <c r="O3585" s="1">
        <v>2</v>
      </c>
      <c r="Q3585" s="1">
        <v>10.4</v>
      </c>
      <c r="R3585" s="1">
        <v>10.9</v>
      </c>
      <c r="S3585" s="1">
        <v>98</v>
      </c>
    </row>
    <row r="3586" spans="1:38" x14ac:dyDescent="0.3">
      <c r="A3586" s="1">
        <v>60451</v>
      </c>
      <c r="B3586" s="1" t="s">
        <v>252</v>
      </c>
      <c r="C3586" s="1" t="s">
        <v>209</v>
      </c>
      <c r="D3586" s="2">
        <f t="shared" si="191"/>
        <v>2017</v>
      </c>
      <c r="E3586" s="2">
        <f t="shared" si="192"/>
        <v>10</v>
      </c>
      <c r="F3586" s="3" t="s">
        <v>180</v>
      </c>
      <c r="G3586" s="4">
        <v>43026</v>
      </c>
      <c r="H3586" s="1">
        <v>6600935</v>
      </c>
      <c r="I3586" s="1">
        <v>1626764</v>
      </c>
      <c r="J3586" s="1" t="s">
        <v>191</v>
      </c>
      <c r="K3586" s="1" t="s">
        <v>210</v>
      </c>
      <c r="L3586" s="1" t="str">
        <f t="shared" si="193"/>
        <v>Vallentunasjön Va2</v>
      </c>
      <c r="M3586" s="1" t="s">
        <v>213</v>
      </c>
      <c r="N3586" s="1">
        <v>3</v>
      </c>
      <c r="O3586" s="1">
        <v>3</v>
      </c>
      <c r="Q3586" s="1">
        <v>10.4</v>
      </c>
      <c r="R3586" s="1">
        <v>10.9</v>
      </c>
      <c r="S3586" s="1">
        <v>98</v>
      </c>
    </row>
    <row r="3587" spans="1:38" x14ac:dyDescent="0.3">
      <c r="A3587" s="1">
        <v>60452</v>
      </c>
      <c r="B3587" s="1" t="s">
        <v>252</v>
      </c>
      <c r="C3587" s="1" t="s">
        <v>209</v>
      </c>
      <c r="D3587" s="2">
        <f t="shared" si="191"/>
        <v>2017</v>
      </c>
      <c r="E3587" s="2">
        <f t="shared" si="192"/>
        <v>10</v>
      </c>
      <c r="F3587" s="3" t="s">
        <v>180</v>
      </c>
      <c r="G3587" s="4">
        <v>43026</v>
      </c>
      <c r="H3587" s="1">
        <v>6600935</v>
      </c>
      <c r="I3587" s="1">
        <v>1626764</v>
      </c>
      <c r="J3587" s="1" t="s">
        <v>191</v>
      </c>
      <c r="K3587" s="1" t="s">
        <v>210</v>
      </c>
      <c r="L3587" s="1" t="str">
        <f t="shared" si="193"/>
        <v>Vallentunasjön Va2</v>
      </c>
      <c r="M3587" s="1" t="s">
        <v>214</v>
      </c>
      <c r="N3587" s="1">
        <v>4</v>
      </c>
      <c r="O3587" s="1">
        <v>4</v>
      </c>
      <c r="Q3587" s="1">
        <v>10.4</v>
      </c>
      <c r="R3587" s="1">
        <v>10.9</v>
      </c>
      <c r="S3587" s="1">
        <v>98</v>
      </c>
    </row>
    <row r="3588" spans="1:38" x14ac:dyDescent="0.3">
      <c r="A3588" s="1">
        <v>60453</v>
      </c>
      <c r="B3588" s="1" t="s">
        <v>252</v>
      </c>
      <c r="C3588" s="1" t="s">
        <v>209</v>
      </c>
      <c r="D3588" s="2">
        <f t="shared" si="191"/>
        <v>2017</v>
      </c>
      <c r="E3588" s="2">
        <f t="shared" si="192"/>
        <v>10</v>
      </c>
      <c r="F3588" s="3" t="s">
        <v>180</v>
      </c>
      <c r="G3588" s="4">
        <v>43026</v>
      </c>
      <c r="H3588" s="1">
        <v>6600935</v>
      </c>
      <c r="I3588" s="1">
        <v>1626764</v>
      </c>
      <c r="J3588" s="1" t="s">
        <v>191</v>
      </c>
      <c r="K3588" s="1" t="s">
        <v>210</v>
      </c>
      <c r="L3588" s="1" t="str">
        <f t="shared" si="193"/>
        <v>Vallentunasjön Va2</v>
      </c>
      <c r="M3588" s="1" t="s">
        <v>184</v>
      </c>
      <c r="Q3588" s="1">
        <v>10.4</v>
      </c>
      <c r="R3588" s="1">
        <v>10.9</v>
      </c>
      <c r="S3588" s="1">
        <v>98</v>
      </c>
    </row>
    <row r="3589" spans="1:38" x14ac:dyDescent="0.3">
      <c r="A3589" s="1">
        <v>60454</v>
      </c>
      <c r="B3589" s="1" t="s">
        <v>252</v>
      </c>
      <c r="C3589" s="1" t="s">
        <v>209</v>
      </c>
      <c r="D3589" s="2">
        <f t="shared" si="191"/>
        <v>2017</v>
      </c>
      <c r="E3589" s="2">
        <f t="shared" si="192"/>
        <v>10</v>
      </c>
      <c r="F3589" s="3" t="s">
        <v>180</v>
      </c>
      <c r="G3589" s="4">
        <v>43026</v>
      </c>
      <c r="J3589" s="1" t="s">
        <v>191</v>
      </c>
      <c r="K3589" s="1" t="s">
        <v>206</v>
      </c>
      <c r="L3589" s="1" t="str">
        <f t="shared" si="193"/>
        <v>Vallentunasjön Blandprov</v>
      </c>
      <c r="M3589" s="1" t="s">
        <v>177</v>
      </c>
      <c r="N3589" s="1">
        <v>4</v>
      </c>
      <c r="O3589" s="1">
        <v>0</v>
      </c>
      <c r="Q3589" s="1">
        <v>10.4</v>
      </c>
      <c r="W3589" s="1">
        <v>5.6109</v>
      </c>
      <c r="X3589" s="1">
        <v>0.1690121939077685</v>
      </c>
      <c r="Y3589" s="1">
        <v>4.2999999999999997E-2</v>
      </c>
      <c r="Z3589" s="1">
        <v>1.23</v>
      </c>
      <c r="AB3589" s="1">
        <v>38.690952381000002</v>
      </c>
      <c r="AD3589" s="1">
        <v>4.32</v>
      </c>
      <c r="AE3589" s="1">
        <v>8.2100000000000009</v>
      </c>
      <c r="AG3589" s="1">
        <v>14.545454545</v>
      </c>
      <c r="AK3589" s="1">
        <v>53.92</v>
      </c>
      <c r="AL3589" s="1">
        <v>1276.6300000000001</v>
      </c>
    </row>
    <row r="3590" spans="1:38" x14ac:dyDescent="0.3">
      <c r="A3590" s="1">
        <v>60832</v>
      </c>
      <c r="B3590" s="1" t="s">
        <v>252</v>
      </c>
      <c r="C3590" s="1" t="s">
        <v>209</v>
      </c>
      <c r="D3590" s="2">
        <f t="shared" ref="D3590:D3653" si="194">YEAR(G3590)</f>
        <v>2017</v>
      </c>
      <c r="E3590" s="2">
        <f t="shared" ref="E3590:E3653" si="195">MONTH(G3590)</f>
        <v>10</v>
      </c>
      <c r="F3590" s="3" t="s">
        <v>180</v>
      </c>
      <c r="G3590" s="4">
        <v>43038</v>
      </c>
      <c r="H3590" s="1">
        <v>6600935</v>
      </c>
      <c r="I3590" s="1">
        <v>1626764</v>
      </c>
      <c r="J3590" s="1" t="s">
        <v>191</v>
      </c>
      <c r="K3590" s="1" t="s">
        <v>210</v>
      </c>
      <c r="L3590" s="1" t="str">
        <f t="shared" si="193"/>
        <v>Vallentunasjön Va2</v>
      </c>
      <c r="M3590" s="1" t="s">
        <v>177</v>
      </c>
      <c r="N3590" s="1">
        <v>0.5</v>
      </c>
      <c r="O3590" s="1">
        <v>0.5</v>
      </c>
      <c r="P3590" s="1">
        <v>0.9</v>
      </c>
      <c r="Q3590" s="1">
        <v>4.8</v>
      </c>
      <c r="R3590" s="1">
        <v>11.8</v>
      </c>
      <c r="S3590" s="1">
        <v>92</v>
      </c>
    </row>
    <row r="3591" spans="1:38" x14ac:dyDescent="0.3">
      <c r="A3591" s="1">
        <v>60833</v>
      </c>
      <c r="B3591" s="1" t="s">
        <v>252</v>
      </c>
      <c r="C3591" s="1" t="s">
        <v>209</v>
      </c>
      <c r="D3591" s="2">
        <f t="shared" si="194"/>
        <v>2017</v>
      </c>
      <c r="E3591" s="2">
        <f t="shared" si="195"/>
        <v>10</v>
      </c>
      <c r="F3591" s="3" t="s">
        <v>180</v>
      </c>
      <c r="G3591" s="4">
        <v>43038</v>
      </c>
      <c r="H3591" s="1">
        <v>6600935</v>
      </c>
      <c r="I3591" s="1">
        <v>1626764</v>
      </c>
      <c r="J3591" s="1" t="s">
        <v>191</v>
      </c>
      <c r="K3591" s="1" t="s">
        <v>210</v>
      </c>
      <c r="L3591" s="1" t="str">
        <f t="shared" si="193"/>
        <v>Vallentunasjön Va2</v>
      </c>
      <c r="M3591" s="1" t="s">
        <v>211</v>
      </c>
      <c r="N3591" s="1">
        <v>1</v>
      </c>
      <c r="O3591" s="1">
        <v>1</v>
      </c>
      <c r="Q3591" s="1">
        <v>4.8</v>
      </c>
      <c r="R3591" s="1">
        <v>11.8</v>
      </c>
      <c r="S3591" s="1">
        <v>92</v>
      </c>
    </row>
    <row r="3592" spans="1:38" x14ac:dyDescent="0.3">
      <c r="A3592" s="1">
        <v>60834</v>
      </c>
      <c r="B3592" s="1" t="s">
        <v>252</v>
      </c>
      <c r="C3592" s="1" t="s">
        <v>209</v>
      </c>
      <c r="D3592" s="2">
        <f t="shared" si="194"/>
        <v>2017</v>
      </c>
      <c r="E3592" s="2">
        <f t="shared" si="195"/>
        <v>10</v>
      </c>
      <c r="F3592" s="3" t="s">
        <v>180</v>
      </c>
      <c r="G3592" s="4">
        <v>43038</v>
      </c>
      <c r="H3592" s="1">
        <v>6600935</v>
      </c>
      <c r="I3592" s="1">
        <v>1626764</v>
      </c>
      <c r="J3592" s="1" t="s">
        <v>191</v>
      </c>
      <c r="K3592" s="1" t="s">
        <v>210</v>
      </c>
      <c r="L3592" s="1" t="str">
        <f t="shared" si="193"/>
        <v>Vallentunasjön Va2</v>
      </c>
      <c r="M3592" s="1" t="s">
        <v>212</v>
      </c>
      <c r="N3592" s="1">
        <v>2</v>
      </c>
      <c r="O3592" s="1">
        <v>2</v>
      </c>
      <c r="Q3592" s="1">
        <v>4.8</v>
      </c>
      <c r="R3592" s="1">
        <v>11.8</v>
      </c>
      <c r="S3592" s="1">
        <v>92</v>
      </c>
    </row>
    <row r="3593" spans="1:38" x14ac:dyDescent="0.3">
      <c r="A3593" s="1">
        <v>60835</v>
      </c>
      <c r="B3593" s="1" t="s">
        <v>252</v>
      </c>
      <c r="C3593" s="1" t="s">
        <v>209</v>
      </c>
      <c r="D3593" s="2">
        <f t="shared" si="194"/>
        <v>2017</v>
      </c>
      <c r="E3593" s="2">
        <f t="shared" si="195"/>
        <v>10</v>
      </c>
      <c r="F3593" s="3" t="s">
        <v>180</v>
      </c>
      <c r="G3593" s="4">
        <v>43038</v>
      </c>
      <c r="H3593" s="1">
        <v>6600935</v>
      </c>
      <c r="I3593" s="1">
        <v>1626764</v>
      </c>
      <c r="J3593" s="1" t="s">
        <v>191</v>
      </c>
      <c r="K3593" s="1" t="s">
        <v>210</v>
      </c>
      <c r="L3593" s="1" t="str">
        <f t="shared" si="193"/>
        <v>Vallentunasjön Va2</v>
      </c>
      <c r="M3593" s="1" t="s">
        <v>213</v>
      </c>
      <c r="N3593" s="1">
        <v>3</v>
      </c>
      <c r="O3593" s="1">
        <v>3</v>
      </c>
      <c r="Q3593" s="1">
        <v>4.8</v>
      </c>
      <c r="R3593" s="1">
        <v>11.8</v>
      </c>
      <c r="S3593" s="1">
        <v>92</v>
      </c>
    </row>
    <row r="3594" spans="1:38" x14ac:dyDescent="0.3">
      <c r="A3594" s="1">
        <v>60836</v>
      </c>
      <c r="B3594" s="1" t="s">
        <v>252</v>
      </c>
      <c r="C3594" s="1" t="s">
        <v>209</v>
      </c>
      <c r="D3594" s="2">
        <f t="shared" si="194"/>
        <v>2017</v>
      </c>
      <c r="E3594" s="2">
        <f t="shared" si="195"/>
        <v>10</v>
      </c>
      <c r="F3594" s="3" t="s">
        <v>180</v>
      </c>
      <c r="G3594" s="4">
        <v>43038</v>
      </c>
      <c r="H3594" s="1">
        <v>6600935</v>
      </c>
      <c r="I3594" s="1">
        <v>1626764</v>
      </c>
      <c r="J3594" s="1" t="s">
        <v>191</v>
      </c>
      <c r="K3594" s="1" t="s">
        <v>210</v>
      </c>
      <c r="L3594" s="1" t="str">
        <f t="shared" si="193"/>
        <v>Vallentunasjön Va2</v>
      </c>
      <c r="M3594" s="1" t="s">
        <v>214</v>
      </c>
      <c r="N3594" s="1">
        <v>4</v>
      </c>
      <c r="O3594" s="1">
        <v>4</v>
      </c>
      <c r="Q3594" s="1">
        <v>4.8</v>
      </c>
      <c r="R3594" s="1">
        <v>11.8</v>
      </c>
      <c r="S3594" s="1">
        <v>92</v>
      </c>
    </row>
    <row r="3595" spans="1:38" x14ac:dyDescent="0.3">
      <c r="A3595" s="1">
        <v>60837</v>
      </c>
      <c r="B3595" s="1" t="s">
        <v>252</v>
      </c>
      <c r="C3595" s="1" t="s">
        <v>209</v>
      </c>
      <c r="D3595" s="2">
        <f t="shared" si="194"/>
        <v>2017</v>
      </c>
      <c r="E3595" s="2">
        <f t="shared" si="195"/>
        <v>10</v>
      </c>
      <c r="F3595" s="3" t="s">
        <v>180</v>
      </c>
      <c r="G3595" s="4">
        <v>43038</v>
      </c>
      <c r="H3595" s="1">
        <v>6600935</v>
      </c>
      <c r="I3595" s="1">
        <v>1626764</v>
      </c>
      <c r="J3595" s="1" t="s">
        <v>191</v>
      </c>
      <c r="K3595" s="1" t="s">
        <v>210</v>
      </c>
      <c r="L3595" s="1" t="str">
        <f t="shared" si="193"/>
        <v>Vallentunasjön Va2</v>
      </c>
      <c r="M3595" s="1" t="s">
        <v>184</v>
      </c>
      <c r="Q3595" s="1">
        <v>4.8</v>
      </c>
      <c r="R3595" s="1">
        <v>11.8</v>
      </c>
      <c r="S3595" s="1">
        <v>92</v>
      </c>
    </row>
    <row r="3596" spans="1:38" x14ac:dyDescent="0.3">
      <c r="A3596" s="1">
        <v>60838</v>
      </c>
      <c r="B3596" s="1" t="s">
        <v>252</v>
      </c>
      <c r="C3596" s="1" t="s">
        <v>209</v>
      </c>
      <c r="D3596" s="2">
        <f t="shared" si="194"/>
        <v>2017</v>
      </c>
      <c r="E3596" s="2">
        <f t="shared" si="195"/>
        <v>10</v>
      </c>
      <c r="F3596" s="3" t="s">
        <v>180</v>
      </c>
      <c r="G3596" s="4">
        <v>43038</v>
      </c>
      <c r="J3596" s="1" t="s">
        <v>191</v>
      </c>
      <c r="K3596" s="1" t="s">
        <v>206</v>
      </c>
      <c r="L3596" s="1" t="str">
        <f t="shared" si="193"/>
        <v>Vallentunasjön Blandprov</v>
      </c>
      <c r="M3596" s="1" t="s">
        <v>177</v>
      </c>
      <c r="N3596" s="1">
        <v>4</v>
      </c>
      <c r="O3596" s="1">
        <v>0</v>
      </c>
      <c r="Q3596" s="1">
        <v>4.8</v>
      </c>
      <c r="W3596" s="1">
        <v>11.675800000000001</v>
      </c>
      <c r="X3596" s="1">
        <v>0.10751382908887758</v>
      </c>
      <c r="Y3596" s="1">
        <v>4.7E-2</v>
      </c>
      <c r="Z3596" s="1">
        <v>8.75</v>
      </c>
      <c r="AB3596" s="1">
        <v>41.749650000000003</v>
      </c>
      <c r="AD3596" s="1">
        <v>33.57</v>
      </c>
      <c r="AE3596" s="1">
        <v>7.88</v>
      </c>
      <c r="AG3596" s="1">
        <v>18</v>
      </c>
      <c r="AK3596" s="1">
        <v>46.21</v>
      </c>
      <c r="AL3596" s="1">
        <v>1209.8900000000001</v>
      </c>
    </row>
    <row r="3597" spans="1:38" x14ac:dyDescent="0.3">
      <c r="A3597" s="1">
        <v>61002</v>
      </c>
      <c r="B3597" s="1" t="s">
        <v>252</v>
      </c>
      <c r="C3597" s="1" t="s">
        <v>209</v>
      </c>
      <c r="D3597" s="2">
        <f t="shared" si="194"/>
        <v>2017</v>
      </c>
      <c r="E3597" s="2">
        <f t="shared" si="195"/>
        <v>11</v>
      </c>
      <c r="F3597" s="3" t="s">
        <v>180</v>
      </c>
      <c r="G3597" s="4">
        <v>43053</v>
      </c>
      <c r="H3597" s="1">
        <v>6600935</v>
      </c>
      <c r="I3597" s="1">
        <v>1626764</v>
      </c>
      <c r="J3597" s="1" t="s">
        <v>191</v>
      </c>
      <c r="K3597" s="1" t="s">
        <v>210</v>
      </c>
      <c r="L3597" s="1" t="str">
        <f t="shared" si="193"/>
        <v>Vallentunasjön Va2</v>
      </c>
      <c r="M3597" s="1" t="s">
        <v>177</v>
      </c>
      <c r="N3597" s="1">
        <v>0.5</v>
      </c>
      <c r="O3597" s="1">
        <v>0.5</v>
      </c>
      <c r="P3597" s="1">
        <v>1.4</v>
      </c>
      <c r="Q3597" s="1">
        <v>3.1</v>
      </c>
      <c r="R3597" s="1">
        <v>12.6</v>
      </c>
      <c r="S3597" s="1">
        <v>94</v>
      </c>
    </row>
    <row r="3598" spans="1:38" x14ac:dyDescent="0.3">
      <c r="A3598" s="1">
        <v>61003</v>
      </c>
      <c r="B3598" s="1" t="s">
        <v>252</v>
      </c>
      <c r="C3598" s="1" t="s">
        <v>209</v>
      </c>
      <c r="D3598" s="2">
        <f t="shared" si="194"/>
        <v>2017</v>
      </c>
      <c r="E3598" s="2">
        <f t="shared" si="195"/>
        <v>11</v>
      </c>
      <c r="F3598" s="3" t="s">
        <v>180</v>
      </c>
      <c r="G3598" s="4">
        <v>43053</v>
      </c>
      <c r="H3598" s="1">
        <v>6600935</v>
      </c>
      <c r="I3598" s="1">
        <v>1626764</v>
      </c>
      <c r="J3598" s="1" t="s">
        <v>191</v>
      </c>
      <c r="K3598" s="1" t="s">
        <v>210</v>
      </c>
      <c r="L3598" s="1" t="str">
        <f t="shared" si="193"/>
        <v>Vallentunasjön Va2</v>
      </c>
      <c r="M3598" s="1" t="s">
        <v>211</v>
      </c>
      <c r="N3598" s="1">
        <v>1</v>
      </c>
      <c r="O3598" s="1">
        <v>1</v>
      </c>
      <c r="Q3598" s="1">
        <v>3.1</v>
      </c>
      <c r="R3598" s="1">
        <v>12.6</v>
      </c>
      <c r="S3598" s="1">
        <v>94</v>
      </c>
    </row>
    <row r="3599" spans="1:38" x14ac:dyDescent="0.3">
      <c r="A3599" s="1">
        <v>61004</v>
      </c>
      <c r="B3599" s="1" t="s">
        <v>252</v>
      </c>
      <c r="C3599" s="1" t="s">
        <v>209</v>
      </c>
      <c r="D3599" s="2">
        <f t="shared" si="194"/>
        <v>2017</v>
      </c>
      <c r="E3599" s="2">
        <f t="shared" si="195"/>
        <v>11</v>
      </c>
      <c r="F3599" s="3" t="s">
        <v>180</v>
      </c>
      <c r="G3599" s="4">
        <v>43053</v>
      </c>
      <c r="H3599" s="1">
        <v>6600935</v>
      </c>
      <c r="I3599" s="1">
        <v>1626764</v>
      </c>
      <c r="J3599" s="1" t="s">
        <v>191</v>
      </c>
      <c r="K3599" s="1" t="s">
        <v>210</v>
      </c>
      <c r="L3599" s="1" t="str">
        <f t="shared" si="193"/>
        <v>Vallentunasjön Va2</v>
      </c>
      <c r="M3599" s="1" t="s">
        <v>212</v>
      </c>
      <c r="N3599" s="1">
        <v>2</v>
      </c>
      <c r="O3599" s="1">
        <v>2</v>
      </c>
      <c r="Q3599" s="1">
        <v>3.2</v>
      </c>
      <c r="R3599" s="1">
        <v>12.5</v>
      </c>
      <c r="S3599" s="1">
        <v>93</v>
      </c>
    </row>
    <row r="3600" spans="1:38" x14ac:dyDescent="0.3">
      <c r="A3600" s="1">
        <v>61005</v>
      </c>
      <c r="B3600" s="1" t="s">
        <v>252</v>
      </c>
      <c r="C3600" s="1" t="s">
        <v>209</v>
      </c>
      <c r="D3600" s="2">
        <f t="shared" si="194"/>
        <v>2017</v>
      </c>
      <c r="E3600" s="2">
        <f t="shared" si="195"/>
        <v>11</v>
      </c>
      <c r="F3600" s="3" t="s">
        <v>180</v>
      </c>
      <c r="G3600" s="4">
        <v>43053</v>
      </c>
      <c r="H3600" s="1">
        <v>6600935</v>
      </c>
      <c r="I3600" s="1">
        <v>1626764</v>
      </c>
      <c r="J3600" s="1" t="s">
        <v>191</v>
      </c>
      <c r="K3600" s="1" t="s">
        <v>210</v>
      </c>
      <c r="L3600" s="1" t="str">
        <f t="shared" si="193"/>
        <v>Vallentunasjön Va2</v>
      </c>
      <c r="M3600" s="1" t="s">
        <v>213</v>
      </c>
      <c r="N3600" s="1">
        <v>3</v>
      </c>
      <c r="O3600" s="1">
        <v>3</v>
      </c>
      <c r="Q3600" s="1">
        <v>3.2</v>
      </c>
      <c r="R3600" s="1">
        <v>12.5</v>
      </c>
      <c r="S3600" s="1">
        <v>93</v>
      </c>
    </row>
    <row r="3601" spans="1:68" x14ac:dyDescent="0.3">
      <c r="A3601" s="1">
        <v>61006</v>
      </c>
      <c r="B3601" s="1" t="s">
        <v>252</v>
      </c>
      <c r="C3601" s="1" t="s">
        <v>209</v>
      </c>
      <c r="D3601" s="2">
        <f t="shared" si="194"/>
        <v>2017</v>
      </c>
      <c r="E3601" s="2">
        <f t="shared" si="195"/>
        <v>11</v>
      </c>
      <c r="F3601" s="3" t="s">
        <v>180</v>
      </c>
      <c r="G3601" s="4">
        <v>43053</v>
      </c>
      <c r="H3601" s="1">
        <v>6600935</v>
      </c>
      <c r="I3601" s="1">
        <v>1626764</v>
      </c>
      <c r="J3601" s="1" t="s">
        <v>191</v>
      </c>
      <c r="K3601" s="1" t="s">
        <v>210</v>
      </c>
      <c r="L3601" s="1" t="str">
        <f t="shared" si="193"/>
        <v>Vallentunasjön Va2</v>
      </c>
      <c r="M3601" s="1" t="s">
        <v>214</v>
      </c>
      <c r="N3601" s="1">
        <v>4</v>
      </c>
      <c r="O3601" s="1">
        <v>4</v>
      </c>
      <c r="Q3601" s="1">
        <v>3.2</v>
      </c>
      <c r="R3601" s="1">
        <v>12.4</v>
      </c>
      <c r="S3601" s="1">
        <v>92</v>
      </c>
    </row>
    <row r="3602" spans="1:68" x14ac:dyDescent="0.3">
      <c r="A3602" s="1">
        <v>61007</v>
      </c>
      <c r="B3602" s="1" t="s">
        <v>252</v>
      </c>
      <c r="C3602" s="1" t="s">
        <v>209</v>
      </c>
      <c r="D3602" s="2">
        <f t="shared" si="194"/>
        <v>2017</v>
      </c>
      <c r="E3602" s="2">
        <f t="shared" si="195"/>
        <v>11</v>
      </c>
      <c r="F3602" s="3" t="s">
        <v>180</v>
      </c>
      <c r="G3602" s="4">
        <v>43053</v>
      </c>
      <c r="H3602" s="1">
        <v>6600935</v>
      </c>
      <c r="I3602" s="1">
        <v>1626764</v>
      </c>
      <c r="J3602" s="1" t="s">
        <v>191</v>
      </c>
      <c r="K3602" s="1" t="s">
        <v>210</v>
      </c>
      <c r="L3602" s="1" t="str">
        <f t="shared" si="193"/>
        <v>Vallentunasjön Va2</v>
      </c>
      <c r="M3602" s="1" t="s">
        <v>184</v>
      </c>
      <c r="Q3602" s="1">
        <v>3.3</v>
      </c>
      <c r="R3602" s="1">
        <v>12.2</v>
      </c>
      <c r="S3602" s="1">
        <v>91</v>
      </c>
    </row>
    <row r="3603" spans="1:68" x14ac:dyDescent="0.3">
      <c r="A3603" s="1">
        <v>61008</v>
      </c>
      <c r="B3603" s="1" t="s">
        <v>252</v>
      </c>
      <c r="C3603" s="1" t="s">
        <v>209</v>
      </c>
      <c r="D3603" s="2">
        <f t="shared" si="194"/>
        <v>2017</v>
      </c>
      <c r="E3603" s="2">
        <f t="shared" si="195"/>
        <v>11</v>
      </c>
      <c r="F3603" s="3" t="s">
        <v>180</v>
      </c>
      <c r="G3603" s="4">
        <v>43053</v>
      </c>
      <c r="J3603" s="1" t="s">
        <v>191</v>
      </c>
      <c r="K3603" s="1" t="s">
        <v>206</v>
      </c>
      <c r="L3603" s="1" t="str">
        <f t="shared" si="193"/>
        <v>Vallentunasjön Blandprov</v>
      </c>
      <c r="M3603" s="1" t="s">
        <v>177</v>
      </c>
      <c r="N3603" s="1">
        <v>4</v>
      </c>
      <c r="O3603" s="1">
        <v>0</v>
      </c>
      <c r="Q3603" s="1">
        <v>3.2</v>
      </c>
      <c r="W3603" s="1">
        <v>47.991700000000002</v>
      </c>
      <c r="X3603" s="1">
        <v>0.33074494504360652</v>
      </c>
      <c r="Y3603" s="1">
        <v>4.2000000000000003E-2</v>
      </c>
      <c r="Z3603" s="1">
        <v>3.3</v>
      </c>
      <c r="AB3603" s="1">
        <v>36.269280000000002</v>
      </c>
      <c r="AD3603" s="1">
        <v>46.38</v>
      </c>
      <c r="AE3603" s="1">
        <v>7.81</v>
      </c>
      <c r="AG3603" s="1">
        <v>9.6</v>
      </c>
      <c r="AK3603" s="1">
        <v>45.41</v>
      </c>
      <c r="AL3603" s="1">
        <v>1200.08</v>
      </c>
    </row>
    <row r="3604" spans="1:68" x14ac:dyDescent="0.3">
      <c r="A3604" s="1">
        <v>62113</v>
      </c>
      <c r="B3604" s="1" t="s">
        <v>252</v>
      </c>
      <c r="C3604" s="1" t="s">
        <v>209</v>
      </c>
      <c r="D3604" s="2">
        <f t="shared" si="194"/>
        <v>2017</v>
      </c>
      <c r="E3604" s="2">
        <f t="shared" si="195"/>
        <v>12</v>
      </c>
      <c r="F3604" s="3" t="s">
        <v>175</v>
      </c>
      <c r="G3604" s="4">
        <v>43087</v>
      </c>
      <c r="H3604" s="1">
        <v>6600738</v>
      </c>
      <c r="I3604" s="1">
        <v>672261</v>
      </c>
      <c r="J3604" s="1" t="s">
        <v>191</v>
      </c>
      <c r="K3604" s="1" t="s">
        <v>210</v>
      </c>
      <c r="L3604" s="1" t="str">
        <f t="shared" si="193"/>
        <v>Vallentunasjön Va2</v>
      </c>
      <c r="M3604" s="1" t="s">
        <v>177</v>
      </c>
      <c r="N3604" s="1">
        <v>0.5</v>
      </c>
      <c r="O3604" s="1">
        <v>0.5</v>
      </c>
      <c r="P3604" s="1">
        <v>1.3</v>
      </c>
      <c r="Q3604" s="1">
        <v>0.5</v>
      </c>
      <c r="R3604" s="1">
        <v>14.1</v>
      </c>
      <c r="S3604" s="1">
        <v>97</v>
      </c>
    </row>
    <row r="3605" spans="1:68" x14ac:dyDescent="0.3">
      <c r="A3605" s="1">
        <v>62114</v>
      </c>
      <c r="B3605" s="1" t="s">
        <v>252</v>
      </c>
      <c r="C3605" s="1" t="s">
        <v>209</v>
      </c>
      <c r="D3605" s="2">
        <f t="shared" si="194"/>
        <v>2017</v>
      </c>
      <c r="E3605" s="2">
        <f t="shared" si="195"/>
        <v>12</v>
      </c>
      <c r="F3605" s="3" t="s">
        <v>175</v>
      </c>
      <c r="G3605" s="4">
        <v>43087</v>
      </c>
      <c r="H3605" s="1">
        <v>6600738</v>
      </c>
      <c r="I3605" s="1">
        <v>672261</v>
      </c>
      <c r="J3605" s="1" t="s">
        <v>191</v>
      </c>
      <c r="K3605" s="1" t="s">
        <v>210</v>
      </c>
      <c r="L3605" s="1" t="str">
        <f t="shared" si="193"/>
        <v>Vallentunasjön Va2</v>
      </c>
      <c r="M3605" s="1" t="s">
        <v>211</v>
      </c>
      <c r="N3605" s="1">
        <v>1</v>
      </c>
      <c r="O3605" s="1">
        <v>1</v>
      </c>
      <c r="Q3605" s="1">
        <v>2</v>
      </c>
      <c r="R3605" s="1">
        <v>14.1</v>
      </c>
      <c r="S3605" s="1">
        <v>97</v>
      </c>
    </row>
    <row r="3606" spans="1:68" x14ac:dyDescent="0.3">
      <c r="A3606" s="1">
        <v>62115</v>
      </c>
      <c r="B3606" s="1" t="s">
        <v>252</v>
      </c>
      <c r="C3606" s="1" t="s">
        <v>209</v>
      </c>
      <c r="D3606" s="2">
        <f t="shared" si="194"/>
        <v>2017</v>
      </c>
      <c r="E3606" s="2">
        <f t="shared" si="195"/>
        <v>12</v>
      </c>
      <c r="F3606" s="3" t="s">
        <v>175</v>
      </c>
      <c r="G3606" s="4">
        <v>43087</v>
      </c>
      <c r="H3606" s="1">
        <v>6600738</v>
      </c>
      <c r="I3606" s="1">
        <v>672261</v>
      </c>
      <c r="J3606" s="1" t="s">
        <v>191</v>
      </c>
      <c r="K3606" s="1" t="s">
        <v>210</v>
      </c>
      <c r="L3606" s="1" t="str">
        <f t="shared" si="193"/>
        <v>Vallentunasjön Va2</v>
      </c>
      <c r="M3606" s="1" t="s">
        <v>212</v>
      </c>
      <c r="N3606" s="1">
        <v>2</v>
      </c>
      <c r="O3606" s="1">
        <v>2</v>
      </c>
      <c r="Q3606" s="1">
        <v>2</v>
      </c>
      <c r="R3606" s="1">
        <v>14.1</v>
      </c>
      <c r="S3606" s="1">
        <v>97</v>
      </c>
    </row>
    <row r="3607" spans="1:68" x14ac:dyDescent="0.3">
      <c r="A3607" s="1">
        <v>62116</v>
      </c>
      <c r="B3607" s="1" t="s">
        <v>252</v>
      </c>
      <c r="C3607" s="1" t="s">
        <v>209</v>
      </c>
      <c r="D3607" s="2">
        <f t="shared" si="194"/>
        <v>2017</v>
      </c>
      <c r="E3607" s="2">
        <f t="shared" si="195"/>
        <v>12</v>
      </c>
      <c r="F3607" s="3" t="s">
        <v>175</v>
      </c>
      <c r="G3607" s="4">
        <v>43087</v>
      </c>
      <c r="H3607" s="1">
        <v>6600738</v>
      </c>
      <c r="I3607" s="1">
        <v>672261</v>
      </c>
      <c r="J3607" s="1" t="s">
        <v>191</v>
      </c>
      <c r="K3607" s="1" t="s">
        <v>210</v>
      </c>
      <c r="L3607" s="1" t="str">
        <f t="shared" si="193"/>
        <v>Vallentunasjön Va2</v>
      </c>
      <c r="M3607" s="1" t="s">
        <v>213</v>
      </c>
      <c r="N3607" s="1">
        <v>3</v>
      </c>
      <c r="O3607" s="1">
        <v>3</v>
      </c>
      <c r="Q3607" s="1">
        <v>2</v>
      </c>
      <c r="R3607" s="1">
        <v>14.1</v>
      </c>
      <c r="S3607" s="1">
        <v>97</v>
      </c>
    </row>
    <row r="3608" spans="1:68" x14ac:dyDescent="0.3">
      <c r="A3608" s="1">
        <v>62117</v>
      </c>
      <c r="B3608" s="1" t="s">
        <v>252</v>
      </c>
      <c r="C3608" s="1" t="s">
        <v>209</v>
      </c>
      <c r="D3608" s="2">
        <f t="shared" si="194"/>
        <v>2017</v>
      </c>
      <c r="E3608" s="2">
        <f t="shared" si="195"/>
        <v>12</v>
      </c>
      <c r="F3608" s="3" t="s">
        <v>175</v>
      </c>
      <c r="G3608" s="4">
        <v>43087</v>
      </c>
      <c r="H3608" s="1">
        <v>6600738</v>
      </c>
      <c r="I3608" s="1">
        <v>672261</v>
      </c>
      <c r="J3608" s="1" t="s">
        <v>191</v>
      </c>
      <c r="K3608" s="1" t="s">
        <v>210</v>
      </c>
      <c r="L3608" s="1" t="str">
        <f t="shared" si="193"/>
        <v>Vallentunasjön Va2</v>
      </c>
      <c r="M3608" s="1" t="s">
        <v>214</v>
      </c>
      <c r="N3608" s="1">
        <v>4</v>
      </c>
      <c r="O3608" s="1">
        <v>4</v>
      </c>
      <c r="Q3608" s="1">
        <v>2</v>
      </c>
      <c r="R3608" s="1">
        <v>14.1</v>
      </c>
      <c r="S3608" s="1">
        <v>97</v>
      </c>
    </row>
    <row r="3609" spans="1:68" x14ac:dyDescent="0.3">
      <c r="A3609" s="1">
        <v>62118</v>
      </c>
      <c r="B3609" s="1" t="s">
        <v>252</v>
      </c>
      <c r="C3609" s="1" t="s">
        <v>209</v>
      </c>
      <c r="D3609" s="2">
        <f t="shared" si="194"/>
        <v>2017</v>
      </c>
      <c r="E3609" s="2">
        <f t="shared" si="195"/>
        <v>12</v>
      </c>
      <c r="F3609" s="3" t="s">
        <v>175</v>
      </c>
      <c r="G3609" s="4">
        <v>43087</v>
      </c>
      <c r="H3609" s="1">
        <v>6600738</v>
      </c>
      <c r="I3609" s="1">
        <v>672261</v>
      </c>
      <c r="J3609" s="1" t="s">
        <v>191</v>
      </c>
      <c r="K3609" s="1" t="s">
        <v>210</v>
      </c>
      <c r="L3609" s="1" t="str">
        <f t="shared" si="193"/>
        <v>Vallentunasjön Va2</v>
      </c>
      <c r="M3609" s="1" t="s">
        <v>184</v>
      </c>
    </row>
    <row r="3610" spans="1:68" x14ac:dyDescent="0.3">
      <c r="A3610" s="1">
        <v>62119</v>
      </c>
      <c r="B3610" s="1" t="s">
        <v>252</v>
      </c>
      <c r="C3610" s="1" t="s">
        <v>209</v>
      </c>
      <c r="D3610" s="2">
        <f t="shared" si="194"/>
        <v>2017</v>
      </c>
      <c r="E3610" s="2">
        <f t="shared" si="195"/>
        <v>12</v>
      </c>
      <c r="F3610" s="3" t="s">
        <v>175</v>
      </c>
      <c r="G3610" s="4">
        <v>43087</v>
      </c>
      <c r="J3610" s="1" t="s">
        <v>191</v>
      </c>
      <c r="K3610" s="1" t="s">
        <v>206</v>
      </c>
      <c r="L3610" s="1" t="str">
        <f t="shared" si="193"/>
        <v>Vallentunasjön Blandprov</v>
      </c>
      <c r="M3610" s="1" t="s">
        <v>177</v>
      </c>
      <c r="N3610" s="1">
        <v>4</v>
      </c>
      <c r="O3610" s="1">
        <v>0</v>
      </c>
      <c r="Q3610" s="1">
        <v>2</v>
      </c>
      <c r="W3610" s="1">
        <v>122.8001</v>
      </c>
      <c r="X3610" s="1">
        <v>1.1836955280491748</v>
      </c>
      <c r="Y3610" s="1">
        <v>7.3999999999999996E-2</v>
      </c>
      <c r="Z3610" s="1">
        <v>0</v>
      </c>
      <c r="AB3610" s="1">
        <v>37.3887</v>
      </c>
      <c r="AD3610" s="1">
        <v>263.87</v>
      </c>
      <c r="AE3610" s="1">
        <v>8</v>
      </c>
      <c r="AG3610" s="1">
        <v>7.1111111110999996</v>
      </c>
      <c r="AK3610" s="1">
        <v>39.145000000000003</v>
      </c>
      <c r="AL3610" s="1">
        <v>1356.04</v>
      </c>
    </row>
    <row r="3611" spans="1:68" x14ac:dyDescent="0.3">
      <c r="D3611" s="2">
        <f t="shared" si="194"/>
        <v>2017</v>
      </c>
      <c r="E3611" s="2">
        <f t="shared" si="195"/>
        <v>2</v>
      </c>
      <c r="F3611" s="3" t="s">
        <v>175</v>
      </c>
      <c r="G3611" s="4">
        <v>42788</v>
      </c>
      <c r="H3611" s="1">
        <v>6606632</v>
      </c>
      <c r="I3611" s="1">
        <v>665189</v>
      </c>
      <c r="J3611" s="1" t="s">
        <v>181</v>
      </c>
      <c r="K3611" s="1"/>
      <c r="L3611" s="1" t="str">
        <f t="shared" si="193"/>
        <v xml:space="preserve">Fysingen </v>
      </c>
      <c r="M3611" s="1" t="s">
        <v>177</v>
      </c>
      <c r="N3611" s="1">
        <v>0.5</v>
      </c>
      <c r="O3611" s="1">
        <v>0.5</v>
      </c>
      <c r="P3611" s="1">
        <v>1.7</v>
      </c>
      <c r="Q3611" s="1">
        <v>3.2</v>
      </c>
      <c r="R3611" s="1">
        <v>11.4</v>
      </c>
      <c r="T3611" s="1">
        <v>59.1</v>
      </c>
      <c r="V3611" s="1">
        <v>2.56</v>
      </c>
      <c r="W3611" s="1">
        <v>62</v>
      </c>
      <c r="X3611" s="1">
        <f t="shared" ref="X3611:X3614" si="196">W3611 * (1/((10^((0.0901821 + (2729.92 /(273.15 + Q3611)))-AE3611)+1)))</f>
        <v>0.22497971966119096</v>
      </c>
      <c r="Y3611" s="1">
        <v>3.3000000000000002E-2</v>
      </c>
      <c r="Z3611" s="1">
        <v>0.5</v>
      </c>
      <c r="AA3611" s="1">
        <v>1.7</v>
      </c>
      <c r="AB3611" s="1">
        <v>5</v>
      </c>
      <c r="AD3611" s="1">
        <v>785</v>
      </c>
      <c r="AE3611" s="1">
        <v>7.53</v>
      </c>
      <c r="AI3611" s="1">
        <v>8.6999999999999993</v>
      </c>
      <c r="AK3611" s="1">
        <v>14.1</v>
      </c>
      <c r="AL3611" s="1">
        <v>1300</v>
      </c>
      <c r="AR3611" s="1">
        <v>96.1</v>
      </c>
      <c r="AS3611" s="1">
        <v>0.06</v>
      </c>
      <c r="AT3611" s="1">
        <v>6.6470000000000011</v>
      </c>
      <c r="AU3611" s="1">
        <v>13.31</v>
      </c>
      <c r="AV3611" s="1">
        <v>46.085000000000008</v>
      </c>
      <c r="AW3611" s="1">
        <v>32.116</v>
      </c>
      <c r="AX3611" s="1">
        <v>96.1</v>
      </c>
      <c r="AY3611" s="1">
        <v>3.2</v>
      </c>
      <c r="AZ3611" s="1">
        <v>95</v>
      </c>
    </row>
    <row r="3612" spans="1:68" x14ac:dyDescent="0.3">
      <c r="D3612" s="2">
        <f t="shared" si="194"/>
        <v>2017</v>
      </c>
      <c r="E3612" s="2">
        <f t="shared" si="195"/>
        <v>4</v>
      </c>
      <c r="F3612" s="3" t="s">
        <v>178</v>
      </c>
      <c r="G3612" s="4">
        <v>42844</v>
      </c>
      <c r="H3612" s="1">
        <v>6606632</v>
      </c>
      <c r="I3612" s="1">
        <v>665189</v>
      </c>
      <c r="J3612" s="1" t="s">
        <v>181</v>
      </c>
      <c r="K3612" s="1"/>
      <c r="L3612" s="1" t="str">
        <f t="shared" si="193"/>
        <v xml:space="preserve">Fysingen </v>
      </c>
      <c r="M3612" s="1" t="s">
        <v>177</v>
      </c>
      <c r="N3612" s="1">
        <v>0.5</v>
      </c>
      <c r="O3612" s="1">
        <v>0.5</v>
      </c>
      <c r="P3612" s="1">
        <v>2</v>
      </c>
      <c r="Q3612" s="1">
        <v>6.2</v>
      </c>
      <c r="R3612" s="1">
        <v>11.51</v>
      </c>
      <c r="T3612" s="1">
        <v>53.2</v>
      </c>
      <c r="V3612" s="1">
        <v>2.1800000000000002</v>
      </c>
      <c r="W3612" s="1">
        <v>4</v>
      </c>
      <c r="X3612" s="1">
        <f t="shared" si="196"/>
        <v>6.2042418510789302E-2</v>
      </c>
      <c r="Y3612" s="1">
        <v>3.2000000000000001E-2</v>
      </c>
      <c r="Z3612" s="1">
        <v>0.5</v>
      </c>
      <c r="AA3612" s="1">
        <v>1.8</v>
      </c>
      <c r="AB3612" s="1">
        <v>4.5999999999999996</v>
      </c>
      <c r="AD3612" s="1">
        <v>1000</v>
      </c>
      <c r="AE3612" s="1">
        <v>8.06</v>
      </c>
      <c r="AI3612" s="1">
        <v>9.1999999999999993</v>
      </c>
      <c r="AK3612" s="1">
        <v>16.100000000000001</v>
      </c>
      <c r="AL3612" s="1">
        <v>1020</v>
      </c>
      <c r="AR3612" s="1">
        <v>91.294999999999987</v>
      </c>
      <c r="AS3612" s="1">
        <v>6.4000000000000001E-2</v>
      </c>
      <c r="AT3612" s="1">
        <v>5.4740000000000011</v>
      </c>
      <c r="AU3612" s="1">
        <v>11.978999999999999</v>
      </c>
      <c r="AV3612" s="1">
        <v>38.995000000000005</v>
      </c>
      <c r="AW3612" s="1">
        <v>27.528000000000002</v>
      </c>
      <c r="AX3612" s="1">
        <v>91.294999999999987</v>
      </c>
      <c r="AY3612" s="1">
        <v>3.1</v>
      </c>
      <c r="AZ3612" s="1">
        <v>76</v>
      </c>
    </row>
    <row r="3613" spans="1:68" x14ac:dyDescent="0.3">
      <c r="D3613" s="2">
        <f t="shared" si="194"/>
        <v>2017</v>
      </c>
      <c r="E3613" s="2">
        <f t="shared" si="195"/>
        <v>8</v>
      </c>
      <c r="F3613" s="3" t="s">
        <v>179</v>
      </c>
      <c r="G3613" s="4">
        <v>42963</v>
      </c>
      <c r="H3613" s="1">
        <v>6606632</v>
      </c>
      <c r="I3613" s="1">
        <v>665189</v>
      </c>
      <c r="J3613" s="1" t="s">
        <v>181</v>
      </c>
      <c r="K3613" s="1"/>
      <c r="L3613" s="1" t="str">
        <f t="shared" si="193"/>
        <v xml:space="preserve">Fysingen </v>
      </c>
      <c r="M3613" s="1" t="s">
        <v>177</v>
      </c>
      <c r="N3613" s="1">
        <v>0.5</v>
      </c>
      <c r="O3613" s="1">
        <v>0.5</v>
      </c>
      <c r="P3613" s="1">
        <v>1.2</v>
      </c>
      <c r="Q3613" s="1">
        <v>19.2</v>
      </c>
      <c r="R3613" s="1">
        <v>8.6999999999999993</v>
      </c>
      <c r="T3613" s="1">
        <v>58</v>
      </c>
      <c r="V3613" s="1">
        <v>2.41</v>
      </c>
      <c r="W3613" s="1">
        <v>21</v>
      </c>
      <c r="X3613" s="1">
        <f t="shared" si="196"/>
        <v>0.73897680082804618</v>
      </c>
      <c r="Y3613" s="1">
        <v>0.03</v>
      </c>
      <c r="Z3613" s="1">
        <v>2</v>
      </c>
      <c r="AA3613" s="1">
        <v>7.4</v>
      </c>
      <c r="AB3613" s="1">
        <v>13</v>
      </c>
      <c r="AD3613" s="1">
        <v>6</v>
      </c>
      <c r="AE3613" s="1">
        <v>7.99</v>
      </c>
      <c r="AI3613" s="1">
        <v>10.7</v>
      </c>
      <c r="AK3613" s="1">
        <v>37</v>
      </c>
      <c r="AL3613" s="1">
        <v>718</v>
      </c>
      <c r="AR3613" s="1">
        <v>96.1</v>
      </c>
      <c r="AS3613" s="1">
        <v>0.15</v>
      </c>
      <c r="AT3613" s="1">
        <v>6.2560000000000002</v>
      </c>
      <c r="AU3613" s="1">
        <v>13.31</v>
      </c>
      <c r="AV3613" s="1">
        <v>46.085000000000008</v>
      </c>
      <c r="AW3613" s="1">
        <v>32.116</v>
      </c>
      <c r="AX3613" s="1">
        <v>96.1</v>
      </c>
      <c r="AY3613" s="1">
        <v>0.96</v>
      </c>
      <c r="AZ3613" s="1">
        <v>170</v>
      </c>
    </row>
    <row r="3614" spans="1:68" x14ac:dyDescent="0.3">
      <c r="D3614" s="2">
        <f t="shared" si="194"/>
        <v>2017</v>
      </c>
      <c r="E3614" s="2">
        <f t="shared" si="195"/>
        <v>10</v>
      </c>
      <c r="F3614" s="3" t="s">
        <v>180</v>
      </c>
      <c r="G3614" s="4">
        <v>43026</v>
      </c>
      <c r="H3614" s="1">
        <v>6606632</v>
      </c>
      <c r="I3614" s="1">
        <v>665189</v>
      </c>
      <c r="J3614" s="1" t="s">
        <v>181</v>
      </c>
      <c r="K3614" s="1"/>
      <c r="L3614" s="1" t="str">
        <f t="shared" si="193"/>
        <v xml:space="preserve">Fysingen </v>
      </c>
      <c r="M3614" s="1" t="s">
        <v>177</v>
      </c>
      <c r="N3614" s="1">
        <v>0.5</v>
      </c>
      <c r="O3614" s="1">
        <v>0.5</v>
      </c>
      <c r="P3614" s="1">
        <v>2.5</v>
      </c>
      <c r="Q3614" s="1">
        <v>9.9</v>
      </c>
      <c r="R3614" s="1">
        <v>10.64</v>
      </c>
      <c r="T3614" s="1">
        <v>56.1</v>
      </c>
      <c r="V3614" s="1">
        <v>2.2000000000000002</v>
      </c>
      <c r="W3614" s="1">
        <v>31</v>
      </c>
      <c r="X3614" s="1">
        <f t="shared" si="196"/>
        <v>0.48934262108383103</v>
      </c>
      <c r="Y3614" s="1">
        <v>2.9000000000000001E-2</v>
      </c>
      <c r="Z3614" s="1">
        <v>0.5</v>
      </c>
      <c r="AA3614" s="1">
        <v>2.2000000000000002</v>
      </c>
      <c r="AB3614" s="1">
        <v>4.8</v>
      </c>
      <c r="AD3614" s="1">
        <v>190</v>
      </c>
      <c r="AE3614" s="1">
        <v>7.94</v>
      </c>
      <c r="AI3614" s="1">
        <v>8.6</v>
      </c>
      <c r="AK3614" s="1">
        <v>18.8</v>
      </c>
      <c r="AL3614" s="1">
        <v>748</v>
      </c>
      <c r="AR3614" s="1">
        <v>96.1</v>
      </c>
      <c r="AS3614" s="1">
        <v>9.2999999999999999E-2</v>
      </c>
      <c r="AT3614" s="1">
        <v>6.2560000000000002</v>
      </c>
      <c r="AU3614" s="1">
        <v>13.31</v>
      </c>
      <c r="AV3614" s="1">
        <v>46.085000000000008</v>
      </c>
      <c r="AW3614" s="1">
        <v>32.116</v>
      </c>
      <c r="AX3614" s="1">
        <v>96.1</v>
      </c>
      <c r="AY3614" s="1">
        <v>0.92</v>
      </c>
      <c r="AZ3614" s="1">
        <v>110</v>
      </c>
      <c r="BA3614" s="1">
        <v>0.56000000000000005</v>
      </c>
      <c r="BC3614" s="1">
        <v>0.01</v>
      </c>
      <c r="BD3614" s="1">
        <v>0.66</v>
      </c>
      <c r="BE3614" s="1">
        <v>0.19</v>
      </c>
      <c r="BF3614" s="1">
        <v>0.93</v>
      </c>
      <c r="BJ3614" s="1">
        <v>6.7</v>
      </c>
      <c r="BL3614" s="1">
        <v>0.08</v>
      </c>
      <c r="BN3614" s="1">
        <v>0.4</v>
      </c>
      <c r="BO3614" s="1">
        <v>2.1</v>
      </c>
      <c r="BP3614" s="1">
        <v>14</v>
      </c>
    </row>
    <row r="3615" spans="1:68" x14ac:dyDescent="0.3">
      <c r="D3615" s="2">
        <f t="shared" si="194"/>
        <v>2017</v>
      </c>
      <c r="E3615" s="2">
        <f t="shared" si="195"/>
        <v>1</v>
      </c>
      <c r="F3615" s="3" t="s">
        <v>175</v>
      </c>
      <c r="G3615" s="4">
        <v>42751</v>
      </c>
      <c r="H3615" s="1">
        <v>6606237</v>
      </c>
      <c r="I3615" s="1">
        <v>661152</v>
      </c>
      <c r="J3615" s="1" t="s">
        <v>176</v>
      </c>
      <c r="K3615" s="1" t="s">
        <v>256</v>
      </c>
      <c r="L3615" s="1" t="str">
        <f t="shared" si="193"/>
        <v>Oxundaån Rosendal</v>
      </c>
      <c r="M3615" s="1" t="s">
        <v>177</v>
      </c>
      <c r="N3615" s="1">
        <v>0.1</v>
      </c>
      <c r="O3615" s="1">
        <v>0.1</v>
      </c>
      <c r="Q3615" s="1">
        <v>0</v>
      </c>
      <c r="T3615" s="1">
        <v>49.8</v>
      </c>
      <c r="V3615" s="1">
        <v>2.6</v>
      </c>
      <c r="W3615" s="1">
        <v>77</v>
      </c>
      <c r="Y3615" s="1">
        <v>3.9E-2</v>
      </c>
      <c r="Z3615" s="1">
        <v>50</v>
      </c>
      <c r="AA3615" s="1">
        <v>2.2000000000000002</v>
      </c>
      <c r="AD3615" s="1">
        <v>534</v>
      </c>
      <c r="AE3615" s="1">
        <v>7.56</v>
      </c>
      <c r="AI3615" s="1">
        <v>10.8</v>
      </c>
      <c r="AK3615" s="1">
        <v>65.5</v>
      </c>
      <c r="AL3615" s="1">
        <v>1190</v>
      </c>
      <c r="AR3615" s="1">
        <v>48.05</v>
      </c>
      <c r="AS3615" s="1">
        <v>42.54</v>
      </c>
      <c r="AT3615" s="1">
        <v>0.37</v>
      </c>
      <c r="AU3615" s="1">
        <v>54</v>
      </c>
      <c r="AV3615" s="1">
        <v>9.4380000000000006</v>
      </c>
      <c r="AW3615" s="1">
        <v>29.822000000000003</v>
      </c>
      <c r="AX3615" s="1">
        <v>5.8650000000000002</v>
      </c>
      <c r="AY3615" s="1">
        <v>3.2</v>
      </c>
    </row>
    <row r="3616" spans="1:68" x14ac:dyDescent="0.3">
      <c r="D3616" s="2">
        <f t="shared" si="194"/>
        <v>2017</v>
      </c>
      <c r="E3616" s="2">
        <f t="shared" si="195"/>
        <v>2</v>
      </c>
      <c r="F3616" s="3" t="s">
        <v>175</v>
      </c>
      <c r="G3616" s="4">
        <v>42780</v>
      </c>
      <c r="H3616" s="1">
        <v>6606237</v>
      </c>
      <c r="I3616" s="1">
        <v>661152</v>
      </c>
      <c r="J3616" s="1" t="s">
        <v>176</v>
      </c>
      <c r="K3616" s="1" t="s">
        <v>256</v>
      </c>
      <c r="L3616" s="1" t="str">
        <f t="shared" si="193"/>
        <v>Oxundaån Rosendal</v>
      </c>
      <c r="M3616" s="1" t="s">
        <v>177</v>
      </c>
      <c r="N3616" s="1">
        <v>0.1</v>
      </c>
      <c r="O3616" s="1">
        <v>0.1</v>
      </c>
      <c r="Q3616" s="1">
        <v>1.5</v>
      </c>
      <c r="T3616" s="1">
        <v>51.1</v>
      </c>
      <c r="V3616" s="1">
        <v>2.69</v>
      </c>
      <c r="W3616" s="1">
        <v>9</v>
      </c>
      <c r="Y3616" s="1">
        <v>0.04</v>
      </c>
      <c r="Z3616" s="1">
        <v>35</v>
      </c>
      <c r="AA3616" s="1">
        <v>1.8</v>
      </c>
      <c r="AD3616" s="1">
        <v>591</v>
      </c>
      <c r="AE3616" s="1">
        <v>7.61</v>
      </c>
      <c r="AI3616" s="1">
        <v>11.5</v>
      </c>
      <c r="AK3616" s="1">
        <v>67.5</v>
      </c>
      <c r="AL3616" s="1">
        <v>1210</v>
      </c>
      <c r="AR3616" s="1">
        <v>45.166999999999994</v>
      </c>
      <c r="AS3616" s="1">
        <v>49.63</v>
      </c>
      <c r="AT3616" s="1">
        <v>0.37</v>
      </c>
      <c r="AU3616" s="1">
        <v>54</v>
      </c>
      <c r="AV3616" s="1">
        <v>8.9539999999999988</v>
      </c>
      <c r="AW3616" s="1">
        <v>29.822000000000003</v>
      </c>
      <c r="AX3616" s="1">
        <v>5.8650000000000002</v>
      </c>
      <c r="AY3616" s="1">
        <v>3.7</v>
      </c>
    </row>
    <row r="3617" spans="4:51" x14ac:dyDescent="0.3">
      <c r="D3617" s="2">
        <f t="shared" si="194"/>
        <v>2017</v>
      </c>
      <c r="E3617" s="2">
        <f t="shared" si="195"/>
        <v>3</v>
      </c>
      <c r="F3617" s="3" t="s">
        <v>175</v>
      </c>
      <c r="G3617" s="4">
        <v>42814</v>
      </c>
      <c r="H3617" s="1">
        <v>6606237</v>
      </c>
      <c r="I3617" s="1">
        <v>661152</v>
      </c>
      <c r="J3617" s="1" t="s">
        <v>176</v>
      </c>
      <c r="K3617" s="1" t="s">
        <v>256</v>
      </c>
      <c r="L3617" s="1" t="str">
        <f t="shared" si="193"/>
        <v>Oxundaån Rosendal</v>
      </c>
      <c r="M3617" s="1" t="s">
        <v>177</v>
      </c>
      <c r="N3617" s="1">
        <v>0.1</v>
      </c>
      <c r="O3617" s="1">
        <v>0.1</v>
      </c>
      <c r="Q3617" s="1">
        <v>4.9000000000000004</v>
      </c>
      <c r="T3617" s="1">
        <v>49.5</v>
      </c>
      <c r="V3617" s="1">
        <v>2.71</v>
      </c>
      <c r="W3617" s="1">
        <v>17</v>
      </c>
      <c r="Y3617" s="1">
        <v>4.1000000000000002E-2</v>
      </c>
      <c r="Z3617" s="1">
        <v>2</v>
      </c>
      <c r="AA3617" s="1">
        <v>4.9000000000000004</v>
      </c>
      <c r="AD3617" s="1">
        <v>117</v>
      </c>
      <c r="AE3617" s="1">
        <v>8.43</v>
      </c>
      <c r="AI3617" s="1">
        <v>11.8</v>
      </c>
      <c r="AK3617" s="1">
        <v>54.4</v>
      </c>
      <c r="AL3617" s="1">
        <v>922</v>
      </c>
      <c r="AR3617" s="1">
        <v>45.166999999999994</v>
      </c>
      <c r="AS3617" s="1">
        <v>46.085000000000008</v>
      </c>
      <c r="AT3617" s="1">
        <v>0.36</v>
      </c>
      <c r="AU3617" s="1">
        <v>54</v>
      </c>
      <c r="AV3617" s="1">
        <v>8.7119999999999997</v>
      </c>
      <c r="AW3617" s="1">
        <v>29.822000000000003</v>
      </c>
      <c r="AX3617" s="1">
        <v>5.8650000000000002</v>
      </c>
      <c r="AY3617" s="1">
        <v>3.2</v>
      </c>
    </row>
    <row r="3618" spans="4:51" x14ac:dyDescent="0.3">
      <c r="D3618" s="2">
        <f t="shared" si="194"/>
        <v>2017</v>
      </c>
      <c r="E3618" s="2">
        <f t="shared" si="195"/>
        <v>4</v>
      </c>
      <c r="F3618" s="3" t="s">
        <v>178</v>
      </c>
      <c r="G3618" s="4">
        <v>42836</v>
      </c>
      <c r="H3618" s="1">
        <v>6606237</v>
      </c>
      <c r="I3618" s="1">
        <v>661152</v>
      </c>
      <c r="J3618" s="1" t="s">
        <v>176</v>
      </c>
      <c r="K3618" s="1" t="s">
        <v>256</v>
      </c>
      <c r="L3618" s="1" t="str">
        <f t="shared" si="193"/>
        <v>Oxundaån Rosendal</v>
      </c>
      <c r="M3618" s="1" t="s">
        <v>177</v>
      </c>
      <c r="N3618" s="1">
        <v>0.1</v>
      </c>
      <c r="O3618" s="1">
        <v>0.1</v>
      </c>
      <c r="Q3618" s="1">
        <v>7</v>
      </c>
      <c r="T3618" s="1">
        <v>50</v>
      </c>
      <c r="V3618" s="1">
        <v>2.54</v>
      </c>
      <c r="W3618" s="1">
        <v>23</v>
      </c>
      <c r="Y3618" s="1">
        <v>3.5000000000000003E-2</v>
      </c>
      <c r="Z3618" s="1">
        <v>2</v>
      </c>
      <c r="AA3618" s="1">
        <v>5.4</v>
      </c>
      <c r="AD3618" s="1">
        <v>165</v>
      </c>
      <c r="AE3618" s="1">
        <v>7.92</v>
      </c>
      <c r="AI3618" s="1">
        <v>11.7</v>
      </c>
      <c r="AK3618" s="1">
        <v>35.6</v>
      </c>
      <c r="AL3618" s="1">
        <v>858</v>
      </c>
      <c r="AR3618" s="1">
        <v>52.855000000000004</v>
      </c>
      <c r="AS3618" s="1">
        <v>42.54</v>
      </c>
      <c r="AT3618" s="1">
        <v>0.36</v>
      </c>
      <c r="AU3618" s="1">
        <v>56</v>
      </c>
      <c r="AV3618" s="1">
        <v>9.0749999999999993</v>
      </c>
      <c r="AW3618" s="1">
        <v>29.822000000000003</v>
      </c>
      <c r="AX3618" s="1">
        <v>5.8650000000000002</v>
      </c>
      <c r="AY3618" s="1">
        <v>2.6</v>
      </c>
    </row>
    <row r="3619" spans="4:51" x14ac:dyDescent="0.3">
      <c r="D3619" s="2">
        <f t="shared" si="194"/>
        <v>2017</v>
      </c>
      <c r="E3619" s="2">
        <f t="shared" si="195"/>
        <v>5</v>
      </c>
      <c r="F3619" s="3" t="s">
        <v>178</v>
      </c>
      <c r="G3619" s="4">
        <v>42870</v>
      </c>
      <c r="H3619" s="1">
        <v>6606237</v>
      </c>
      <c r="I3619" s="1">
        <v>661152</v>
      </c>
      <c r="J3619" s="1" t="s">
        <v>176</v>
      </c>
      <c r="K3619" s="1" t="s">
        <v>256</v>
      </c>
      <c r="L3619" s="1" t="str">
        <f t="shared" si="193"/>
        <v>Oxundaån Rosendal</v>
      </c>
      <c r="M3619" s="1" t="s">
        <v>177</v>
      </c>
      <c r="N3619" s="1">
        <v>0.1</v>
      </c>
      <c r="O3619" s="1">
        <v>0.1</v>
      </c>
      <c r="Q3619" s="1">
        <v>10.3</v>
      </c>
      <c r="T3619" s="1">
        <v>50.9</v>
      </c>
      <c r="V3619" s="1">
        <v>2.58</v>
      </c>
      <c r="W3619" s="1">
        <v>18</v>
      </c>
      <c r="Y3619" s="1">
        <v>3.2000000000000001E-2</v>
      </c>
      <c r="Z3619" s="1">
        <v>2</v>
      </c>
      <c r="AA3619" s="1">
        <v>2.7</v>
      </c>
      <c r="AD3619" s="1">
        <v>6</v>
      </c>
      <c r="AE3619" s="1">
        <v>7.95</v>
      </c>
      <c r="AI3619" s="1">
        <v>9.6999999999999993</v>
      </c>
      <c r="AK3619" s="1">
        <v>27.7</v>
      </c>
      <c r="AL3619" s="1">
        <v>648</v>
      </c>
      <c r="AR3619" s="1">
        <v>57.66</v>
      </c>
      <c r="AS3619" s="1">
        <v>46.085000000000008</v>
      </c>
      <c r="AT3619" s="1">
        <v>0.37</v>
      </c>
      <c r="AU3619" s="1">
        <v>56</v>
      </c>
      <c r="AV3619" s="1">
        <v>9.0749999999999993</v>
      </c>
      <c r="AW3619" s="1">
        <v>29.822000000000003</v>
      </c>
      <c r="AX3619" s="1">
        <v>5.8650000000000002</v>
      </c>
      <c r="AY3619" s="1">
        <v>1</v>
      </c>
    </row>
    <row r="3620" spans="4:51" x14ac:dyDescent="0.3">
      <c r="D3620" s="2">
        <f t="shared" si="194"/>
        <v>2017</v>
      </c>
      <c r="E3620" s="2">
        <f t="shared" si="195"/>
        <v>6</v>
      </c>
      <c r="G3620" s="4">
        <v>42900</v>
      </c>
      <c r="H3620" s="1">
        <v>6606237</v>
      </c>
      <c r="I3620" s="1">
        <v>661152</v>
      </c>
      <c r="J3620" s="1" t="s">
        <v>176</v>
      </c>
      <c r="K3620" s="1" t="s">
        <v>256</v>
      </c>
      <c r="L3620" s="1" t="str">
        <f t="shared" si="193"/>
        <v>Oxundaån Rosendal</v>
      </c>
      <c r="M3620" s="1" t="s">
        <v>177</v>
      </c>
      <c r="N3620" s="1">
        <v>0.1</v>
      </c>
      <c r="O3620" s="1">
        <v>0.1</v>
      </c>
      <c r="Q3620" s="1">
        <v>17.8</v>
      </c>
      <c r="T3620" s="1">
        <v>51.5</v>
      </c>
      <c r="V3620" s="1">
        <v>2.63</v>
      </c>
      <c r="W3620" s="1">
        <v>28</v>
      </c>
      <c r="Y3620" s="1">
        <v>3.5000000000000003E-2</v>
      </c>
      <c r="Z3620" s="1">
        <v>10</v>
      </c>
      <c r="AA3620" s="1">
        <v>2.7</v>
      </c>
      <c r="AD3620" s="1">
        <v>5</v>
      </c>
      <c r="AE3620" s="1">
        <v>7.91</v>
      </c>
      <c r="AI3620" s="1">
        <v>10.6</v>
      </c>
      <c r="AK3620" s="1">
        <v>39.6</v>
      </c>
      <c r="AL3620" s="1">
        <v>667</v>
      </c>
      <c r="AR3620" s="1">
        <v>57.66</v>
      </c>
      <c r="AS3620" s="1">
        <v>46.085000000000008</v>
      </c>
      <c r="AT3620" s="1">
        <v>0.4</v>
      </c>
      <c r="AU3620" s="1">
        <v>56</v>
      </c>
      <c r="AV3620" s="1">
        <v>9.3170000000000002</v>
      </c>
      <c r="AW3620" s="1">
        <v>29.822000000000003</v>
      </c>
      <c r="AX3620" s="1">
        <v>5.8650000000000002</v>
      </c>
      <c r="AY3620" s="1">
        <v>1.3</v>
      </c>
    </row>
    <row r="3621" spans="4:51" x14ac:dyDescent="0.3">
      <c r="D3621" s="2">
        <f t="shared" si="194"/>
        <v>2017</v>
      </c>
      <c r="E3621" s="2">
        <f t="shared" si="195"/>
        <v>7</v>
      </c>
      <c r="F3621" s="3" t="s">
        <v>179</v>
      </c>
      <c r="G3621" s="4">
        <v>42934</v>
      </c>
      <c r="H3621" s="1">
        <v>6606237</v>
      </c>
      <c r="I3621" s="1">
        <v>661152</v>
      </c>
      <c r="J3621" s="1" t="s">
        <v>176</v>
      </c>
      <c r="K3621" s="1" t="s">
        <v>256</v>
      </c>
      <c r="L3621" s="1" t="str">
        <f t="shared" si="193"/>
        <v>Oxundaån Rosendal</v>
      </c>
      <c r="M3621" s="1" t="s">
        <v>177</v>
      </c>
      <c r="N3621" s="1">
        <v>0.1</v>
      </c>
      <c r="O3621" s="1">
        <v>0.1</v>
      </c>
      <c r="Q3621" s="1">
        <v>19.7</v>
      </c>
      <c r="T3621" s="1">
        <v>51.5</v>
      </c>
      <c r="V3621" s="1">
        <v>2.66</v>
      </c>
      <c r="W3621" s="1">
        <v>146</v>
      </c>
      <c r="Y3621" s="1">
        <v>3.9E-2</v>
      </c>
      <c r="Z3621" s="1">
        <v>13</v>
      </c>
      <c r="AA3621" s="1">
        <v>3.8</v>
      </c>
      <c r="AB3621" s="1">
        <v>10</v>
      </c>
      <c r="AD3621" s="1">
        <v>15</v>
      </c>
      <c r="AE3621" s="1">
        <v>7.9</v>
      </c>
      <c r="AI3621" s="1">
        <v>11.4</v>
      </c>
      <c r="AK3621" s="1">
        <v>53.6</v>
      </c>
      <c r="AL3621" s="1">
        <v>916</v>
      </c>
      <c r="AR3621" s="1">
        <v>52.855000000000004</v>
      </c>
      <c r="AS3621" s="1">
        <v>46.085000000000008</v>
      </c>
      <c r="AT3621" s="1">
        <v>0.39</v>
      </c>
      <c r="AU3621" s="1">
        <v>54</v>
      </c>
      <c r="AV3621" s="1">
        <v>9.5589999999999993</v>
      </c>
      <c r="AW3621" s="1">
        <v>29.822000000000003</v>
      </c>
      <c r="AX3621" s="1">
        <v>5.4740000000000011</v>
      </c>
      <c r="AY3621" s="1">
        <v>1.2</v>
      </c>
    </row>
    <row r="3622" spans="4:51" x14ac:dyDescent="0.3">
      <c r="D3622" s="2">
        <f t="shared" si="194"/>
        <v>2017</v>
      </c>
      <c r="E3622" s="2">
        <f t="shared" si="195"/>
        <v>8</v>
      </c>
      <c r="F3622" s="3" t="s">
        <v>179</v>
      </c>
      <c r="G3622" s="4">
        <v>42962</v>
      </c>
      <c r="H3622" s="1">
        <v>6606237</v>
      </c>
      <c r="I3622" s="1">
        <v>661152</v>
      </c>
      <c r="J3622" s="1" t="s">
        <v>176</v>
      </c>
      <c r="K3622" s="1" t="s">
        <v>256</v>
      </c>
      <c r="L3622" s="1" t="str">
        <f t="shared" si="193"/>
        <v>Oxundaån Rosendal</v>
      </c>
      <c r="M3622" s="1" t="s">
        <v>177</v>
      </c>
      <c r="N3622" s="1">
        <v>0.5</v>
      </c>
      <c r="O3622" s="1">
        <v>0.5</v>
      </c>
      <c r="Q3622" s="1">
        <v>19</v>
      </c>
      <c r="T3622" s="1">
        <v>52.2</v>
      </c>
      <c r="V3622" s="1">
        <v>2.7</v>
      </c>
      <c r="W3622" s="1">
        <v>35</v>
      </c>
      <c r="Y3622" s="1">
        <v>3.7999999999999999E-2</v>
      </c>
      <c r="Z3622" s="1">
        <v>46</v>
      </c>
      <c r="AA3622" s="1">
        <v>2.9</v>
      </c>
      <c r="AB3622" s="1">
        <v>11</v>
      </c>
      <c r="AD3622" s="1">
        <v>4</v>
      </c>
      <c r="AE3622" s="1">
        <v>7.8</v>
      </c>
      <c r="AI3622" s="1">
        <v>11.7</v>
      </c>
      <c r="AK3622" s="1">
        <v>84.7</v>
      </c>
      <c r="AL3622" s="1">
        <v>786</v>
      </c>
      <c r="AR3622" s="1">
        <v>52.855000000000004</v>
      </c>
      <c r="AS3622" s="1">
        <v>46.085000000000008</v>
      </c>
      <c r="AT3622" s="1">
        <v>0.37</v>
      </c>
      <c r="AU3622" s="1">
        <v>52</v>
      </c>
      <c r="AV3622" s="1">
        <v>9.1959999999999997</v>
      </c>
      <c r="AW3622" s="1">
        <v>29.822000000000003</v>
      </c>
      <c r="AX3622" s="1">
        <v>5.4740000000000011</v>
      </c>
      <c r="AY3622" s="1">
        <v>0.15</v>
      </c>
    </row>
    <row r="3623" spans="4:51" x14ac:dyDescent="0.3">
      <c r="D3623" s="2">
        <f t="shared" si="194"/>
        <v>2017</v>
      </c>
      <c r="E3623" s="2">
        <f t="shared" si="195"/>
        <v>9</v>
      </c>
      <c r="G3623" s="4">
        <v>42990</v>
      </c>
      <c r="H3623" s="1">
        <v>6606237</v>
      </c>
      <c r="I3623" s="1">
        <v>661152</v>
      </c>
      <c r="J3623" s="1" t="s">
        <v>176</v>
      </c>
      <c r="K3623" s="1" t="s">
        <v>256</v>
      </c>
      <c r="L3623" s="1" t="str">
        <f t="shared" si="193"/>
        <v>Oxundaån Rosendal</v>
      </c>
      <c r="M3623" s="1" t="s">
        <v>177</v>
      </c>
      <c r="N3623" s="1">
        <v>0.1</v>
      </c>
      <c r="O3623" s="1">
        <v>0.1</v>
      </c>
      <c r="Q3623" s="1">
        <v>15.7</v>
      </c>
      <c r="T3623" s="1">
        <v>51.5</v>
      </c>
      <c r="V3623" s="1">
        <v>2.64</v>
      </c>
      <c r="W3623" s="1">
        <v>36</v>
      </c>
      <c r="Y3623" s="1">
        <v>0.04</v>
      </c>
      <c r="Z3623" s="1">
        <v>55</v>
      </c>
      <c r="AA3623" s="1">
        <v>1.4</v>
      </c>
      <c r="AD3623" s="1">
        <v>8</v>
      </c>
      <c r="AE3623" s="1">
        <v>7.76</v>
      </c>
      <c r="AI3623" s="1">
        <v>10.4</v>
      </c>
      <c r="AK3623" s="1">
        <v>78.900000000000006</v>
      </c>
      <c r="AL3623" s="1">
        <v>726</v>
      </c>
      <c r="AR3623" s="1">
        <v>52.855000000000004</v>
      </c>
      <c r="AS3623" s="1">
        <v>49.63</v>
      </c>
      <c r="AT3623" s="1">
        <v>0.46</v>
      </c>
      <c r="AU3623" s="1">
        <v>52</v>
      </c>
      <c r="AV3623" s="1">
        <v>9.3170000000000002</v>
      </c>
      <c r="AW3623" s="1">
        <v>29.822000000000003</v>
      </c>
      <c r="AX3623" s="1">
        <v>5.4740000000000011</v>
      </c>
      <c r="AY3623" s="1">
        <v>0.25</v>
      </c>
    </row>
    <row r="3624" spans="4:51" x14ac:dyDescent="0.3">
      <c r="D3624" s="2">
        <f t="shared" si="194"/>
        <v>2017</v>
      </c>
      <c r="E3624" s="2">
        <f t="shared" si="195"/>
        <v>10</v>
      </c>
      <c r="F3624" s="3" t="s">
        <v>180</v>
      </c>
      <c r="G3624" s="4">
        <v>43025</v>
      </c>
      <c r="H3624" s="1">
        <v>6606237</v>
      </c>
      <c r="I3624" s="1">
        <v>661152</v>
      </c>
      <c r="J3624" s="1" t="s">
        <v>176</v>
      </c>
      <c r="K3624" s="1" t="s">
        <v>256</v>
      </c>
      <c r="L3624" s="1" t="str">
        <f t="shared" si="193"/>
        <v>Oxundaån Rosendal</v>
      </c>
      <c r="M3624" s="1" t="s">
        <v>177</v>
      </c>
      <c r="N3624" s="1">
        <v>0.1</v>
      </c>
      <c r="O3624" s="1">
        <v>0.1</v>
      </c>
      <c r="Q3624" s="1">
        <v>10.8</v>
      </c>
      <c r="T3624" s="1">
        <v>49.4</v>
      </c>
      <c r="V3624" s="1">
        <v>2.5099999999999998</v>
      </c>
      <c r="W3624" s="1">
        <v>24</v>
      </c>
      <c r="Y3624" s="1">
        <v>3.5999999999999997E-2</v>
      </c>
      <c r="Z3624" s="1">
        <v>32</v>
      </c>
      <c r="AA3624" s="1">
        <v>3</v>
      </c>
      <c r="AD3624" s="1">
        <v>16</v>
      </c>
      <c r="AE3624" s="1">
        <v>7.92</v>
      </c>
      <c r="AI3624" s="1">
        <v>10.4</v>
      </c>
      <c r="AK3624" s="1">
        <v>58.8</v>
      </c>
      <c r="AL3624" s="1">
        <v>708</v>
      </c>
      <c r="AR3624" s="1">
        <v>52.855000000000004</v>
      </c>
      <c r="AS3624" s="1">
        <v>46.085000000000008</v>
      </c>
      <c r="AT3624" s="1">
        <v>0.39</v>
      </c>
      <c r="AU3624" s="1">
        <v>54</v>
      </c>
      <c r="AV3624" s="1">
        <v>9.4380000000000006</v>
      </c>
      <c r="AW3624" s="1">
        <v>29.822000000000003</v>
      </c>
      <c r="AX3624" s="1">
        <v>5.8650000000000002</v>
      </c>
      <c r="AY3624" s="1">
        <v>0.56000000000000005</v>
      </c>
    </row>
    <row r="3625" spans="4:51" x14ac:dyDescent="0.3">
      <c r="D3625" s="2">
        <f t="shared" si="194"/>
        <v>2017</v>
      </c>
      <c r="E3625" s="2">
        <f t="shared" si="195"/>
        <v>1</v>
      </c>
      <c r="F3625" s="3" t="s">
        <v>175</v>
      </c>
      <c r="G3625" s="4">
        <v>42751</v>
      </c>
      <c r="J3625" s="1" t="s">
        <v>245</v>
      </c>
      <c r="K3625" s="1"/>
      <c r="L3625" s="1" t="str">
        <f t="shared" si="193"/>
        <v xml:space="preserve">Hagbyån </v>
      </c>
      <c r="M3625" s="1" t="s">
        <v>177</v>
      </c>
      <c r="N3625" s="1">
        <v>0.1</v>
      </c>
      <c r="O3625" s="1">
        <v>0.1</v>
      </c>
      <c r="Q3625" s="1">
        <v>0</v>
      </c>
      <c r="T3625" s="1">
        <v>48.4</v>
      </c>
      <c r="V3625" s="1">
        <v>2.73</v>
      </c>
      <c r="W3625" s="1">
        <v>437</v>
      </c>
      <c r="Y3625" s="1">
        <v>4.1000000000000002E-2</v>
      </c>
      <c r="Z3625" s="1">
        <v>2</v>
      </c>
      <c r="AA3625" s="1">
        <v>3.3</v>
      </c>
      <c r="AD3625" s="1">
        <v>431</v>
      </c>
      <c r="AE3625" s="1">
        <v>7.66</v>
      </c>
      <c r="AI3625" s="1">
        <v>11.9</v>
      </c>
      <c r="AK3625" s="1">
        <v>27.3</v>
      </c>
      <c r="AL3625" s="1">
        <v>1620</v>
      </c>
      <c r="AQ3625" s="1">
        <f>SUM(0.018*19)</f>
        <v>0.34199999999999997</v>
      </c>
      <c r="AR3625" s="1">
        <v>36.037499999999994</v>
      </c>
      <c r="AS3625" s="1">
        <v>46.085000000000008</v>
      </c>
      <c r="AT3625" s="1">
        <v>0.34</v>
      </c>
      <c r="AU3625" s="1">
        <v>54</v>
      </c>
      <c r="AV3625" s="1">
        <v>7.8650000000000002</v>
      </c>
      <c r="AW3625" s="1">
        <v>29.822000000000003</v>
      </c>
      <c r="AX3625" s="1">
        <v>5.8650000000000002</v>
      </c>
      <c r="AY3625" s="1">
        <v>3.8</v>
      </c>
    </row>
    <row r="3626" spans="4:51" x14ac:dyDescent="0.3">
      <c r="D3626" s="2">
        <f t="shared" si="194"/>
        <v>2017</v>
      </c>
      <c r="E3626" s="2">
        <f t="shared" si="195"/>
        <v>2</v>
      </c>
      <c r="F3626" s="3" t="s">
        <v>175</v>
      </c>
      <c r="G3626" s="4">
        <v>42780</v>
      </c>
      <c r="J3626" s="1" t="s">
        <v>245</v>
      </c>
      <c r="K3626" s="1"/>
      <c r="L3626" s="1" t="str">
        <f t="shared" si="193"/>
        <v xml:space="preserve">Hagbyån </v>
      </c>
      <c r="M3626" s="1" t="s">
        <v>177</v>
      </c>
      <c r="N3626" s="1">
        <v>0.1</v>
      </c>
      <c r="O3626" s="1">
        <v>0.1</v>
      </c>
      <c r="Q3626" s="1">
        <v>0</v>
      </c>
      <c r="T3626" s="1">
        <v>47.6</v>
      </c>
      <c r="V3626" s="1">
        <v>2.81</v>
      </c>
      <c r="W3626" s="1">
        <v>293</v>
      </c>
      <c r="Y3626" s="1">
        <v>3.6999999999999998E-2</v>
      </c>
      <c r="Z3626" s="1">
        <v>2</v>
      </c>
      <c r="AA3626" s="1">
        <v>2</v>
      </c>
      <c r="AD3626" s="1">
        <v>227</v>
      </c>
      <c r="AE3626" s="1">
        <v>7.78</v>
      </c>
      <c r="AI3626" s="1">
        <v>12.6</v>
      </c>
      <c r="AK3626" s="1">
        <v>26</v>
      </c>
      <c r="AL3626" s="1">
        <v>1270</v>
      </c>
      <c r="AQ3626" s="1">
        <v>0.34200000000000003</v>
      </c>
      <c r="AR3626" s="1">
        <v>31.232499999999998</v>
      </c>
      <c r="AS3626" s="1">
        <v>42.54</v>
      </c>
      <c r="AT3626" s="1">
        <v>0.34</v>
      </c>
      <c r="AU3626" s="1">
        <v>56</v>
      </c>
      <c r="AV3626" s="1">
        <v>7.3809999999999993</v>
      </c>
      <c r="AW3626" s="1">
        <v>29.822000000000003</v>
      </c>
      <c r="AX3626" s="1">
        <v>5.8650000000000002</v>
      </c>
      <c r="AY3626" s="1">
        <v>3.2</v>
      </c>
    </row>
    <row r="3627" spans="4:51" x14ac:dyDescent="0.3">
      <c r="D3627" s="2">
        <f t="shared" si="194"/>
        <v>2017</v>
      </c>
      <c r="E3627" s="2">
        <f t="shared" si="195"/>
        <v>3</v>
      </c>
      <c r="F3627" s="3" t="s">
        <v>175</v>
      </c>
      <c r="G3627" s="4">
        <v>42814</v>
      </c>
      <c r="J3627" s="1" t="s">
        <v>245</v>
      </c>
      <c r="K3627" s="1"/>
      <c r="L3627" s="1" t="str">
        <f t="shared" si="193"/>
        <v xml:space="preserve">Hagbyån </v>
      </c>
      <c r="M3627" s="1" t="s">
        <v>177</v>
      </c>
      <c r="N3627" s="1">
        <v>0.1</v>
      </c>
      <c r="O3627" s="1">
        <v>0.1</v>
      </c>
      <c r="Q3627" s="1">
        <v>3.9</v>
      </c>
      <c r="T3627" s="1">
        <v>46.3</v>
      </c>
      <c r="V3627" s="1">
        <v>2.68</v>
      </c>
      <c r="W3627" s="1">
        <v>313</v>
      </c>
      <c r="Y3627" s="1">
        <v>4.4999999999999998E-2</v>
      </c>
      <c r="Z3627" s="1">
        <v>2</v>
      </c>
      <c r="AA3627" s="1">
        <v>5.5</v>
      </c>
      <c r="AD3627" s="1">
        <v>500</v>
      </c>
      <c r="AE3627" s="1">
        <v>7.64</v>
      </c>
      <c r="AI3627" s="1">
        <v>12.5</v>
      </c>
      <c r="AK3627" s="1">
        <v>37.1</v>
      </c>
      <c r="AL3627" s="1">
        <v>1550</v>
      </c>
      <c r="AQ3627" s="1">
        <f>SUM(0.017*19)</f>
        <v>0.32300000000000001</v>
      </c>
      <c r="AR3627" s="1">
        <v>33.154499999999999</v>
      </c>
      <c r="AS3627" s="1">
        <v>42.54</v>
      </c>
      <c r="AT3627" s="1">
        <v>0.33</v>
      </c>
      <c r="AU3627" s="1">
        <v>52</v>
      </c>
      <c r="AV3627" s="1">
        <v>7.3809999999999993</v>
      </c>
      <c r="AW3627" s="1">
        <v>27.528000000000002</v>
      </c>
      <c r="AX3627" s="1">
        <v>5.4740000000000011</v>
      </c>
      <c r="AY3627" s="1">
        <v>3.3</v>
      </c>
    </row>
    <row r="3628" spans="4:51" x14ac:dyDescent="0.3">
      <c r="D3628" s="2">
        <f t="shared" si="194"/>
        <v>2017</v>
      </c>
      <c r="E3628" s="2">
        <f t="shared" si="195"/>
        <v>4</v>
      </c>
      <c r="F3628" s="3" t="s">
        <v>178</v>
      </c>
      <c r="G3628" s="4">
        <v>42836</v>
      </c>
      <c r="J3628" s="1" t="s">
        <v>245</v>
      </c>
      <c r="K3628" s="1"/>
      <c r="L3628" s="1" t="str">
        <f t="shared" si="193"/>
        <v xml:space="preserve">Hagbyån </v>
      </c>
      <c r="M3628" s="1" t="s">
        <v>177</v>
      </c>
      <c r="N3628" s="1">
        <v>0.1</v>
      </c>
      <c r="O3628" s="1">
        <v>0.1</v>
      </c>
      <c r="Q3628" s="1">
        <v>6.6</v>
      </c>
      <c r="T3628" s="1">
        <v>47</v>
      </c>
      <c r="V3628" s="1">
        <v>2.72</v>
      </c>
      <c r="W3628" s="1">
        <v>178</v>
      </c>
      <c r="Y3628" s="1">
        <v>4.3999999999999997E-2</v>
      </c>
      <c r="Z3628" s="1">
        <v>2</v>
      </c>
      <c r="AA3628" s="1">
        <v>6</v>
      </c>
      <c r="AD3628" s="1">
        <v>331</v>
      </c>
      <c r="AE3628" s="1">
        <v>7.74</v>
      </c>
      <c r="AI3628" s="1">
        <v>13.5</v>
      </c>
      <c r="AK3628" s="1">
        <v>55.8</v>
      </c>
      <c r="AL3628" s="1">
        <v>1400</v>
      </c>
      <c r="AQ3628" s="1">
        <v>0.34200000000000003</v>
      </c>
      <c r="AR3628" s="1">
        <v>31.232499999999998</v>
      </c>
      <c r="AS3628" s="1">
        <v>42.54</v>
      </c>
      <c r="AT3628" s="1">
        <v>0.34</v>
      </c>
      <c r="AU3628" s="1">
        <v>52</v>
      </c>
      <c r="AV3628" s="1">
        <v>7.0179999999999989</v>
      </c>
      <c r="AW3628" s="1">
        <v>29.822000000000003</v>
      </c>
      <c r="AX3628" s="1">
        <v>5.8650000000000002</v>
      </c>
      <c r="AY3628" s="1">
        <v>2.5</v>
      </c>
    </row>
    <row r="3629" spans="4:51" x14ac:dyDescent="0.3">
      <c r="D3629" s="2">
        <f t="shared" si="194"/>
        <v>2017</v>
      </c>
      <c r="E3629" s="2">
        <f t="shared" si="195"/>
        <v>5</v>
      </c>
      <c r="F3629" s="3" t="s">
        <v>178</v>
      </c>
      <c r="G3629" s="4">
        <v>42870</v>
      </c>
      <c r="J3629" s="1" t="s">
        <v>245</v>
      </c>
      <c r="K3629" s="1"/>
      <c r="L3629" s="1" t="str">
        <f t="shared" si="193"/>
        <v xml:space="preserve">Hagbyån </v>
      </c>
      <c r="M3629" s="1" t="s">
        <v>177</v>
      </c>
      <c r="N3629" s="1">
        <v>0.1</v>
      </c>
      <c r="O3629" s="1">
        <v>0.1</v>
      </c>
      <c r="Q3629" s="1">
        <v>9.8000000000000007</v>
      </c>
      <c r="T3629" s="1">
        <v>47.6</v>
      </c>
      <c r="V3629" s="1">
        <v>2.75</v>
      </c>
      <c r="W3629" s="1">
        <v>36</v>
      </c>
      <c r="Y3629" s="1">
        <v>3.6999999999999998E-2</v>
      </c>
      <c r="Z3629" s="1">
        <v>2</v>
      </c>
      <c r="AA3629" s="1">
        <v>9.4</v>
      </c>
      <c r="AD3629" s="1">
        <v>230</v>
      </c>
      <c r="AE3629" s="1">
        <v>7.67</v>
      </c>
      <c r="AI3629" s="1">
        <v>14</v>
      </c>
      <c r="AK3629" s="1">
        <v>67</v>
      </c>
      <c r="AL3629" s="1">
        <v>1420</v>
      </c>
      <c r="AQ3629" s="1">
        <v>0.32300000000000001</v>
      </c>
      <c r="AR3629" s="1">
        <v>32.1935</v>
      </c>
      <c r="AS3629" s="1">
        <v>46.085000000000008</v>
      </c>
      <c r="AT3629" s="1">
        <v>0.33</v>
      </c>
      <c r="AU3629" s="1">
        <v>54</v>
      </c>
      <c r="AV3629" s="1">
        <v>7.3809999999999993</v>
      </c>
      <c r="AW3629" s="1">
        <v>29.822000000000003</v>
      </c>
      <c r="AX3629" s="1">
        <v>5.8650000000000002</v>
      </c>
      <c r="AY3629" s="1">
        <v>1.9</v>
      </c>
    </row>
    <row r="3630" spans="4:51" x14ac:dyDescent="0.3">
      <c r="D3630" s="2">
        <f t="shared" si="194"/>
        <v>2017</v>
      </c>
      <c r="E3630" s="2">
        <f t="shared" si="195"/>
        <v>6</v>
      </c>
      <c r="G3630" s="4">
        <v>42900</v>
      </c>
      <c r="J3630" s="1" t="s">
        <v>245</v>
      </c>
      <c r="K3630" s="1"/>
      <c r="L3630" s="1" t="str">
        <f t="shared" si="193"/>
        <v xml:space="preserve">Hagbyån </v>
      </c>
      <c r="M3630" s="1" t="s">
        <v>177</v>
      </c>
      <c r="N3630" s="1">
        <v>0.1</v>
      </c>
      <c r="O3630" s="1">
        <v>0.1</v>
      </c>
      <c r="Q3630" s="1">
        <v>16.600000000000001</v>
      </c>
      <c r="T3630" s="1">
        <v>48.9</v>
      </c>
      <c r="V3630" s="1">
        <v>2.93</v>
      </c>
      <c r="W3630" s="1">
        <v>150</v>
      </c>
      <c r="Y3630" s="1">
        <v>4.9000000000000002E-2</v>
      </c>
      <c r="Z3630" s="1">
        <v>6</v>
      </c>
      <c r="AA3630" s="1">
        <v>10</v>
      </c>
      <c r="AD3630" s="1">
        <v>106</v>
      </c>
      <c r="AE3630" s="1">
        <v>7.52</v>
      </c>
      <c r="AI3630" s="1">
        <v>14</v>
      </c>
      <c r="AK3630" s="1">
        <v>85.8</v>
      </c>
      <c r="AL3630" s="1">
        <v>1240</v>
      </c>
      <c r="AQ3630" s="1">
        <f>SUM(0.019*19)</f>
        <v>0.36099999999999999</v>
      </c>
      <c r="AR3630" s="1">
        <v>26.908000000000001</v>
      </c>
      <c r="AS3630" s="1">
        <v>49.63</v>
      </c>
      <c r="AT3630" s="1">
        <v>0.36</v>
      </c>
      <c r="AU3630" s="1">
        <v>54</v>
      </c>
      <c r="AV3630" s="1">
        <v>7.1389999999999993</v>
      </c>
      <c r="AW3630" s="1">
        <v>29.822000000000003</v>
      </c>
      <c r="AX3630" s="1">
        <v>5.4740000000000011</v>
      </c>
      <c r="AY3630" s="1">
        <v>2</v>
      </c>
    </row>
    <row r="3631" spans="4:51" x14ac:dyDescent="0.3">
      <c r="D3631" s="2">
        <f t="shared" si="194"/>
        <v>2017</v>
      </c>
      <c r="E3631" s="2">
        <f t="shared" si="195"/>
        <v>7</v>
      </c>
      <c r="F3631" s="3" t="s">
        <v>179</v>
      </c>
      <c r="G3631" s="4">
        <v>42934</v>
      </c>
      <c r="J3631" s="1" t="s">
        <v>245</v>
      </c>
      <c r="K3631" s="1"/>
      <c r="L3631" s="1" t="str">
        <f t="shared" si="193"/>
        <v xml:space="preserve">Hagbyån </v>
      </c>
      <c r="M3631" s="1" t="s">
        <v>177</v>
      </c>
      <c r="N3631" s="1">
        <v>0.1</v>
      </c>
      <c r="O3631" s="1">
        <v>0.1</v>
      </c>
      <c r="Q3631" s="1">
        <v>18.100000000000001</v>
      </c>
      <c r="T3631" s="1">
        <v>46.7</v>
      </c>
      <c r="V3631" s="1">
        <v>2.82</v>
      </c>
      <c r="W3631" s="1">
        <v>115</v>
      </c>
      <c r="Y3631" s="1">
        <v>4.2999999999999997E-2</v>
      </c>
      <c r="Z3631" s="1">
        <v>4</v>
      </c>
      <c r="AA3631" s="1">
        <v>29</v>
      </c>
      <c r="AD3631" s="1">
        <v>117</v>
      </c>
      <c r="AE3631" s="1">
        <v>7.49</v>
      </c>
      <c r="AI3631" s="1">
        <v>15.6</v>
      </c>
      <c r="AK3631" s="1">
        <v>132</v>
      </c>
      <c r="AL3631" s="1">
        <v>1440</v>
      </c>
      <c r="AQ3631" s="1">
        <f>SUM(0.018*19)</f>
        <v>0.34199999999999997</v>
      </c>
      <c r="AR3631" s="1">
        <v>23.063999999999997</v>
      </c>
      <c r="AS3631" s="1">
        <v>46.085000000000008</v>
      </c>
      <c r="AT3631" s="1">
        <v>0.35</v>
      </c>
      <c r="AU3631" s="1">
        <v>52</v>
      </c>
      <c r="AV3631" s="1">
        <v>7.3809999999999993</v>
      </c>
      <c r="AW3631" s="1">
        <v>29.822000000000003</v>
      </c>
      <c r="AX3631" s="1">
        <v>5.4740000000000011</v>
      </c>
      <c r="AY3631" s="1">
        <v>1.9</v>
      </c>
    </row>
    <row r="3632" spans="4:51" x14ac:dyDescent="0.3">
      <c r="D3632" s="2">
        <f t="shared" si="194"/>
        <v>2017</v>
      </c>
      <c r="E3632" s="2">
        <f t="shared" si="195"/>
        <v>8</v>
      </c>
      <c r="F3632" s="3" t="s">
        <v>179</v>
      </c>
      <c r="G3632" s="4">
        <v>42962</v>
      </c>
      <c r="J3632" s="1" t="s">
        <v>245</v>
      </c>
      <c r="K3632" s="1"/>
      <c r="L3632" s="1" t="str">
        <f t="shared" si="193"/>
        <v xml:space="preserve">Hagbyån </v>
      </c>
      <c r="M3632" s="1" t="s">
        <v>177</v>
      </c>
      <c r="N3632" s="1">
        <v>0.1</v>
      </c>
      <c r="O3632" s="1">
        <v>0.1</v>
      </c>
      <c r="Q3632" s="1">
        <v>15.6</v>
      </c>
      <c r="T3632" s="1">
        <v>47.5</v>
      </c>
      <c r="V3632" s="1">
        <v>2.73</v>
      </c>
      <c r="W3632" s="1">
        <v>274</v>
      </c>
      <c r="Y3632" s="1">
        <v>4.2000000000000003E-2</v>
      </c>
      <c r="Z3632" s="1">
        <v>5</v>
      </c>
      <c r="AA3632" s="1">
        <v>68</v>
      </c>
      <c r="AD3632" s="1">
        <v>195</v>
      </c>
      <c r="AE3632" s="1">
        <v>7.44</v>
      </c>
      <c r="AI3632" s="1">
        <v>19.7</v>
      </c>
      <c r="AK3632" s="1">
        <v>245</v>
      </c>
      <c r="AL3632" s="1">
        <v>2030</v>
      </c>
      <c r="AQ3632" s="1">
        <v>0.34200000000000003</v>
      </c>
      <c r="AR3632" s="1">
        <v>25.946999999999999</v>
      </c>
      <c r="AS3632" s="1">
        <v>49.63</v>
      </c>
      <c r="AT3632" s="1">
        <v>0.35</v>
      </c>
      <c r="AU3632" s="1">
        <v>50</v>
      </c>
      <c r="AV3632" s="1">
        <v>7.1389999999999993</v>
      </c>
      <c r="AW3632" s="1">
        <v>29.822000000000003</v>
      </c>
      <c r="AX3632" s="1">
        <v>5.4740000000000011</v>
      </c>
      <c r="AY3632" s="1">
        <v>3.2</v>
      </c>
    </row>
    <row r="3633" spans="4:51" x14ac:dyDescent="0.3">
      <c r="D3633" s="2">
        <f t="shared" si="194"/>
        <v>2017</v>
      </c>
      <c r="E3633" s="2">
        <f t="shared" si="195"/>
        <v>9</v>
      </c>
      <c r="G3633" s="4">
        <v>42990</v>
      </c>
      <c r="J3633" s="1" t="s">
        <v>245</v>
      </c>
      <c r="K3633" s="1"/>
      <c r="L3633" s="1" t="str">
        <f t="shared" si="193"/>
        <v xml:space="preserve">Hagbyån </v>
      </c>
      <c r="M3633" s="1" t="s">
        <v>177</v>
      </c>
      <c r="N3633" s="1">
        <v>0.1</v>
      </c>
      <c r="O3633" s="1">
        <v>0.1</v>
      </c>
      <c r="Q3633" s="1">
        <v>15</v>
      </c>
      <c r="T3633" s="1">
        <v>53.4</v>
      </c>
      <c r="V3633" s="1">
        <v>2.86</v>
      </c>
      <c r="W3633" s="1">
        <v>311</v>
      </c>
      <c r="Y3633" s="1">
        <v>5.8000000000000003E-2</v>
      </c>
      <c r="Z3633" s="1">
        <v>24</v>
      </c>
      <c r="AA3633" s="1">
        <v>33</v>
      </c>
      <c r="AD3633" s="1">
        <v>400</v>
      </c>
      <c r="AE3633" s="1">
        <v>7.43</v>
      </c>
      <c r="AI3633" s="1">
        <v>17.100000000000001</v>
      </c>
      <c r="AK3633" s="1">
        <v>180</v>
      </c>
      <c r="AL3633" s="1">
        <v>2040</v>
      </c>
      <c r="AQ3633" s="1">
        <f>SUM(0.021*19)</f>
        <v>0.39900000000000002</v>
      </c>
      <c r="AR3633" s="1">
        <v>36.037499999999994</v>
      </c>
      <c r="AS3633" s="1">
        <v>56.720000000000006</v>
      </c>
      <c r="AT3633" s="1">
        <v>0.4</v>
      </c>
      <c r="AU3633" s="1">
        <v>52</v>
      </c>
      <c r="AV3633" s="1">
        <v>8.4699999999999989</v>
      </c>
      <c r="AW3633" s="1">
        <v>36.704000000000001</v>
      </c>
      <c r="AX3633" s="1">
        <v>6.6470000000000011</v>
      </c>
      <c r="AY3633" s="1">
        <v>3.5</v>
      </c>
    </row>
    <row r="3634" spans="4:51" x14ac:dyDescent="0.3">
      <c r="D3634" s="2">
        <f t="shared" si="194"/>
        <v>2017</v>
      </c>
      <c r="E3634" s="2">
        <f t="shared" si="195"/>
        <v>10</v>
      </c>
      <c r="F3634" s="3" t="s">
        <v>180</v>
      </c>
      <c r="G3634" s="4">
        <v>43025</v>
      </c>
      <c r="J3634" s="1" t="s">
        <v>245</v>
      </c>
      <c r="K3634" s="1"/>
      <c r="L3634" s="1" t="str">
        <f t="shared" si="193"/>
        <v xml:space="preserve">Hagbyån </v>
      </c>
      <c r="M3634" s="1" t="s">
        <v>177</v>
      </c>
      <c r="N3634" s="1">
        <v>0.1</v>
      </c>
      <c r="O3634" s="1">
        <v>0.1</v>
      </c>
      <c r="Q3634" s="1">
        <v>10.199999999999999</v>
      </c>
      <c r="T3634" s="1">
        <v>55.4</v>
      </c>
      <c r="V3634" s="1">
        <v>2.6</v>
      </c>
      <c r="W3634" s="1">
        <v>105</v>
      </c>
      <c r="Y3634" s="1">
        <v>9.2999999999999999E-2</v>
      </c>
      <c r="Z3634" s="1">
        <v>7</v>
      </c>
      <c r="AA3634" s="1">
        <v>18</v>
      </c>
      <c r="AD3634" s="1">
        <v>1120</v>
      </c>
      <c r="AE3634" s="1">
        <v>7.36</v>
      </c>
      <c r="AI3634" s="1">
        <v>17.7</v>
      </c>
      <c r="AK3634" s="1">
        <v>96.8</v>
      </c>
      <c r="AL3634" s="1">
        <v>2390</v>
      </c>
      <c r="AQ3634" s="1">
        <v>0.39900000000000002</v>
      </c>
      <c r="AR3634" s="1">
        <v>72.074999999999989</v>
      </c>
      <c r="AS3634" s="1">
        <v>49.63</v>
      </c>
      <c r="AT3634" s="1">
        <v>0.39</v>
      </c>
      <c r="AU3634" s="1">
        <v>64</v>
      </c>
      <c r="AV3634" s="1">
        <v>9.8010000000000002</v>
      </c>
      <c r="AW3634" s="1">
        <v>34.410000000000004</v>
      </c>
      <c r="AX3634" s="1">
        <v>6.6470000000000011</v>
      </c>
      <c r="AY3634" s="1">
        <v>6</v>
      </c>
    </row>
    <row r="3635" spans="4:51" x14ac:dyDescent="0.3">
      <c r="D3635" s="2">
        <f t="shared" si="194"/>
        <v>2017</v>
      </c>
      <c r="E3635" s="2">
        <f t="shared" si="195"/>
        <v>1</v>
      </c>
      <c r="F3635" s="3" t="s">
        <v>175</v>
      </c>
      <c r="G3635" s="4">
        <v>42751</v>
      </c>
      <c r="J3635" s="1" t="s">
        <v>186</v>
      </c>
      <c r="K3635" s="1" t="s">
        <v>257</v>
      </c>
      <c r="L3635" s="1" t="str">
        <f t="shared" si="193"/>
        <v>Norrviken utlopp</v>
      </c>
      <c r="M3635" s="1" t="s">
        <v>177</v>
      </c>
      <c r="N3635" s="1">
        <v>0.1</v>
      </c>
      <c r="O3635" s="1">
        <v>0.1</v>
      </c>
      <c r="Q3635" s="1">
        <v>1.5</v>
      </c>
      <c r="T3635" s="1">
        <v>46.6</v>
      </c>
      <c r="V3635" s="1">
        <v>2.66</v>
      </c>
      <c r="W3635" s="1">
        <v>29</v>
      </c>
      <c r="Y3635" s="1">
        <v>3.3000000000000002E-2</v>
      </c>
      <c r="Z3635" s="1">
        <v>56</v>
      </c>
      <c r="AA3635" s="1">
        <v>1.1000000000000001</v>
      </c>
      <c r="AD3635" s="1">
        <v>554</v>
      </c>
      <c r="AE3635" s="1">
        <v>7.66</v>
      </c>
      <c r="AI3635" s="1">
        <v>10.1</v>
      </c>
      <c r="AJ3635" s="1">
        <v>10.7</v>
      </c>
      <c r="AK3635" s="1">
        <v>76.7</v>
      </c>
      <c r="AL3635" s="1">
        <v>1110</v>
      </c>
      <c r="AQ3635" s="1">
        <f>SUM(0.018*19)</f>
        <v>0.34199999999999997</v>
      </c>
      <c r="AR3635" s="1">
        <v>33.154499999999999</v>
      </c>
      <c r="AS3635" s="1">
        <v>42.54</v>
      </c>
      <c r="AT3635" s="1">
        <v>0.35</v>
      </c>
      <c r="AU3635" s="1">
        <v>52</v>
      </c>
      <c r="AV3635" s="1">
        <v>7.8650000000000002</v>
      </c>
      <c r="AW3635" s="1">
        <v>29.822000000000003</v>
      </c>
      <c r="AX3635" s="1">
        <v>5.8650000000000002</v>
      </c>
      <c r="AY3635" s="1">
        <v>3.8</v>
      </c>
    </row>
    <row r="3636" spans="4:51" x14ac:dyDescent="0.3">
      <c r="D3636" s="2">
        <f t="shared" si="194"/>
        <v>2017</v>
      </c>
      <c r="E3636" s="2">
        <f t="shared" si="195"/>
        <v>2</v>
      </c>
      <c r="F3636" s="3" t="s">
        <v>175</v>
      </c>
      <c r="G3636" s="4">
        <v>42780</v>
      </c>
      <c r="J3636" s="1" t="s">
        <v>186</v>
      </c>
      <c r="K3636" s="1" t="s">
        <v>257</v>
      </c>
      <c r="L3636" s="1" t="str">
        <f t="shared" si="193"/>
        <v>Norrviken utlopp</v>
      </c>
      <c r="M3636" s="1" t="s">
        <v>177</v>
      </c>
      <c r="N3636" s="1">
        <v>0.2</v>
      </c>
      <c r="O3636" s="1">
        <v>0.2</v>
      </c>
      <c r="Q3636" s="1">
        <v>1.4</v>
      </c>
      <c r="T3636" s="1">
        <v>48.5</v>
      </c>
      <c r="V3636" s="1">
        <v>2.75</v>
      </c>
      <c r="W3636" s="1">
        <v>7</v>
      </c>
      <c r="Y3636" s="1">
        <v>3.9E-2</v>
      </c>
      <c r="Z3636" s="1">
        <v>28</v>
      </c>
      <c r="AA3636" s="1">
        <v>2.2000000000000002</v>
      </c>
      <c r="AD3636" s="1">
        <v>445</v>
      </c>
      <c r="AE3636" s="1">
        <v>7.83</v>
      </c>
      <c r="AI3636" s="1">
        <v>12</v>
      </c>
      <c r="AJ3636" s="1">
        <v>10.6</v>
      </c>
      <c r="AK3636" s="1">
        <v>76.099999999999994</v>
      </c>
      <c r="AL3636" s="1">
        <v>1100</v>
      </c>
      <c r="AQ3636" s="1">
        <f>SUM(0.019*19)</f>
        <v>0.36099999999999999</v>
      </c>
      <c r="AR3636" s="1">
        <v>34.115499999999997</v>
      </c>
      <c r="AS3636" s="1">
        <v>46.085000000000008</v>
      </c>
      <c r="AT3636" s="1">
        <v>0.36</v>
      </c>
      <c r="AU3636" s="1">
        <v>54</v>
      </c>
      <c r="AV3636" s="1">
        <v>7.7439999999999998</v>
      </c>
      <c r="AW3636" s="1">
        <v>29.822000000000003</v>
      </c>
      <c r="AX3636" s="1">
        <v>5.8650000000000002</v>
      </c>
      <c r="AY3636" s="1">
        <v>3.6</v>
      </c>
    </row>
    <row r="3637" spans="4:51" x14ac:dyDescent="0.3">
      <c r="D3637" s="2">
        <f t="shared" si="194"/>
        <v>2017</v>
      </c>
      <c r="E3637" s="2">
        <f t="shared" si="195"/>
        <v>3</v>
      </c>
      <c r="F3637" s="3" t="s">
        <v>175</v>
      </c>
      <c r="G3637" s="4">
        <v>42814</v>
      </c>
      <c r="J3637" s="1" t="s">
        <v>186</v>
      </c>
      <c r="K3637" s="1" t="s">
        <v>257</v>
      </c>
      <c r="L3637" s="1" t="str">
        <f t="shared" si="193"/>
        <v>Norrviken utlopp</v>
      </c>
      <c r="M3637" s="1" t="s">
        <v>177</v>
      </c>
      <c r="N3637" s="1">
        <v>0.1</v>
      </c>
      <c r="O3637" s="1">
        <v>0.1</v>
      </c>
      <c r="Q3637" s="1">
        <v>5.5</v>
      </c>
      <c r="T3637" s="1">
        <v>43.5</v>
      </c>
      <c r="V3637" s="1">
        <v>2.62</v>
      </c>
      <c r="W3637" s="1">
        <v>5</v>
      </c>
      <c r="Y3637" s="1">
        <v>3.2000000000000001E-2</v>
      </c>
      <c r="Z3637" s="1">
        <v>2</v>
      </c>
      <c r="AA3637" s="1">
        <v>2.5</v>
      </c>
      <c r="AD3637" s="1">
        <v>1.5</v>
      </c>
      <c r="AE3637" s="1">
        <v>8.7200000000000006</v>
      </c>
      <c r="AI3637" s="1">
        <v>11</v>
      </c>
      <c r="AJ3637" s="1">
        <v>12</v>
      </c>
      <c r="AK3637" s="1">
        <v>72</v>
      </c>
      <c r="AL3637" s="1">
        <v>724</v>
      </c>
      <c r="AQ3637" s="1">
        <v>0.34200000000000003</v>
      </c>
      <c r="AR3637" s="1">
        <v>29.790999999999997</v>
      </c>
      <c r="AS3637" s="1">
        <v>42.54</v>
      </c>
      <c r="AT3637" s="1">
        <v>0.34</v>
      </c>
      <c r="AU3637" s="1">
        <v>50</v>
      </c>
      <c r="AV3637" s="1">
        <v>7.3809999999999993</v>
      </c>
      <c r="AW3637" s="1">
        <v>27.528000000000002</v>
      </c>
      <c r="AX3637" s="1">
        <v>5.8650000000000002</v>
      </c>
      <c r="AY3637" s="1">
        <v>1.9</v>
      </c>
    </row>
    <row r="3638" spans="4:51" x14ac:dyDescent="0.3">
      <c r="D3638" s="2">
        <f t="shared" si="194"/>
        <v>2017</v>
      </c>
      <c r="E3638" s="2">
        <f t="shared" si="195"/>
        <v>4</v>
      </c>
      <c r="F3638" s="3" t="s">
        <v>178</v>
      </c>
      <c r="G3638" s="4">
        <v>42836</v>
      </c>
      <c r="J3638" s="1" t="s">
        <v>186</v>
      </c>
      <c r="K3638" s="1" t="s">
        <v>257</v>
      </c>
      <c r="L3638" s="1" t="str">
        <f t="shared" si="193"/>
        <v>Norrviken utlopp</v>
      </c>
      <c r="M3638" s="1" t="s">
        <v>177</v>
      </c>
      <c r="N3638" s="1">
        <v>0.2</v>
      </c>
      <c r="O3638" s="1">
        <v>0.2</v>
      </c>
      <c r="Q3638" s="1">
        <v>6.8</v>
      </c>
      <c r="T3638" s="1">
        <v>46.7</v>
      </c>
      <c r="V3638" s="1">
        <v>2.68</v>
      </c>
      <c r="W3638" s="1">
        <v>11</v>
      </c>
      <c r="Y3638" s="1">
        <v>3.4000000000000002E-2</v>
      </c>
      <c r="Z3638" s="1">
        <v>2</v>
      </c>
      <c r="AA3638" s="1">
        <v>2.7</v>
      </c>
      <c r="AD3638" s="1">
        <v>42</v>
      </c>
      <c r="AE3638" s="1">
        <v>8.17</v>
      </c>
      <c r="AI3638" s="1">
        <v>12.6</v>
      </c>
      <c r="AJ3638" s="1">
        <v>11.2</v>
      </c>
      <c r="AK3638" s="1">
        <v>46</v>
      </c>
      <c r="AL3638" s="1">
        <v>777</v>
      </c>
      <c r="AQ3638" s="1">
        <v>0.36099999999999999</v>
      </c>
      <c r="AR3638" s="1">
        <v>34.115499999999997</v>
      </c>
      <c r="AS3638" s="1">
        <v>42.54</v>
      </c>
      <c r="AT3638" s="1">
        <v>0.36</v>
      </c>
      <c r="AU3638" s="1">
        <v>52</v>
      </c>
      <c r="AV3638" s="1">
        <v>7.6230000000000002</v>
      </c>
      <c r="AW3638" s="1">
        <v>29.822000000000003</v>
      </c>
      <c r="AX3638" s="1">
        <v>5.8650000000000002</v>
      </c>
      <c r="AY3638" s="1">
        <v>2.1</v>
      </c>
    </row>
    <row r="3639" spans="4:51" x14ac:dyDescent="0.3">
      <c r="D3639" s="2">
        <f t="shared" si="194"/>
        <v>2017</v>
      </c>
      <c r="E3639" s="2">
        <f t="shared" si="195"/>
        <v>5</v>
      </c>
      <c r="F3639" s="3" t="s">
        <v>178</v>
      </c>
      <c r="G3639" s="4">
        <v>42870</v>
      </c>
      <c r="J3639" s="1" t="s">
        <v>186</v>
      </c>
      <c r="K3639" s="1" t="s">
        <v>257</v>
      </c>
      <c r="L3639" s="1" t="str">
        <f t="shared" si="193"/>
        <v>Norrviken utlopp</v>
      </c>
      <c r="M3639" s="1" t="s">
        <v>177</v>
      </c>
      <c r="Q3639" s="1">
        <v>10</v>
      </c>
      <c r="T3639" s="1">
        <v>47.2</v>
      </c>
      <c r="V3639" s="1">
        <v>2.7</v>
      </c>
      <c r="W3639" s="1">
        <v>10</v>
      </c>
      <c r="Y3639" s="1">
        <v>3.1E-2</v>
      </c>
      <c r="Z3639" s="1">
        <v>2</v>
      </c>
      <c r="AA3639" s="1">
        <v>2.8</v>
      </c>
      <c r="AD3639" s="1">
        <v>1.5</v>
      </c>
      <c r="AE3639" s="1">
        <v>8.08</v>
      </c>
      <c r="AI3639" s="1">
        <v>11.1</v>
      </c>
      <c r="AJ3639" s="1">
        <v>9.6999999999999993</v>
      </c>
      <c r="AK3639" s="1">
        <v>38.4</v>
      </c>
      <c r="AL3639" s="1">
        <v>756</v>
      </c>
      <c r="AQ3639" s="1">
        <v>0.34200000000000003</v>
      </c>
      <c r="AR3639" s="1">
        <v>35.076499999999996</v>
      </c>
      <c r="AS3639" s="1">
        <v>38.995000000000005</v>
      </c>
      <c r="AT3639" s="1">
        <v>0.35</v>
      </c>
      <c r="AU3639" s="1">
        <v>52</v>
      </c>
      <c r="AV3639" s="1">
        <v>7.3809999999999993</v>
      </c>
      <c r="AW3639" s="1">
        <v>29.822000000000003</v>
      </c>
      <c r="AX3639" s="1">
        <v>5.8650000000000002</v>
      </c>
      <c r="AY3639" s="1">
        <v>1.3</v>
      </c>
    </row>
    <row r="3640" spans="4:51" x14ac:dyDescent="0.3">
      <c r="D3640" s="2">
        <f t="shared" si="194"/>
        <v>2017</v>
      </c>
      <c r="E3640" s="2">
        <f t="shared" si="195"/>
        <v>6</v>
      </c>
      <c r="G3640" s="4">
        <v>42900</v>
      </c>
      <c r="J3640" s="1" t="s">
        <v>186</v>
      </c>
      <c r="K3640" s="1" t="s">
        <v>257</v>
      </c>
      <c r="L3640" s="1" t="str">
        <f t="shared" si="193"/>
        <v>Norrviken utlopp</v>
      </c>
      <c r="M3640" s="1" t="s">
        <v>177</v>
      </c>
      <c r="N3640" s="1">
        <v>0.1</v>
      </c>
      <c r="O3640" s="1">
        <v>0.1</v>
      </c>
      <c r="Q3640" s="1">
        <v>17.2</v>
      </c>
      <c r="T3640" s="1">
        <v>46.6</v>
      </c>
      <c r="V3640" s="1">
        <v>2.63</v>
      </c>
      <c r="W3640" s="1">
        <v>53</v>
      </c>
      <c r="Y3640" s="1">
        <v>3.3000000000000002E-2</v>
      </c>
      <c r="Z3640" s="1">
        <v>14</v>
      </c>
      <c r="AA3640" s="1">
        <v>1.9</v>
      </c>
      <c r="AD3640" s="1">
        <v>19</v>
      </c>
      <c r="AE3640" s="1">
        <v>8.01</v>
      </c>
      <c r="AI3640" s="1">
        <v>10.4</v>
      </c>
      <c r="AJ3640" s="1">
        <v>10.5</v>
      </c>
      <c r="AK3640" s="1">
        <v>47.1</v>
      </c>
      <c r="AL3640" s="1">
        <v>769</v>
      </c>
      <c r="AQ3640" s="1">
        <v>0.36099999999999999</v>
      </c>
      <c r="AR3640" s="1">
        <v>34.115499999999997</v>
      </c>
      <c r="AS3640" s="1">
        <v>46.085000000000008</v>
      </c>
      <c r="AT3640" s="1">
        <v>0.37</v>
      </c>
      <c r="AU3640" s="1">
        <v>50</v>
      </c>
      <c r="AV3640" s="1">
        <v>7.5019999999999998</v>
      </c>
      <c r="AW3640" s="1">
        <v>29.822000000000003</v>
      </c>
      <c r="AX3640" s="1">
        <v>5.8650000000000002</v>
      </c>
      <c r="AY3640" s="1">
        <v>1.2</v>
      </c>
    </row>
    <row r="3641" spans="4:51" x14ac:dyDescent="0.3">
      <c r="D3641" s="2">
        <f t="shared" si="194"/>
        <v>2017</v>
      </c>
      <c r="E3641" s="2">
        <f t="shared" si="195"/>
        <v>7</v>
      </c>
      <c r="F3641" s="3" t="s">
        <v>179</v>
      </c>
      <c r="G3641" s="4">
        <v>42934</v>
      </c>
      <c r="J3641" s="1" t="s">
        <v>186</v>
      </c>
      <c r="K3641" s="1" t="s">
        <v>257</v>
      </c>
      <c r="L3641" s="1" t="str">
        <f t="shared" si="193"/>
        <v>Norrviken utlopp</v>
      </c>
      <c r="M3641" s="1" t="s">
        <v>177</v>
      </c>
      <c r="N3641" s="1">
        <v>0.1</v>
      </c>
      <c r="O3641" s="1">
        <v>0.1</v>
      </c>
      <c r="Q3641" s="1">
        <v>19.8</v>
      </c>
      <c r="T3641" s="1">
        <v>45.9</v>
      </c>
      <c r="V3641" s="1">
        <v>2.56</v>
      </c>
      <c r="W3641" s="1">
        <v>8</v>
      </c>
      <c r="Y3641" s="1">
        <v>3.2000000000000001E-2</v>
      </c>
      <c r="Z3641" s="1">
        <v>15</v>
      </c>
      <c r="AA3641" s="1">
        <v>2.5</v>
      </c>
      <c r="AD3641" s="1">
        <v>1.5</v>
      </c>
      <c r="AE3641" s="1">
        <v>8.26</v>
      </c>
      <c r="AI3641" s="1">
        <v>10.199999999999999</v>
      </c>
      <c r="AJ3641" s="1">
        <v>11.3</v>
      </c>
      <c r="AK3641" s="1">
        <v>63.6</v>
      </c>
      <c r="AL3641" s="1">
        <v>641</v>
      </c>
      <c r="AQ3641" s="1">
        <v>0.36099999999999999</v>
      </c>
      <c r="AR3641" s="1">
        <v>33.154499999999999</v>
      </c>
      <c r="AS3641" s="1">
        <v>46.085000000000008</v>
      </c>
      <c r="AT3641" s="1">
        <v>0.37</v>
      </c>
      <c r="AU3641" s="1">
        <v>48</v>
      </c>
      <c r="AV3641" s="1">
        <v>7.7439999999999998</v>
      </c>
      <c r="AW3641" s="1">
        <v>29.822000000000003</v>
      </c>
      <c r="AX3641" s="1">
        <v>5.4740000000000011</v>
      </c>
      <c r="AY3641" s="1">
        <v>1.6</v>
      </c>
    </row>
    <row r="3642" spans="4:51" x14ac:dyDescent="0.3">
      <c r="D3642" s="2">
        <f t="shared" si="194"/>
        <v>2017</v>
      </c>
      <c r="E3642" s="2">
        <f t="shared" si="195"/>
        <v>8</v>
      </c>
      <c r="F3642" s="3" t="s">
        <v>179</v>
      </c>
      <c r="G3642" s="4">
        <v>42962</v>
      </c>
      <c r="J3642" s="1" t="s">
        <v>186</v>
      </c>
      <c r="K3642" s="1" t="s">
        <v>257</v>
      </c>
      <c r="L3642" s="1" t="str">
        <f t="shared" si="193"/>
        <v>Norrviken utlopp</v>
      </c>
      <c r="M3642" s="1" t="s">
        <v>177</v>
      </c>
      <c r="N3642" s="1">
        <v>0.2</v>
      </c>
      <c r="O3642" s="1">
        <v>0.2</v>
      </c>
      <c r="Q3642" s="1">
        <v>18.600000000000001</v>
      </c>
      <c r="T3642" s="1">
        <v>45.2</v>
      </c>
      <c r="V3642" s="1">
        <v>2.31</v>
      </c>
      <c r="W3642" s="1">
        <v>36</v>
      </c>
      <c r="Y3642" s="1">
        <v>3.5999999999999997E-2</v>
      </c>
      <c r="Z3642" s="1">
        <v>33</v>
      </c>
      <c r="AA3642" s="1">
        <v>0.81</v>
      </c>
      <c r="AB3642" s="1">
        <v>2.2000000000000002</v>
      </c>
      <c r="AD3642" s="1">
        <v>4</v>
      </c>
      <c r="AE3642" s="1">
        <v>7.75</v>
      </c>
      <c r="AI3642" s="1">
        <v>11.4</v>
      </c>
      <c r="AJ3642" s="1">
        <v>12.2</v>
      </c>
      <c r="AK3642" s="1">
        <v>53.2</v>
      </c>
      <c r="AL3642" s="1">
        <v>717</v>
      </c>
      <c r="AQ3642" s="1">
        <v>0.36099999999999999</v>
      </c>
      <c r="AR3642" s="1">
        <v>32.1935</v>
      </c>
      <c r="AS3642" s="1">
        <v>46.085000000000008</v>
      </c>
      <c r="AT3642" s="1">
        <v>0.37</v>
      </c>
      <c r="AU3642" s="1">
        <v>42</v>
      </c>
      <c r="AV3642" s="1">
        <v>7.6230000000000002</v>
      </c>
      <c r="AW3642" s="1">
        <v>29.822000000000003</v>
      </c>
      <c r="AX3642" s="1">
        <v>5.8650000000000002</v>
      </c>
      <c r="AY3642" s="1">
        <v>1.3</v>
      </c>
    </row>
    <row r="3643" spans="4:51" x14ac:dyDescent="0.3">
      <c r="D3643" s="2">
        <f t="shared" si="194"/>
        <v>2017</v>
      </c>
      <c r="E3643" s="2">
        <f t="shared" si="195"/>
        <v>9</v>
      </c>
      <c r="G3643" s="4">
        <v>42990</v>
      </c>
      <c r="J3643" s="1" t="s">
        <v>186</v>
      </c>
      <c r="K3643" s="1" t="s">
        <v>257</v>
      </c>
      <c r="L3643" s="1" t="str">
        <f t="shared" si="193"/>
        <v>Norrviken utlopp</v>
      </c>
      <c r="M3643" s="1" t="s">
        <v>177</v>
      </c>
      <c r="N3643" s="1">
        <v>0.1</v>
      </c>
      <c r="O3643" s="1">
        <v>0.1</v>
      </c>
      <c r="Q3643" s="1">
        <v>16.100000000000001</v>
      </c>
      <c r="T3643" s="1">
        <v>46.2</v>
      </c>
      <c r="V3643" s="1">
        <v>2.56</v>
      </c>
      <c r="W3643" s="1">
        <v>32</v>
      </c>
      <c r="Y3643" s="1">
        <v>3.2000000000000001E-2</v>
      </c>
      <c r="Z3643" s="1">
        <v>63</v>
      </c>
      <c r="AA3643" s="1">
        <v>1.8</v>
      </c>
      <c r="AD3643" s="1">
        <v>7</v>
      </c>
      <c r="AE3643" s="1">
        <v>7.86</v>
      </c>
      <c r="AI3643" s="1">
        <v>10.8</v>
      </c>
      <c r="AJ3643" s="1">
        <v>9.5</v>
      </c>
      <c r="AK3643" s="1">
        <v>94.6</v>
      </c>
      <c r="AL3643" s="1">
        <v>790</v>
      </c>
      <c r="AQ3643" s="1">
        <f>SUM(0.022*19)</f>
        <v>0.41799999999999998</v>
      </c>
      <c r="AR3643" s="1">
        <v>31.232499999999998</v>
      </c>
      <c r="AS3643" s="1">
        <v>46.085000000000008</v>
      </c>
      <c r="AT3643" s="1">
        <v>0.41</v>
      </c>
      <c r="AU3643" s="1">
        <v>46</v>
      </c>
      <c r="AV3643" s="1">
        <v>7.5019999999999998</v>
      </c>
      <c r="AW3643" s="1">
        <v>29.822000000000003</v>
      </c>
      <c r="AX3643" s="1">
        <v>5.8650000000000002</v>
      </c>
      <c r="AY3643" s="1">
        <v>1.5</v>
      </c>
    </row>
    <row r="3644" spans="4:51" x14ac:dyDescent="0.3">
      <c r="D3644" s="2">
        <f t="shared" si="194"/>
        <v>2017</v>
      </c>
      <c r="E3644" s="2">
        <f t="shared" si="195"/>
        <v>10</v>
      </c>
      <c r="F3644" s="3" t="s">
        <v>180</v>
      </c>
      <c r="G3644" s="4">
        <v>43025</v>
      </c>
      <c r="J3644" s="1" t="s">
        <v>186</v>
      </c>
      <c r="K3644" s="1" t="s">
        <v>257</v>
      </c>
      <c r="L3644" s="1" t="str">
        <f t="shared" si="193"/>
        <v>Norrviken utlopp</v>
      </c>
      <c r="M3644" s="1" t="s">
        <v>177</v>
      </c>
      <c r="N3644" s="1">
        <v>0.1</v>
      </c>
      <c r="O3644" s="1">
        <v>0.1</v>
      </c>
      <c r="Q3644" s="1">
        <v>11.2</v>
      </c>
      <c r="T3644" s="1">
        <v>46</v>
      </c>
      <c r="V3644" s="1">
        <v>2.59</v>
      </c>
      <c r="W3644" s="1">
        <v>148</v>
      </c>
      <c r="Y3644" s="1">
        <v>0.03</v>
      </c>
      <c r="Z3644" s="1">
        <v>94</v>
      </c>
      <c r="AA3644" s="1">
        <v>1.3</v>
      </c>
      <c r="AD3644" s="1">
        <v>168</v>
      </c>
      <c r="AE3644" s="1">
        <v>7.73</v>
      </c>
      <c r="AI3644" s="1">
        <v>9.9</v>
      </c>
      <c r="AJ3644" s="1">
        <v>10.199999999999999</v>
      </c>
      <c r="AK3644" s="1">
        <v>112</v>
      </c>
      <c r="AL3644" s="1">
        <v>936</v>
      </c>
      <c r="AQ3644" s="1">
        <f>SUM(0.18*19)</f>
        <v>3.42</v>
      </c>
      <c r="AR3644" s="1">
        <v>32.1935</v>
      </c>
      <c r="AS3644" s="1">
        <v>46.085000000000008</v>
      </c>
      <c r="AT3644" s="1">
        <v>0.35</v>
      </c>
      <c r="AU3644" s="1">
        <v>50</v>
      </c>
      <c r="AV3644" s="1">
        <v>7.7439999999999998</v>
      </c>
      <c r="AW3644" s="1">
        <v>29.822000000000003</v>
      </c>
      <c r="AX3644" s="1">
        <v>5.8650000000000002</v>
      </c>
      <c r="AY3644" s="1">
        <v>2.4</v>
      </c>
    </row>
    <row r="3645" spans="4:51" x14ac:dyDescent="0.3">
      <c r="D3645" s="2">
        <f t="shared" si="194"/>
        <v>2017</v>
      </c>
      <c r="E3645" s="2">
        <f t="shared" si="195"/>
        <v>11</v>
      </c>
      <c r="F3645" s="3" t="s">
        <v>180</v>
      </c>
      <c r="G3645" s="4">
        <v>43053</v>
      </c>
      <c r="H3645" s="1">
        <v>6606237</v>
      </c>
      <c r="I3645" s="1">
        <v>661152</v>
      </c>
      <c r="J3645" s="1" t="s">
        <v>176</v>
      </c>
      <c r="K3645" s="1" t="s">
        <v>256</v>
      </c>
      <c r="L3645" s="1" t="str">
        <f t="shared" si="193"/>
        <v>Oxundaån Rosendal</v>
      </c>
      <c r="M3645" s="1" t="s">
        <v>177</v>
      </c>
      <c r="N3645" s="1">
        <v>0.1</v>
      </c>
      <c r="O3645" s="1">
        <v>0.1</v>
      </c>
      <c r="Q3645" s="1">
        <v>3.7</v>
      </c>
      <c r="T3645" s="1">
        <v>49.1</v>
      </c>
      <c r="V3645" s="1">
        <v>2.5099999999999998</v>
      </c>
      <c r="W3645" s="1">
        <v>14</v>
      </c>
      <c r="Y3645" s="1">
        <v>3.6999999999999998E-2</v>
      </c>
      <c r="Z3645" s="1">
        <v>22</v>
      </c>
      <c r="AA3645" s="1">
        <v>2.2000000000000002</v>
      </c>
      <c r="AD3645" s="1">
        <v>71</v>
      </c>
      <c r="AE3645" s="1">
        <v>7.87</v>
      </c>
      <c r="AI3645" s="1">
        <v>10.6</v>
      </c>
      <c r="AK3645" s="1">
        <v>44.8</v>
      </c>
      <c r="AL3645" s="1">
        <v>753</v>
      </c>
      <c r="AT3645" s="1">
        <v>0.41</v>
      </c>
      <c r="AU3645" s="1">
        <v>50</v>
      </c>
      <c r="AV3645" s="1">
        <v>9.1959999999999997</v>
      </c>
      <c r="AW3645" s="1">
        <v>29.822000000000003</v>
      </c>
      <c r="AX3645" s="1">
        <v>5.8650000000000002</v>
      </c>
      <c r="AY3645" s="1">
        <v>1.8</v>
      </c>
    </row>
    <row r="3646" spans="4:51" x14ac:dyDescent="0.3">
      <c r="D3646" s="2">
        <f t="shared" si="194"/>
        <v>2017</v>
      </c>
      <c r="E3646" s="2">
        <f t="shared" si="195"/>
        <v>12</v>
      </c>
      <c r="F3646" s="3" t="s">
        <v>175</v>
      </c>
      <c r="G3646" s="4">
        <v>43081</v>
      </c>
      <c r="H3646" s="1">
        <v>6606237</v>
      </c>
      <c r="I3646" s="1">
        <v>661152</v>
      </c>
      <c r="J3646" s="1" t="s">
        <v>176</v>
      </c>
      <c r="K3646" s="1" t="s">
        <v>256</v>
      </c>
      <c r="L3646" s="1" t="str">
        <f t="shared" ref="L3646:L3709" si="197">CONCATENATE(J3646," ",K3646)</f>
        <v>Oxundaån Rosendal</v>
      </c>
      <c r="M3646" s="1" t="s">
        <v>177</v>
      </c>
      <c r="N3646" s="1">
        <v>0.1</v>
      </c>
      <c r="O3646" s="1">
        <v>0.1</v>
      </c>
      <c r="Q3646" s="1">
        <v>1.1000000000000001</v>
      </c>
      <c r="T3646" s="1">
        <v>50.1</v>
      </c>
      <c r="V3646" s="1">
        <v>2.44</v>
      </c>
      <c r="W3646" s="1">
        <v>49</v>
      </c>
      <c r="Y3646" s="1">
        <v>0.05</v>
      </c>
      <c r="Z3646" s="1">
        <v>23</v>
      </c>
      <c r="AA3646" s="1">
        <v>4.5999999999999996</v>
      </c>
      <c r="AD3646" s="1">
        <v>424</v>
      </c>
      <c r="AE3646" s="1">
        <v>7.76</v>
      </c>
      <c r="AI3646" s="1">
        <v>10.4</v>
      </c>
      <c r="AL3646" s="1">
        <v>1140</v>
      </c>
      <c r="AU3646" s="1">
        <v>52</v>
      </c>
      <c r="AV3646" s="1">
        <v>9.3170000000000002</v>
      </c>
      <c r="AW3646" s="1">
        <v>29.822000000000003</v>
      </c>
      <c r="AX3646" s="1">
        <v>5.4740000000000011</v>
      </c>
      <c r="AY3646" s="1">
        <v>3.1</v>
      </c>
    </row>
    <row r="3647" spans="4:51" x14ac:dyDescent="0.3">
      <c r="D3647" s="2">
        <f t="shared" si="194"/>
        <v>2017</v>
      </c>
      <c r="E3647" s="2">
        <f t="shared" si="195"/>
        <v>11</v>
      </c>
      <c r="F3647" s="3" t="s">
        <v>180</v>
      </c>
      <c r="G3647" s="4">
        <v>43053</v>
      </c>
      <c r="J3647" s="1" t="s">
        <v>245</v>
      </c>
      <c r="K3647" s="1"/>
      <c r="L3647" s="1" t="str">
        <f t="shared" si="197"/>
        <v xml:space="preserve">Hagbyån </v>
      </c>
      <c r="M3647" s="1" t="s">
        <v>177</v>
      </c>
      <c r="N3647" s="1">
        <v>0.1</v>
      </c>
      <c r="O3647" s="1">
        <v>0.1</v>
      </c>
      <c r="Q3647" s="1">
        <v>2.1</v>
      </c>
      <c r="T3647" s="1">
        <v>48.8</v>
      </c>
      <c r="V3647" s="1">
        <v>2.63</v>
      </c>
      <c r="W3647" s="1">
        <v>104</v>
      </c>
      <c r="Y3647" s="1">
        <v>5.5E-2</v>
      </c>
      <c r="Z3647" s="1">
        <v>2</v>
      </c>
      <c r="AA3647" s="1">
        <v>7</v>
      </c>
      <c r="AD3647" s="1">
        <v>540</v>
      </c>
      <c r="AE3647" s="1">
        <v>7.54</v>
      </c>
      <c r="AI3647" s="1">
        <v>14</v>
      </c>
      <c r="AK3647" s="1">
        <v>49.3</v>
      </c>
      <c r="AL3647" s="1">
        <v>1580</v>
      </c>
      <c r="AQ3647" s="1">
        <f>SUM(0.019*19)</f>
        <v>0.36099999999999999</v>
      </c>
      <c r="AS3647" s="1">
        <v>42.54</v>
      </c>
      <c r="AT3647" s="1">
        <v>0.37</v>
      </c>
      <c r="AU3647" s="1">
        <v>52</v>
      </c>
      <c r="AV3647" s="1">
        <v>7.9859999999999998</v>
      </c>
      <c r="AW3647" s="1">
        <v>29.822000000000003</v>
      </c>
      <c r="AX3647" s="1">
        <v>5.4740000000000011</v>
      </c>
      <c r="AY3647" s="1">
        <v>4.7</v>
      </c>
    </row>
    <row r="3648" spans="4:51" x14ac:dyDescent="0.3">
      <c r="D3648" s="2">
        <f t="shared" si="194"/>
        <v>2017</v>
      </c>
      <c r="E3648" s="2">
        <f t="shared" si="195"/>
        <v>12</v>
      </c>
      <c r="F3648" s="3" t="s">
        <v>175</v>
      </c>
      <c r="G3648" s="4">
        <v>43081</v>
      </c>
      <c r="J3648" s="1" t="s">
        <v>245</v>
      </c>
      <c r="K3648" s="1"/>
      <c r="L3648" s="1" t="str">
        <f t="shared" si="197"/>
        <v xml:space="preserve">Hagbyån </v>
      </c>
      <c r="M3648" s="1" t="s">
        <v>177</v>
      </c>
      <c r="N3648" s="1">
        <v>0.1</v>
      </c>
      <c r="O3648" s="1">
        <v>0.1</v>
      </c>
      <c r="Q3648" s="1">
        <v>0.7</v>
      </c>
      <c r="T3648" s="1">
        <v>45.8</v>
      </c>
      <c r="V3648" s="1">
        <v>2.52</v>
      </c>
      <c r="W3648" s="1">
        <v>153</v>
      </c>
      <c r="Y3648" s="1">
        <v>5.2999999999999999E-2</v>
      </c>
      <c r="Z3648" s="1">
        <v>2</v>
      </c>
      <c r="AA3648" s="1">
        <v>6</v>
      </c>
      <c r="AD3648" s="1">
        <v>500</v>
      </c>
      <c r="AE3648" s="1">
        <v>7.65</v>
      </c>
      <c r="AI3648" s="1">
        <v>13.4</v>
      </c>
      <c r="AL3648" s="1">
        <v>1490</v>
      </c>
      <c r="AQ3648" s="1">
        <f>SUM(0.018*19)</f>
        <v>0.34199999999999997</v>
      </c>
      <c r="AU3648" s="1">
        <v>48</v>
      </c>
      <c r="AV3648" s="1">
        <v>7.0179999999999989</v>
      </c>
      <c r="AW3648" s="1">
        <v>27.528000000000002</v>
      </c>
      <c r="AX3648" s="1">
        <v>4.6920000000000002</v>
      </c>
      <c r="AY3648" s="1">
        <v>4</v>
      </c>
    </row>
    <row r="3649" spans="4:68" x14ac:dyDescent="0.3">
      <c r="D3649" s="2">
        <f t="shared" si="194"/>
        <v>2017</v>
      </c>
      <c r="E3649" s="2">
        <f t="shared" si="195"/>
        <v>11</v>
      </c>
      <c r="F3649" s="3" t="s">
        <v>180</v>
      </c>
      <c r="G3649" s="4">
        <v>43053</v>
      </c>
      <c r="J3649" s="1" t="s">
        <v>186</v>
      </c>
      <c r="K3649" s="1" t="s">
        <v>257</v>
      </c>
      <c r="L3649" s="1" t="str">
        <f t="shared" si="197"/>
        <v>Norrviken utlopp</v>
      </c>
      <c r="M3649" s="1" t="s">
        <v>177</v>
      </c>
      <c r="N3649" s="1">
        <v>0.1</v>
      </c>
      <c r="O3649" s="1">
        <v>0.1</v>
      </c>
      <c r="Q3649" s="1">
        <v>4.3</v>
      </c>
      <c r="T3649" s="1">
        <v>46.4</v>
      </c>
      <c r="V3649" s="1">
        <v>2.57</v>
      </c>
      <c r="W3649" s="1">
        <v>58</v>
      </c>
      <c r="Y3649" s="1">
        <v>3.2000000000000001E-2</v>
      </c>
      <c r="Z3649" s="1">
        <v>86</v>
      </c>
      <c r="AA3649" s="1">
        <v>1.3</v>
      </c>
      <c r="AD3649" s="1">
        <v>382</v>
      </c>
      <c r="AE3649" s="1">
        <v>7.75</v>
      </c>
      <c r="AI3649" s="1">
        <v>10.4</v>
      </c>
      <c r="AJ3649" s="1">
        <v>9.6999999999999993</v>
      </c>
      <c r="AK3649" s="1">
        <v>101</v>
      </c>
      <c r="AL3649" s="1">
        <v>1000</v>
      </c>
      <c r="AQ3649" s="1">
        <f>SUM(0.02*19)</f>
        <v>0.38</v>
      </c>
      <c r="AS3649" s="1">
        <v>46.085000000000008</v>
      </c>
      <c r="AT3649" s="1">
        <v>0.38</v>
      </c>
      <c r="AU3649" s="1">
        <v>46</v>
      </c>
      <c r="AV3649" s="1">
        <v>7.3809999999999993</v>
      </c>
      <c r="AW3649" s="1">
        <v>29.822000000000003</v>
      </c>
      <c r="AX3649" s="1">
        <v>5.8650000000000002</v>
      </c>
      <c r="AY3649" s="1">
        <v>3.2</v>
      </c>
    </row>
    <row r="3650" spans="4:68" x14ac:dyDescent="0.3">
      <c r="D3650" s="2">
        <f t="shared" si="194"/>
        <v>2017</v>
      </c>
      <c r="E3650" s="2">
        <f t="shared" si="195"/>
        <v>12</v>
      </c>
      <c r="F3650" s="3" t="s">
        <v>175</v>
      </c>
      <c r="G3650" s="4">
        <v>43081</v>
      </c>
      <c r="J3650" s="1" t="s">
        <v>186</v>
      </c>
      <c r="K3650" s="1" t="s">
        <v>257</v>
      </c>
      <c r="L3650" s="1" t="str">
        <f t="shared" si="197"/>
        <v>Norrviken utlopp</v>
      </c>
      <c r="M3650" s="1" t="s">
        <v>177</v>
      </c>
      <c r="N3650" s="1">
        <v>0.1</v>
      </c>
      <c r="O3650" s="1">
        <v>0.1</v>
      </c>
      <c r="Q3650" s="1">
        <v>1.6</v>
      </c>
      <c r="T3650" s="1">
        <v>46.2</v>
      </c>
      <c r="V3650" s="1">
        <v>2.5299999999999998</v>
      </c>
      <c r="W3650" s="1">
        <v>27</v>
      </c>
      <c r="Y3650" s="1">
        <v>4.1000000000000002E-2</v>
      </c>
      <c r="Z3650" s="1">
        <v>69</v>
      </c>
      <c r="AA3650" s="1">
        <v>1.6</v>
      </c>
      <c r="AD3650" s="1">
        <v>481</v>
      </c>
      <c r="AE3650" s="1">
        <v>7.89</v>
      </c>
      <c r="AI3650" s="1">
        <v>10.1</v>
      </c>
      <c r="AJ3650" s="1">
        <v>11</v>
      </c>
      <c r="AL3650" s="1">
        <v>1100</v>
      </c>
      <c r="AQ3650" s="1">
        <f>SUM(0.019*19)</f>
        <v>0.36099999999999999</v>
      </c>
      <c r="AU3650" s="1">
        <v>48</v>
      </c>
      <c r="AV3650" s="1">
        <v>7.6230000000000002</v>
      </c>
      <c r="AW3650" s="1">
        <v>29.822000000000003</v>
      </c>
      <c r="AX3650" s="1">
        <v>5.8650000000000002</v>
      </c>
      <c r="AY3650" s="1">
        <v>4</v>
      </c>
    </row>
    <row r="3651" spans="4:68" x14ac:dyDescent="0.3">
      <c r="D3651" s="2">
        <f t="shared" si="194"/>
        <v>2018</v>
      </c>
      <c r="E3651" s="2">
        <f t="shared" si="195"/>
        <v>2</v>
      </c>
      <c r="F3651" s="3" t="s">
        <v>175</v>
      </c>
      <c r="G3651" s="4">
        <v>43150</v>
      </c>
      <c r="H3651" s="1">
        <v>6606632</v>
      </c>
      <c r="I3651" s="1">
        <v>665189</v>
      </c>
      <c r="J3651" s="1" t="s">
        <v>181</v>
      </c>
      <c r="K3651" s="1"/>
      <c r="L3651" s="1" t="str">
        <f t="shared" si="197"/>
        <v xml:space="preserve">Fysingen </v>
      </c>
      <c r="M3651" s="1" t="s">
        <v>177</v>
      </c>
      <c r="N3651" s="1">
        <v>0.5</v>
      </c>
      <c r="O3651" s="1">
        <v>0.5</v>
      </c>
      <c r="P3651" s="1">
        <v>0.7</v>
      </c>
      <c r="Q3651" s="1">
        <v>0.6</v>
      </c>
      <c r="R3651" s="1">
        <v>11.84</v>
      </c>
      <c r="T3651" s="1">
        <v>40.4</v>
      </c>
      <c r="V3651" s="1">
        <v>1.08</v>
      </c>
      <c r="W3651" s="1">
        <v>110</v>
      </c>
      <c r="X3651" s="1">
        <f t="shared" ref="X3651:X3664" si="198">W3651 * (1/((10^((0.0901821 + (2729.92 /(273.15 + Q3651)))-AE3651)+1)))</f>
        <v>5.2323098603980107E-2</v>
      </c>
      <c r="Y3651" s="1">
        <v>0.13300000000000001</v>
      </c>
      <c r="Z3651" s="1">
        <v>29</v>
      </c>
      <c r="AA3651" s="1">
        <v>28</v>
      </c>
      <c r="AB3651" s="1">
        <v>2.4</v>
      </c>
      <c r="AC3651" s="1">
        <v>40.4</v>
      </c>
      <c r="AD3651" s="1">
        <v>2720</v>
      </c>
      <c r="AE3651" s="1">
        <v>6.74</v>
      </c>
      <c r="AI3651" s="1">
        <v>16.3</v>
      </c>
      <c r="AK3651" s="1">
        <v>71.8</v>
      </c>
      <c r="AL3651" s="1">
        <v>3390</v>
      </c>
      <c r="AR3651" s="1">
        <v>44</v>
      </c>
      <c r="AS3651" s="1">
        <v>1.1000000000000001</v>
      </c>
      <c r="AT3651" s="1">
        <v>4.6920000000000002</v>
      </c>
      <c r="AU3651" s="1">
        <v>9.9219999999999988</v>
      </c>
      <c r="AV3651" s="1">
        <v>25.169499999999999</v>
      </c>
      <c r="AW3651" s="1">
        <v>17.8932</v>
      </c>
      <c r="AX3651" s="1">
        <v>100.905</v>
      </c>
      <c r="AY3651" s="1">
        <v>11</v>
      </c>
      <c r="AZ3651" s="1">
        <v>1700</v>
      </c>
      <c r="BH3651" s="1">
        <v>430</v>
      </c>
    </row>
    <row r="3652" spans="4:68" x14ac:dyDescent="0.3">
      <c r="D3652" s="2">
        <f t="shared" si="194"/>
        <v>2018</v>
      </c>
      <c r="E3652" s="2">
        <f t="shared" si="195"/>
        <v>4</v>
      </c>
      <c r="F3652" s="3" t="s">
        <v>178</v>
      </c>
      <c r="G3652" s="4">
        <v>43213</v>
      </c>
      <c r="H3652" s="1">
        <v>6606632</v>
      </c>
      <c r="I3652" s="1">
        <v>665189</v>
      </c>
      <c r="J3652" s="1" t="s">
        <v>181</v>
      </c>
      <c r="K3652" s="1"/>
      <c r="L3652" s="1" t="str">
        <f t="shared" si="197"/>
        <v xml:space="preserve">Fysingen </v>
      </c>
      <c r="M3652" s="1" t="s">
        <v>177</v>
      </c>
      <c r="N3652" s="1">
        <v>0.5</v>
      </c>
      <c r="O3652" s="1">
        <v>0.5</v>
      </c>
      <c r="P3652" s="1">
        <v>2</v>
      </c>
      <c r="Q3652" s="1">
        <v>10.3</v>
      </c>
      <c r="R3652" s="1">
        <v>9.6999999999999993</v>
      </c>
      <c r="T3652" s="1">
        <v>48.5</v>
      </c>
      <c r="V3652" s="1">
        <v>1.99</v>
      </c>
      <c r="W3652" s="1">
        <v>19</v>
      </c>
      <c r="X3652" s="1">
        <f t="shared" si="198"/>
        <v>8.8207306110734393E-2</v>
      </c>
      <c r="Y3652" s="1">
        <v>5.3999999999999999E-2</v>
      </c>
      <c r="Z3652" s="1">
        <v>2</v>
      </c>
      <c r="AA3652" s="1">
        <v>6.4</v>
      </c>
      <c r="AB3652" s="1">
        <v>15</v>
      </c>
      <c r="AC3652" s="1">
        <v>48.5</v>
      </c>
      <c r="AD3652" s="1">
        <v>939</v>
      </c>
      <c r="AE3652" s="1">
        <v>7.39</v>
      </c>
      <c r="AI3652" s="1">
        <v>9.1</v>
      </c>
      <c r="AK3652" s="1">
        <v>37.700000000000003</v>
      </c>
      <c r="AL3652" s="1">
        <v>1510</v>
      </c>
      <c r="AR3652" s="1">
        <v>52</v>
      </c>
      <c r="AS3652" s="1">
        <v>0.21</v>
      </c>
      <c r="AT3652" s="1">
        <v>5.0830000000000002</v>
      </c>
      <c r="AU3652" s="1">
        <v>11.010999999999999</v>
      </c>
      <c r="AV3652" s="1">
        <v>34.032000000000004</v>
      </c>
      <c r="AW3652" s="1">
        <v>22.94</v>
      </c>
      <c r="AX3652" s="1">
        <v>86.49</v>
      </c>
      <c r="AY3652" s="1">
        <v>6</v>
      </c>
      <c r="AZ3652" s="1">
        <v>270</v>
      </c>
      <c r="BH3652" s="1">
        <v>1200</v>
      </c>
    </row>
    <row r="3653" spans="4:68" x14ac:dyDescent="0.3">
      <c r="D3653" s="2">
        <f t="shared" si="194"/>
        <v>2018</v>
      </c>
      <c r="E3653" s="2">
        <f t="shared" si="195"/>
        <v>8</v>
      </c>
      <c r="F3653" s="3" t="s">
        <v>179</v>
      </c>
      <c r="G3653" s="4">
        <v>43341</v>
      </c>
      <c r="H3653" s="1">
        <v>6606632</v>
      </c>
      <c r="I3653" s="1">
        <v>665189</v>
      </c>
      <c r="J3653" s="1" t="s">
        <v>181</v>
      </c>
      <c r="K3653" s="1"/>
      <c r="L3653" s="1" t="str">
        <f t="shared" si="197"/>
        <v xml:space="preserve">Fysingen </v>
      </c>
      <c r="M3653" s="1" t="s">
        <v>177</v>
      </c>
      <c r="N3653" s="1">
        <v>0.5</v>
      </c>
      <c r="O3653" s="1">
        <v>0.5</v>
      </c>
      <c r="P3653" s="1">
        <v>1.5</v>
      </c>
      <c r="Q3653" s="1">
        <v>17.899999999999999</v>
      </c>
      <c r="R3653" s="1">
        <v>8.66</v>
      </c>
      <c r="T3653" s="1">
        <v>53.2</v>
      </c>
      <c r="V3653" s="1">
        <v>2.19</v>
      </c>
      <c r="W3653" s="1">
        <v>10</v>
      </c>
      <c r="X3653" s="1">
        <f t="shared" si="198"/>
        <v>0.3428545332371461</v>
      </c>
      <c r="Y3653" s="1">
        <v>3.3000000000000002E-2</v>
      </c>
      <c r="Z3653" s="1">
        <v>2</v>
      </c>
      <c r="AA3653" s="1">
        <v>3.8</v>
      </c>
      <c r="AB3653" s="1">
        <v>8</v>
      </c>
      <c r="AC3653" s="1">
        <v>53.2</v>
      </c>
      <c r="AD3653" s="1">
        <v>1.5</v>
      </c>
      <c r="AE3653" s="1">
        <v>8.02</v>
      </c>
      <c r="AI3653" s="1">
        <v>9.6999999999999993</v>
      </c>
      <c r="AK3653" s="1">
        <v>25.2</v>
      </c>
      <c r="AL3653" s="1">
        <v>626</v>
      </c>
      <c r="AR3653" s="1">
        <v>56</v>
      </c>
      <c r="AS3653" s="1">
        <v>9.8000000000000004E-2</v>
      </c>
      <c r="AT3653" s="1">
        <v>5.8650000000000002</v>
      </c>
      <c r="AU3653" s="1">
        <v>13.31</v>
      </c>
      <c r="AV3653" s="1">
        <v>42.54</v>
      </c>
      <c r="AW3653" s="1">
        <v>29.822000000000003</v>
      </c>
      <c r="AX3653" s="1">
        <v>91.294999999999987</v>
      </c>
      <c r="AY3653" s="1">
        <v>0.96</v>
      </c>
      <c r="AZ3653" s="1">
        <v>120</v>
      </c>
      <c r="BH3653" s="1">
        <v>180</v>
      </c>
    </row>
    <row r="3654" spans="4:68" x14ac:dyDescent="0.3">
      <c r="D3654" s="2">
        <f t="shared" ref="D3654:D3717" si="199">YEAR(G3654)</f>
        <v>2018</v>
      </c>
      <c r="E3654" s="2">
        <f t="shared" ref="E3654:E3717" si="200">MONTH(G3654)</f>
        <v>10</v>
      </c>
      <c r="F3654" s="3" t="s">
        <v>180</v>
      </c>
      <c r="G3654" s="4">
        <v>43389</v>
      </c>
      <c r="H3654" s="1">
        <v>6606632</v>
      </c>
      <c r="I3654" s="1">
        <v>665189</v>
      </c>
      <c r="J3654" s="1" t="s">
        <v>181</v>
      </c>
      <c r="K3654" s="1"/>
      <c r="L3654" s="1" t="str">
        <f t="shared" si="197"/>
        <v xml:space="preserve">Fysingen </v>
      </c>
      <c r="M3654" s="1" t="s">
        <v>177</v>
      </c>
      <c r="N3654" s="1">
        <v>0.5</v>
      </c>
      <c r="O3654" s="1">
        <v>0.5</v>
      </c>
      <c r="P3654" s="1">
        <v>2.7</v>
      </c>
      <c r="Q3654" s="1">
        <v>11.5</v>
      </c>
      <c r="R3654" s="1">
        <v>10.41</v>
      </c>
      <c r="T3654" s="1">
        <v>55</v>
      </c>
      <c r="V3654" s="1">
        <v>2.23</v>
      </c>
      <c r="W3654" s="1">
        <v>28</v>
      </c>
      <c r="X3654" s="1">
        <f t="shared" si="198"/>
        <v>0.58527158882069408</v>
      </c>
      <c r="Y3654" s="1">
        <v>2.5000000000000001E-2</v>
      </c>
      <c r="Z3654" s="1">
        <v>0.5</v>
      </c>
      <c r="AA3654" s="1">
        <v>2.2999999999999998</v>
      </c>
      <c r="AB3654" s="1">
        <v>4.5999999999999996</v>
      </c>
      <c r="AC3654" s="1">
        <v>55</v>
      </c>
      <c r="AD3654" s="1">
        <v>9</v>
      </c>
      <c r="AE3654" s="1">
        <v>8.01</v>
      </c>
      <c r="AI3654" s="1">
        <v>8.6</v>
      </c>
      <c r="AK3654" s="1">
        <v>25</v>
      </c>
      <c r="AL3654" s="1">
        <v>608</v>
      </c>
      <c r="AR3654" s="1">
        <v>58</v>
      </c>
      <c r="AS3654" s="1">
        <v>6.8000000000000005E-2</v>
      </c>
      <c r="AT3654" s="1">
        <v>6.6470000000000011</v>
      </c>
      <c r="AU3654" s="1">
        <v>11.978999999999999</v>
      </c>
      <c r="AV3654" s="1">
        <v>46.085000000000008</v>
      </c>
      <c r="AW3654" s="1">
        <v>29.822000000000003</v>
      </c>
      <c r="AX3654" s="1">
        <v>91.294999999999987</v>
      </c>
      <c r="AY3654" s="1">
        <v>0.32</v>
      </c>
      <c r="AZ3654" s="1">
        <v>99</v>
      </c>
      <c r="BA3654" s="1">
        <v>0.56000000000000005</v>
      </c>
      <c r="BC3654" s="1">
        <v>6.0000000000000001E-3</v>
      </c>
      <c r="BD3654" s="1">
        <v>0.43</v>
      </c>
      <c r="BE3654" s="1">
        <v>0.11</v>
      </c>
      <c r="BF3654" s="1">
        <v>0.76</v>
      </c>
      <c r="BH3654" s="1">
        <v>59</v>
      </c>
      <c r="BJ3654" s="1">
        <v>5.0999999999999996</v>
      </c>
      <c r="BL3654" s="1">
        <v>0.1</v>
      </c>
      <c r="BN3654" s="1">
        <v>0.34</v>
      </c>
      <c r="BO3654" s="1">
        <v>1.5</v>
      </c>
      <c r="BP3654" s="1">
        <v>15</v>
      </c>
    </row>
    <row r="3655" spans="4:68" x14ac:dyDescent="0.3">
      <c r="D3655" s="2">
        <f t="shared" si="199"/>
        <v>2018</v>
      </c>
      <c r="E3655" s="2">
        <f t="shared" si="200"/>
        <v>1</v>
      </c>
      <c r="F3655" s="3" t="s">
        <v>175</v>
      </c>
      <c r="G3655" s="4">
        <v>43115</v>
      </c>
      <c r="H3655" s="1">
        <v>6606632</v>
      </c>
      <c r="I3655" s="1">
        <v>665189</v>
      </c>
      <c r="J3655" s="1" t="s">
        <v>176</v>
      </c>
      <c r="K3655" s="1" t="s">
        <v>256</v>
      </c>
      <c r="L3655" s="1" t="str">
        <f t="shared" si="197"/>
        <v>Oxundaån Rosendal</v>
      </c>
      <c r="M3655" s="1" t="s">
        <v>177</v>
      </c>
      <c r="N3655" s="1">
        <v>0.1</v>
      </c>
      <c r="O3655" s="1">
        <v>0.1</v>
      </c>
      <c r="Q3655" s="1">
        <v>0.9</v>
      </c>
      <c r="T3655" s="1">
        <v>46.3</v>
      </c>
      <c r="V3655" s="1">
        <v>1.94</v>
      </c>
      <c r="W3655" s="1">
        <v>58</v>
      </c>
      <c r="X3655" s="1">
        <f t="shared" si="198"/>
        <v>9.1446420644910445E-2</v>
      </c>
      <c r="Y3655" s="1">
        <v>9.6000000000000002E-2</v>
      </c>
      <c r="Z3655" s="1">
        <v>39</v>
      </c>
      <c r="AA3655" s="1">
        <v>23</v>
      </c>
      <c r="AC3655" s="1">
        <v>46.3</v>
      </c>
      <c r="AD3655" s="1">
        <v>1620</v>
      </c>
      <c r="AE3655" s="1">
        <v>7.25</v>
      </c>
      <c r="AI3655" s="1">
        <v>13</v>
      </c>
      <c r="AK3655" s="1">
        <v>74.8</v>
      </c>
      <c r="AL3655" s="1">
        <v>2350</v>
      </c>
      <c r="AR3655" s="1">
        <v>50</v>
      </c>
      <c r="AT3655" s="1">
        <v>5.4740000000000011</v>
      </c>
      <c r="AU3655" s="1">
        <v>9.8010000000000002</v>
      </c>
      <c r="AV3655" s="1">
        <v>31.905000000000005</v>
      </c>
      <c r="AW3655" s="1">
        <v>25.234000000000002</v>
      </c>
      <c r="AX3655" s="1">
        <v>72.074999999999989</v>
      </c>
      <c r="AY3655" s="1">
        <v>7.2</v>
      </c>
    </row>
    <row r="3656" spans="4:68" x14ac:dyDescent="0.3">
      <c r="D3656" s="2">
        <f t="shared" si="199"/>
        <v>2018</v>
      </c>
      <c r="E3656" s="2">
        <f t="shared" si="200"/>
        <v>2</v>
      </c>
      <c r="F3656" s="3" t="s">
        <v>175</v>
      </c>
      <c r="G3656" s="4">
        <v>43144</v>
      </c>
      <c r="H3656" s="1">
        <v>6606632</v>
      </c>
      <c r="I3656" s="1">
        <v>665189</v>
      </c>
      <c r="J3656" s="1" t="s">
        <v>176</v>
      </c>
      <c r="K3656" s="1" t="s">
        <v>256</v>
      </c>
      <c r="L3656" s="1" t="str">
        <f t="shared" si="197"/>
        <v>Oxundaån Rosendal</v>
      </c>
      <c r="M3656" s="1" t="s">
        <v>177</v>
      </c>
      <c r="N3656" s="1">
        <v>0.1</v>
      </c>
      <c r="O3656" s="1">
        <v>0.1</v>
      </c>
      <c r="Q3656" s="1">
        <v>0.7</v>
      </c>
      <c r="T3656" s="1">
        <v>46.7</v>
      </c>
      <c r="V3656" s="1">
        <v>1.8</v>
      </c>
      <c r="W3656" s="1">
        <v>79</v>
      </c>
      <c r="X3656" s="1">
        <f t="shared" si="198"/>
        <v>8.8774392556048617E-2</v>
      </c>
      <c r="Y3656" s="1">
        <v>9.5000000000000001E-2</v>
      </c>
      <c r="Z3656" s="1">
        <v>27</v>
      </c>
      <c r="AA3656" s="1">
        <v>17</v>
      </c>
      <c r="AC3656" s="1">
        <v>46.7</v>
      </c>
      <c r="AD3656" s="1">
        <v>1730</v>
      </c>
      <c r="AE3656" s="1">
        <v>7.11</v>
      </c>
      <c r="AI3656" s="1">
        <v>13.6</v>
      </c>
      <c r="AK3656" s="1">
        <v>60.1</v>
      </c>
      <c r="AL3656" s="1">
        <v>2400</v>
      </c>
      <c r="AR3656" s="1">
        <v>50</v>
      </c>
      <c r="AT3656" s="1">
        <v>5.0830000000000002</v>
      </c>
      <c r="AU3656" s="1">
        <v>9.9219999999999988</v>
      </c>
      <c r="AV3656" s="1">
        <v>34.032000000000004</v>
      </c>
      <c r="AW3656" s="1">
        <v>22.94</v>
      </c>
      <c r="AX3656" s="1">
        <v>76.88</v>
      </c>
      <c r="AY3656" s="1">
        <v>7.5</v>
      </c>
    </row>
    <row r="3657" spans="4:68" x14ac:dyDescent="0.3">
      <c r="D3657" s="2">
        <f t="shared" si="199"/>
        <v>2018</v>
      </c>
      <c r="E3657" s="2">
        <f t="shared" si="200"/>
        <v>3</v>
      </c>
      <c r="F3657" s="3" t="s">
        <v>175</v>
      </c>
      <c r="G3657" s="4">
        <v>43174</v>
      </c>
      <c r="H3657" s="1">
        <v>6606632</v>
      </c>
      <c r="I3657" s="1">
        <v>665189</v>
      </c>
      <c r="J3657" s="1" t="s">
        <v>176</v>
      </c>
      <c r="K3657" s="1" t="s">
        <v>256</v>
      </c>
      <c r="L3657" s="1" t="str">
        <f t="shared" si="197"/>
        <v>Oxundaån Rosendal</v>
      </c>
      <c r="M3657" s="1" t="s">
        <v>177</v>
      </c>
      <c r="N3657" s="1">
        <v>0.1</v>
      </c>
      <c r="O3657" s="1">
        <v>0.1</v>
      </c>
      <c r="Q3657" s="1">
        <v>0.9</v>
      </c>
      <c r="T3657" s="1">
        <v>49.1</v>
      </c>
      <c r="V3657" s="1">
        <v>2.36</v>
      </c>
      <c r="W3657" s="1">
        <v>25</v>
      </c>
      <c r="X3657" s="1">
        <f t="shared" si="198"/>
        <v>3.8520712640936504E-2</v>
      </c>
      <c r="Y3657" s="1">
        <v>8.6999999999999994E-2</v>
      </c>
      <c r="Z3657" s="1">
        <v>26</v>
      </c>
      <c r="AA3657" s="1">
        <v>7</v>
      </c>
      <c r="AC3657" s="1">
        <v>49.1</v>
      </c>
      <c r="AD3657" s="1">
        <v>1090</v>
      </c>
      <c r="AE3657" s="1">
        <v>7.24</v>
      </c>
      <c r="AI3657" s="1">
        <v>13</v>
      </c>
      <c r="AK3657" s="1">
        <v>49.4</v>
      </c>
      <c r="AL3657" s="1">
        <v>1680</v>
      </c>
      <c r="AR3657" s="1">
        <v>52</v>
      </c>
      <c r="AT3657" s="1">
        <v>5.4740000000000011</v>
      </c>
      <c r="AU3657" s="1">
        <v>9.0749999999999993</v>
      </c>
      <c r="AV3657" s="1">
        <v>42.54</v>
      </c>
      <c r="AW3657" s="1">
        <v>27.528000000000002</v>
      </c>
      <c r="AX3657" s="1">
        <v>57.66</v>
      </c>
      <c r="AY3657" s="1">
        <v>5.3</v>
      </c>
    </row>
    <row r="3658" spans="4:68" x14ac:dyDescent="0.3">
      <c r="D3658" s="2">
        <f t="shared" si="199"/>
        <v>2018</v>
      </c>
      <c r="E3658" s="2">
        <f t="shared" si="200"/>
        <v>4</v>
      </c>
      <c r="F3658" s="3" t="s">
        <v>178</v>
      </c>
      <c r="G3658" s="4">
        <v>43207</v>
      </c>
      <c r="H3658" s="1">
        <v>6606632</v>
      </c>
      <c r="I3658" s="1">
        <v>665189</v>
      </c>
      <c r="J3658" s="1" t="s">
        <v>176</v>
      </c>
      <c r="K3658" s="1" t="s">
        <v>256</v>
      </c>
      <c r="L3658" s="1" t="str">
        <f t="shared" si="197"/>
        <v>Oxundaån Rosendal</v>
      </c>
      <c r="M3658" s="1" t="s">
        <v>177</v>
      </c>
      <c r="N3658" s="1">
        <v>0.1</v>
      </c>
      <c r="O3658" s="1">
        <v>0.1</v>
      </c>
      <c r="Q3658" s="1">
        <v>6.4</v>
      </c>
      <c r="T3658" s="1">
        <v>39.299999999999997</v>
      </c>
      <c r="V3658" s="1">
        <v>1.9</v>
      </c>
      <c r="W3658" s="1">
        <v>94</v>
      </c>
      <c r="X3658" s="1">
        <f t="shared" si="198"/>
        <v>0.35964354156905842</v>
      </c>
      <c r="Y3658" s="1">
        <v>0.06</v>
      </c>
      <c r="Z3658" s="1">
        <v>2</v>
      </c>
      <c r="AA3658" s="1">
        <v>8.8000000000000007</v>
      </c>
      <c r="AC3658" s="1">
        <v>39.299999999999997</v>
      </c>
      <c r="AD3658" s="1">
        <v>549</v>
      </c>
      <c r="AE3658" s="1">
        <v>7.44</v>
      </c>
      <c r="AI3658" s="1">
        <v>10.5</v>
      </c>
      <c r="AK3658" s="1">
        <v>64.099999999999994</v>
      </c>
      <c r="AL3658" s="1">
        <v>1320</v>
      </c>
      <c r="AR3658" s="1">
        <v>42</v>
      </c>
      <c r="AT3658" s="1">
        <v>4.3010000000000002</v>
      </c>
      <c r="AU3658" s="1">
        <v>7.0179999999999989</v>
      </c>
      <c r="AV3658" s="1">
        <v>32.968500000000006</v>
      </c>
      <c r="AW3658" s="1">
        <v>22.022400000000001</v>
      </c>
      <c r="AX3658" s="1">
        <v>44.205999999999996</v>
      </c>
      <c r="AY3658" s="1">
        <v>4.0999999999999996</v>
      </c>
    </row>
    <row r="3659" spans="4:68" x14ac:dyDescent="0.3">
      <c r="D3659" s="2">
        <f t="shared" si="199"/>
        <v>2018</v>
      </c>
      <c r="E3659" s="2">
        <f t="shared" si="200"/>
        <v>5</v>
      </c>
      <c r="F3659" s="3" t="s">
        <v>178</v>
      </c>
      <c r="G3659" s="4">
        <v>43235</v>
      </c>
      <c r="H3659" s="1">
        <v>6606632</v>
      </c>
      <c r="I3659" s="1">
        <v>665189</v>
      </c>
      <c r="J3659" s="1" t="s">
        <v>176</v>
      </c>
      <c r="K3659" s="1" t="s">
        <v>256</v>
      </c>
      <c r="L3659" s="1" t="str">
        <f t="shared" si="197"/>
        <v>Oxundaån Rosendal</v>
      </c>
      <c r="M3659" s="1" t="s">
        <v>177</v>
      </c>
      <c r="N3659" s="1">
        <v>0.1</v>
      </c>
      <c r="O3659" s="1">
        <v>0.1</v>
      </c>
      <c r="Q3659" s="1">
        <v>18.600000000000001</v>
      </c>
      <c r="T3659" s="1">
        <v>46.3</v>
      </c>
      <c r="V3659" s="1">
        <v>2.34</v>
      </c>
      <c r="W3659" s="1">
        <v>59</v>
      </c>
      <c r="X3659" s="1">
        <f t="shared" si="198"/>
        <v>3.3007668228960974</v>
      </c>
      <c r="Y3659" s="1">
        <v>5.1999999999999998E-2</v>
      </c>
      <c r="Z3659" s="1">
        <v>2</v>
      </c>
      <c r="AA3659" s="1">
        <v>3.9</v>
      </c>
      <c r="AC3659" s="1">
        <v>46.3</v>
      </c>
      <c r="AD3659" s="1">
        <v>5</v>
      </c>
      <c r="AE3659" s="1">
        <v>8.2200000000000006</v>
      </c>
      <c r="AI3659" s="1">
        <v>11.7</v>
      </c>
      <c r="AK3659" s="1">
        <v>41</v>
      </c>
      <c r="AL3659" s="1">
        <v>784</v>
      </c>
      <c r="AR3659" s="1">
        <v>52</v>
      </c>
      <c r="AT3659" s="1">
        <v>5.4740000000000011</v>
      </c>
      <c r="AU3659" s="1">
        <v>8.8330000000000002</v>
      </c>
      <c r="AV3659" s="1">
        <v>38.995000000000005</v>
      </c>
      <c r="AW3659" s="1">
        <v>27.528000000000002</v>
      </c>
      <c r="AX3659" s="1">
        <v>52.855000000000004</v>
      </c>
      <c r="AY3659" s="1">
        <v>2.9</v>
      </c>
    </row>
    <row r="3660" spans="4:68" x14ac:dyDescent="0.3">
      <c r="D3660" s="2">
        <f t="shared" si="199"/>
        <v>2018</v>
      </c>
      <c r="E3660" s="2">
        <f t="shared" si="200"/>
        <v>6</v>
      </c>
      <c r="G3660" s="4">
        <v>43270</v>
      </c>
      <c r="H3660" s="1">
        <v>6606632</v>
      </c>
      <c r="I3660" s="1">
        <v>665189</v>
      </c>
      <c r="J3660" s="1" t="s">
        <v>176</v>
      </c>
      <c r="K3660" s="1" t="s">
        <v>256</v>
      </c>
      <c r="L3660" s="1" t="str">
        <f t="shared" si="197"/>
        <v>Oxundaån Rosendal</v>
      </c>
      <c r="M3660" s="1" t="s">
        <v>177</v>
      </c>
      <c r="N3660" s="1">
        <v>0.1</v>
      </c>
      <c r="O3660" s="1">
        <v>0.1</v>
      </c>
      <c r="Q3660" s="1">
        <v>19.3</v>
      </c>
      <c r="T3660" s="1">
        <v>48.8</v>
      </c>
      <c r="V3660" s="1">
        <v>2.52</v>
      </c>
      <c r="W3660" s="1">
        <v>91</v>
      </c>
      <c r="X3660" s="1">
        <f t="shared" si="198"/>
        <v>1.2255057979880908</v>
      </c>
      <c r="Y3660" s="1">
        <v>4.5999999999999999E-2</v>
      </c>
      <c r="Z3660" s="1">
        <v>42</v>
      </c>
      <c r="AA3660" s="1">
        <v>2.6</v>
      </c>
      <c r="AC3660" s="1">
        <v>48.8</v>
      </c>
      <c r="AD3660" s="1">
        <v>21</v>
      </c>
      <c r="AE3660" s="1">
        <v>7.56</v>
      </c>
      <c r="AI3660" s="1">
        <v>12.1</v>
      </c>
      <c r="AK3660" s="1">
        <v>64.099999999999994</v>
      </c>
      <c r="AL3660" s="1">
        <v>791</v>
      </c>
      <c r="AR3660" s="1">
        <v>52</v>
      </c>
      <c r="AT3660" s="1">
        <v>5.0830000000000002</v>
      </c>
      <c r="AU3660" s="1">
        <v>8.9539999999999988</v>
      </c>
      <c r="AV3660" s="1">
        <v>42.54</v>
      </c>
      <c r="AW3660" s="1">
        <v>27.528000000000002</v>
      </c>
      <c r="AX3660" s="1">
        <v>52.855000000000004</v>
      </c>
      <c r="AY3660" s="1">
        <v>0.83</v>
      </c>
    </row>
    <row r="3661" spans="4:68" x14ac:dyDescent="0.3">
      <c r="D3661" s="2">
        <f t="shared" si="199"/>
        <v>2018</v>
      </c>
      <c r="E3661" s="2">
        <f t="shared" si="200"/>
        <v>7</v>
      </c>
      <c r="F3661" s="3" t="s">
        <v>179</v>
      </c>
      <c r="G3661" s="4">
        <v>43298</v>
      </c>
      <c r="H3661" s="1">
        <v>6606632</v>
      </c>
      <c r="I3661" s="1">
        <v>665189</v>
      </c>
      <c r="J3661" s="1" t="s">
        <v>176</v>
      </c>
      <c r="K3661" s="1" t="s">
        <v>256</v>
      </c>
      <c r="L3661" s="1" t="str">
        <f t="shared" si="197"/>
        <v>Oxundaån Rosendal</v>
      </c>
      <c r="M3661" s="1" t="s">
        <v>177</v>
      </c>
      <c r="N3661" s="1">
        <v>0.1</v>
      </c>
      <c r="O3661" s="1">
        <v>0.1</v>
      </c>
      <c r="Q3661" s="1">
        <v>24.5</v>
      </c>
      <c r="T3661" s="1">
        <v>49.6</v>
      </c>
      <c r="V3661" s="1">
        <v>2.5499999999999998</v>
      </c>
      <c r="W3661" s="1">
        <v>99</v>
      </c>
      <c r="X3661" s="1">
        <f t="shared" si="198"/>
        <v>2.8907189699229425</v>
      </c>
      <c r="Y3661" s="1">
        <v>3.7999999999999999E-2</v>
      </c>
      <c r="Z3661" s="1">
        <v>29</v>
      </c>
      <c r="AA3661" s="1">
        <v>2.2000000000000002</v>
      </c>
      <c r="AB3661" s="1">
        <v>3.1</v>
      </c>
      <c r="AC3661" s="1">
        <v>49.6</v>
      </c>
      <c r="AD3661" s="1">
        <v>11</v>
      </c>
      <c r="AE3661" s="1">
        <v>7.74</v>
      </c>
      <c r="AI3661" s="1">
        <v>10.6</v>
      </c>
      <c r="AK3661" s="1">
        <v>54.7</v>
      </c>
      <c r="AL3661" s="1">
        <v>803</v>
      </c>
      <c r="AR3661" s="1">
        <v>54</v>
      </c>
      <c r="AT3661" s="1">
        <v>5.4740000000000011</v>
      </c>
      <c r="AU3661" s="1">
        <v>9.5589999999999993</v>
      </c>
      <c r="AV3661" s="1">
        <v>42.54</v>
      </c>
      <c r="AW3661" s="1">
        <v>29.822000000000003</v>
      </c>
      <c r="AX3661" s="1">
        <v>57.66</v>
      </c>
      <c r="AY3661" s="1">
        <v>0.53</v>
      </c>
    </row>
    <row r="3662" spans="4:68" x14ac:dyDescent="0.3">
      <c r="D3662" s="2">
        <f t="shared" si="199"/>
        <v>2018</v>
      </c>
      <c r="E3662" s="2">
        <f t="shared" si="200"/>
        <v>8</v>
      </c>
      <c r="F3662" s="3" t="s">
        <v>179</v>
      </c>
      <c r="G3662" s="4">
        <v>43325</v>
      </c>
      <c r="H3662" s="1">
        <v>6606632</v>
      </c>
      <c r="I3662" s="1">
        <v>665189</v>
      </c>
      <c r="J3662" s="1" t="s">
        <v>176</v>
      </c>
      <c r="K3662" s="1" t="s">
        <v>256</v>
      </c>
      <c r="L3662" s="1" t="str">
        <f t="shared" si="197"/>
        <v>Oxundaån Rosendal</v>
      </c>
      <c r="M3662" s="1" t="s">
        <v>177</v>
      </c>
      <c r="N3662" s="1">
        <v>0.1</v>
      </c>
      <c r="O3662" s="1">
        <v>0.1</v>
      </c>
      <c r="Q3662" s="1">
        <v>21.9</v>
      </c>
      <c r="T3662" s="1">
        <v>49.9</v>
      </c>
      <c r="V3662" s="1">
        <v>2.6</v>
      </c>
      <c r="W3662" s="1">
        <v>59</v>
      </c>
      <c r="X3662" s="1">
        <f t="shared" si="198"/>
        <v>1.3435925270725189</v>
      </c>
      <c r="Y3662" s="1">
        <v>3.9E-2</v>
      </c>
      <c r="Z3662" s="1">
        <v>65</v>
      </c>
      <c r="AA3662" s="1">
        <v>2.1</v>
      </c>
      <c r="AB3662" s="1">
        <v>4.5999999999999996</v>
      </c>
      <c r="AC3662" s="1">
        <v>49.9</v>
      </c>
      <c r="AD3662" s="1">
        <v>11</v>
      </c>
      <c r="AE3662" s="1">
        <v>7.71</v>
      </c>
      <c r="AI3662" s="1">
        <v>11.2</v>
      </c>
      <c r="AK3662" s="1">
        <v>98.5</v>
      </c>
      <c r="AL3662" s="1">
        <v>781</v>
      </c>
      <c r="AR3662" s="1">
        <v>54</v>
      </c>
      <c r="AT3662" s="1">
        <v>5.8650000000000002</v>
      </c>
      <c r="AU3662" s="1">
        <v>9.8010000000000002</v>
      </c>
      <c r="AV3662" s="1">
        <v>42.54</v>
      </c>
      <c r="AW3662" s="1">
        <v>29.822000000000003</v>
      </c>
      <c r="AX3662" s="1">
        <v>52.855000000000004</v>
      </c>
      <c r="AY3662" s="1">
        <v>0.42</v>
      </c>
    </row>
    <row r="3663" spans="4:68" x14ac:dyDescent="0.3">
      <c r="D3663" s="2">
        <f t="shared" si="199"/>
        <v>2018</v>
      </c>
      <c r="E3663" s="2">
        <f t="shared" si="200"/>
        <v>9</v>
      </c>
      <c r="G3663" s="4">
        <v>43361</v>
      </c>
      <c r="H3663" s="1">
        <v>6606632</v>
      </c>
      <c r="I3663" s="1">
        <v>665189</v>
      </c>
      <c r="J3663" s="1" t="s">
        <v>176</v>
      </c>
      <c r="K3663" s="1" t="s">
        <v>256</v>
      </c>
      <c r="L3663" s="1" t="str">
        <f t="shared" si="197"/>
        <v>Oxundaån Rosendal</v>
      </c>
      <c r="M3663" s="1" t="s">
        <v>177</v>
      </c>
      <c r="N3663" s="1">
        <v>0.1</v>
      </c>
      <c r="O3663" s="1">
        <v>0.1</v>
      </c>
      <c r="Q3663" s="1">
        <v>13.3</v>
      </c>
      <c r="T3663" s="1">
        <v>50.3</v>
      </c>
      <c r="V3663" s="1">
        <v>2.56</v>
      </c>
      <c r="W3663" s="1">
        <v>130</v>
      </c>
      <c r="X3663" s="1">
        <f t="shared" si="198"/>
        <v>1.5786122609191966</v>
      </c>
      <c r="Y3663" s="1">
        <v>3.6999999999999998E-2</v>
      </c>
      <c r="Z3663" s="1">
        <v>70</v>
      </c>
      <c r="AA3663" s="1">
        <v>2.2999999999999998</v>
      </c>
      <c r="AC3663" s="1">
        <v>50.3</v>
      </c>
      <c r="AD3663" s="1">
        <v>39</v>
      </c>
      <c r="AE3663" s="1">
        <v>7.71</v>
      </c>
      <c r="AI3663" s="1">
        <v>9.8000000000000007</v>
      </c>
      <c r="AK3663" s="1">
        <v>94.1</v>
      </c>
      <c r="AL3663" s="1">
        <v>811</v>
      </c>
      <c r="AR3663" s="1">
        <v>56</v>
      </c>
      <c r="AT3663" s="1">
        <v>5.4740000000000011</v>
      </c>
      <c r="AU3663" s="1">
        <v>9.8010000000000002</v>
      </c>
      <c r="AV3663" s="1">
        <v>42.54</v>
      </c>
      <c r="AW3663" s="1">
        <v>29.822000000000003</v>
      </c>
      <c r="AX3663" s="1">
        <v>57.66</v>
      </c>
      <c r="AY3663" s="1">
        <v>0.88</v>
      </c>
    </row>
    <row r="3664" spans="4:68" x14ac:dyDescent="0.3">
      <c r="D3664" s="2">
        <f t="shared" si="199"/>
        <v>2018</v>
      </c>
      <c r="E3664" s="2">
        <f t="shared" si="200"/>
        <v>10</v>
      </c>
      <c r="F3664" s="3" t="s">
        <v>180</v>
      </c>
      <c r="G3664" s="4">
        <v>43389</v>
      </c>
      <c r="H3664" s="1">
        <v>6606632</v>
      </c>
      <c r="I3664" s="1">
        <v>665189</v>
      </c>
      <c r="J3664" s="1" t="s">
        <v>176</v>
      </c>
      <c r="K3664" s="1" t="s">
        <v>256</v>
      </c>
      <c r="L3664" s="1" t="str">
        <f t="shared" si="197"/>
        <v>Oxundaån Rosendal</v>
      </c>
      <c r="M3664" s="1" t="s">
        <v>177</v>
      </c>
      <c r="N3664" s="1">
        <v>0.1</v>
      </c>
      <c r="O3664" s="1">
        <v>0.1</v>
      </c>
      <c r="Q3664" s="1">
        <v>10.8</v>
      </c>
      <c r="T3664" s="1">
        <v>50.1</v>
      </c>
      <c r="V3664" s="1">
        <v>2.5499999999999998</v>
      </c>
      <c r="W3664" s="1">
        <v>108</v>
      </c>
      <c r="X3664" s="1">
        <f t="shared" si="198"/>
        <v>1.0117356538857738</v>
      </c>
      <c r="Y3664" s="1">
        <v>3.6999999999999998E-2</v>
      </c>
      <c r="Z3664" s="1">
        <v>67</v>
      </c>
      <c r="AA3664" s="1">
        <v>2</v>
      </c>
      <c r="AC3664" s="1">
        <v>50.1</v>
      </c>
      <c r="AD3664" s="1">
        <v>137</v>
      </c>
      <c r="AE3664" s="1">
        <v>7.68</v>
      </c>
      <c r="AI3664" s="1">
        <v>9.9</v>
      </c>
      <c r="AK3664" s="1">
        <v>87.2</v>
      </c>
      <c r="AL3664" s="1">
        <v>845</v>
      </c>
      <c r="AR3664" s="1">
        <v>54</v>
      </c>
      <c r="AT3664" s="1">
        <v>5.8650000000000002</v>
      </c>
      <c r="AU3664" s="1">
        <v>9.9219999999999988</v>
      </c>
      <c r="AV3664" s="1">
        <v>42.54</v>
      </c>
      <c r="AW3664" s="1">
        <v>29.822000000000003</v>
      </c>
      <c r="AX3664" s="1">
        <v>57.66</v>
      </c>
      <c r="AY3664" s="1">
        <v>1</v>
      </c>
    </row>
    <row r="3665" spans="1:38" x14ac:dyDescent="0.3">
      <c r="A3665" s="1">
        <v>62845</v>
      </c>
      <c r="B3665" s="1" t="s">
        <v>258</v>
      </c>
      <c r="C3665" s="1" t="s">
        <v>231</v>
      </c>
      <c r="D3665" s="2">
        <f t="shared" si="199"/>
        <v>2018</v>
      </c>
      <c r="E3665" s="2">
        <f t="shared" si="200"/>
        <v>2</v>
      </c>
      <c r="F3665" s="3" t="s">
        <v>175</v>
      </c>
      <c r="G3665" s="4">
        <v>43157</v>
      </c>
      <c r="H3665" s="1">
        <v>6595172</v>
      </c>
      <c r="I3665" s="1">
        <v>669610</v>
      </c>
      <c r="J3665" s="1" t="s">
        <v>183</v>
      </c>
      <c r="K3665" s="1"/>
      <c r="L3665" s="1" t="str">
        <f t="shared" si="197"/>
        <v xml:space="preserve">Fjäturen </v>
      </c>
      <c r="M3665" s="1" t="s">
        <v>177</v>
      </c>
      <c r="N3665" s="1">
        <v>0.5</v>
      </c>
      <c r="O3665" s="1">
        <v>0.5</v>
      </c>
      <c r="P3665" s="1">
        <v>2.2000000000000002</v>
      </c>
      <c r="Q3665" s="1">
        <v>0.5</v>
      </c>
      <c r="R3665" s="1">
        <v>14.6</v>
      </c>
      <c r="S3665" s="1">
        <v>98</v>
      </c>
      <c r="W3665" s="1">
        <v>3.0964</v>
      </c>
      <c r="X3665" s="1">
        <v>1.031031079537899E-2</v>
      </c>
      <c r="Y3665" s="1">
        <v>0.11700000000000001</v>
      </c>
      <c r="Z3665" s="1">
        <v>2.87</v>
      </c>
      <c r="AA3665" s="1">
        <v>3.5</v>
      </c>
      <c r="AD3665" s="1">
        <v>135.66999999999999</v>
      </c>
      <c r="AE3665" s="1">
        <v>7.59</v>
      </c>
      <c r="AK3665" s="1">
        <v>23.22</v>
      </c>
      <c r="AL3665" s="1">
        <v>821.38</v>
      </c>
    </row>
    <row r="3666" spans="1:38" x14ac:dyDescent="0.3">
      <c r="A3666" s="1">
        <v>62846</v>
      </c>
      <c r="B3666" s="1" t="s">
        <v>258</v>
      </c>
      <c r="C3666" s="1" t="s">
        <v>231</v>
      </c>
      <c r="D3666" s="2">
        <f t="shared" si="199"/>
        <v>2018</v>
      </c>
      <c r="E3666" s="2">
        <f t="shared" si="200"/>
        <v>2</v>
      </c>
      <c r="F3666" s="3" t="s">
        <v>175</v>
      </c>
      <c r="G3666" s="4">
        <v>43157</v>
      </c>
      <c r="H3666" s="1">
        <v>6595172</v>
      </c>
      <c r="I3666" s="1">
        <v>669610</v>
      </c>
      <c r="J3666" s="1" t="s">
        <v>183</v>
      </c>
      <c r="K3666" s="1"/>
      <c r="L3666" s="1" t="str">
        <f t="shared" si="197"/>
        <v xml:space="preserve">Fjäturen </v>
      </c>
      <c r="M3666" s="1" t="s">
        <v>211</v>
      </c>
      <c r="N3666" s="1">
        <v>1</v>
      </c>
      <c r="O3666" s="1">
        <v>1</v>
      </c>
      <c r="Q3666" s="1">
        <v>2.1</v>
      </c>
      <c r="R3666" s="1">
        <v>10.4</v>
      </c>
      <c r="S3666" s="1">
        <v>73</v>
      </c>
    </row>
    <row r="3667" spans="1:38" x14ac:dyDescent="0.3">
      <c r="A3667" s="1">
        <v>62847</v>
      </c>
      <c r="B3667" s="1" t="s">
        <v>258</v>
      </c>
      <c r="C3667" s="1" t="s">
        <v>231</v>
      </c>
      <c r="D3667" s="2">
        <f t="shared" si="199"/>
        <v>2018</v>
      </c>
      <c r="E3667" s="2">
        <f t="shared" si="200"/>
        <v>2</v>
      </c>
      <c r="F3667" s="3" t="s">
        <v>175</v>
      </c>
      <c r="G3667" s="4">
        <v>43157</v>
      </c>
      <c r="H3667" s="1">
        <v>6595172</v>
      </c>
      <c r="I3667" s="1">
        <v>669610</v>
      </c>
      <c r="J3667" s="1" t="s">
        <v>183</v>
      </c>
      <c r="K3667" s="1"/>
      <c r="L3667" s="1" t="str">
        <f t="shared" si="197"/>
        <v xml:space="preserve">Fjäturen </v>
      </c>
      <c r="M3667" s="1" t="s">
        <v>212</v>
      </c>
      <c r="N3667" s="1">
        <v>2</v>
      </c>
      <c r="O3667" s="1">
        <v>2</v>
      </c>
      <c r="Q3667" s="1">
        <v>2.6</v>
      </c>
      <c r="R3667" s="1">
        <v>7.6</v>
      </c>
      <c r="S3667" s="1">
        <v>54</v>
      </c>
    </row>
    <row r="3668" spans="1:38" x14ac:dyDescent="0.3">
      <c r="A3668" s="1">
        <v>62848</v>
      </c>
      <c r="B3668" s="1" t="s">
        <v>258</v>
      </c>
      <c r="C3668" s="1" t="s">
        <v>231</v>
      </c>
      <c r="D3668" s="2">
        <f t="shared" si="199"/>
        <v>2018</v>
      </c>
      <c r="E3668" s="2">
        <f t="shared" si="200"/>
        <v>2</v>
      </c>
      <c r="F3668" s="3" t="s">
        <v>175</v>
      </c>
      <c r="G3668" s="4">
        <v>43157</v>
      </c>
      <c r="H3668" s="1">
        <v>6595172</v>
      </c>
      <c r="I3668" s="1">
        <v>669610</v>
      </c>
      <c r="J3668" s="1" t="s">
        <v>183</v>
      </c>
      <c r="K3668" s="1"/>
      <c r="L3668" s="1" t="str">
        <f t="shared" si="197"/>
        <v xml:space="preserve">Fjäturen </v>
      </c>
      <c r="M3668" s="1" t="s">
        <v>213</v>
      </c>
      <c r="N3668" s="1">
        <v>3</v>
      </c>
      <c r="O3668" s="1">
        <v>3</v>
      </c>
      <c r="Q3668" s="1">
        <v>3</v>
      </c>
      <c r="R3668" s="1">
        <v>5.9</v>
      </c>
      <c r="S3668" s="1">
        <v>43</v>
      </c>
    </row>
    <row r="3669" spans="1:38" x14ac:dyDescent="0.3">
      <c r="A3669" s="1">
        <v>62849</v>
      </c>
      <c r="B3669" s="1" t="s">
        <v>258</v>
      </c>
      <c r="C3669" s="1" t="s">
        <v>231</v>
      </c>
      <c r="D3669" s="2">
        <f t="shared" si="199"/>
        <v>2018</v>
      </c>
      <c r="E3669" s="2">
        <f t="shared" si="200"/>
        <v>2</v>
      </c>
      <c r="F3669" s="3" t="s">
        <v>175</v>
      </c>
      <c r="G3669" s="4">
        <v>43157</v>
      </c>
      <c r="H3669" s="1">
        <v>6595172</v>
      </c>
      <c r="I3669" s="1">
        <v>669610</v>
      </c>
      <c r="J3669" s="1" t="s">
        <v>183</v>
      </c>
      <c r="K3669" s="1"/>
      <c r="L3669" s="1" t="str">
        <f t="shared" si="197"/>
        <v xml:space="preserve">Fjäturen </v>
      </c>
      <c r="M3669" s="1" t="s">
        <v>214</v>
      </c>
      <c r="N3669" s="1">
        <v>4</v>
      </c>
      <c r="O3669" s="1">
        <v>4</v>
      </c>
      <c r="Q3669" s="1">
        <v>3.3</v>
      </c>
      <c r="R3669" s="1">
        <v>4.7</v>
      </c>
      <c r="S3669" s="1">
        <v>34</v>
      </c>
    </row>
    <row r="3670" spans="1:38" x14ac:dyDescent="0.3">
      <c r="A3670" s="1">
        <v>62850</v>
      </c>
      <c r="B3670" s="1" t="s">
        <v>258</v>
      </c>
      <c r="C3670" s="1" t="s">
        <v>231</v>
      </c>
      <c r="D3670" s="2">
        <f t="shared" si="199"/>
        <v>2018</v>
      </c>
      <c r="E3670" s="2">
        <f t="shared" si="200"/>
        <v>2</v>
      </c>
      <c r="F3670" s="3" t="s">
        <v>175</v>
      </c>
      <c r="G3670" s="4">
        <v>43157</v>
      </c>
      <c r="H3670" s="1">
        <v>6595172</v>
      </c>
      <c r="I3670" s="1">
        <v>669610</v>
      </c>
      <c r="J3670" s="1" t="s">
        <v>183</v>
      </c>
      <c r="K3670" s="1"/>
      <c r="L3670" s="1" t="str">
        <f t="shared" si="197"/>
        <v xml:space="preserve">Fjäturen </v>
      </c>
      <c r="M3670" s="1" t="s">
        <v>217</v>
      </c>
      <c r="N3670" s="1">
        <v>5</v>
      </c>
      <c r="O3670" s="1">
        <v>5</v>
      </c>
      <c r="Q3670" s="1">
        <v>3.5</v>
      </c>
      <c r="R3670" s="1">
        <v>4.0999999999999996</v>
      </c>
      <c r="S3670" s="1">
        <v>30</v>
      </c>
    </row>
    <row r="3671" spans="1:38" x14ac:dyDescent="0.3">
      <c r="A3671" s="1">
        <v>62851</v>
      </c>
      <c r="B3671" s="1" t="s">
        <v>258</v>
      </c>
      <c r="C3671" s="1" t="s">
        <v>231</v>
      </c>
      <c r="D3671" s="2">
        <f t="shared" si="199"/>
        <v>2018</v>
      </c>
      <c r="E3671" s="2">
        <f t="shared" si="200"/>
        <v>2</v>
      </c>
      <c r="F3671" s="3" t="s">
        <v>175</v>
      </c>
      <c r="G3671" s="4">
        <v>43157</v>
      </c>
      <c r="H3671" s="1">
        <v>6595172</v>
      </c>
      <c r="I3671" s="1">
        <v>669610</v>
      </c>
      <c r="J3671" s="1" t="s">
        <v>183</v>
      </c>
      <c r="K3671" s="1"/>
      <c r="L3671" s="1" t="str">
        <f t="shared" si="197"/>
        <v xml:space="preserve">Fjäturen </v>
      </c>
      <c r="M3671" s="1" t="s">
        <v>218</v>
      </c>
      <c r="N3671" s="1">
        <v>6</v>
      </c>
      <c r="O3671" s="1">
        <v>6</v>
      </c>
      <c r="Q3671" s="1">
        <v>3.7</v>
      </c>
      <c r="R3671" s="1">
        <v>3.5</v>
      </c>
      <c r="S3671" s="1">
        <v>25</v>
      </c>
    </row>
    <row r="3672" spans="1:38" x14ac:dyDescent="0.3">
      <c r="A3672" s="1">
        <v>62852</v>
      </c>
      <c r="B3672" s="1" t="s">
        <v>258</v>
      </c>
      <c r="C3672" s="1" t="s">
        <v>231</v>
      </c>
      <c r="D3672" s="2">
        <f t="shared" si="199"/>
        <v>2018</v>
      </c>
      <c r="E3672" s="2">
        <f t="shared" si="200"/>
        <v>2</v>
      </c>
      <c r="F3672" s="3" t="s">
        <v>175</v>
      </c>
      <c r="G3672" s="4">
        <v>43157</v>
      </c>
      <c r="H3672" s="1">
        <v>6595172</v>
      </c>
      <c r="I3672" s="1">
        <v>669610</v>
      </c>
      <c r="J3672" s="1" t="s">
        <v>183</v>
      </c>
      <c r="K3672" s="1"/>
      <c r="L3672" s="1" t="str">
        <f t="shared" si="197"/>
        <v xml:space="preserve">Fjäturen </v>
      </c>
      <c r="M3672" s="1" t="s">
        <v>219</v>
      </c>
      <c r="N3672" s="1">
        <v>7</v>
      </c>
      <c r="O3672" s="1">
        <v>7</v>
      </c>
      <c r="Q3672" s="1">
        <v>3.9</v>
      </c>
      <c r="R3672" s="1">
        <v>1.4</v>
      </c>
      <c r="S3672" s="1">
        <v>10</v>
      </c>
    </row>
    <row r="3673" spans="1:38" x14ac:dyDescent="0.3">
      <c r="A3673" s="1">
        <v>62853</v>
      </c>
      <c r="B3673" s="1" t="s">
        <v>258</v>
      </c>
      <c r="C3673" s="1" t="s">
        <v>231</v>
      </c>
      <c r="D3673" s="2">
        <f t="shared" si="199"/>
        <v>2018</v>
      </c>
      <c r="E3673" s="2">
        <f t="shared" si="200"/>
        <v>2</v>
      </c>
      <c r="F3673" s="3" t="s">
        <v>175</v>
      </c>
      <c r="G3673" s="4">
        <v>43157</v>
      </c>
      <c r="H3673" s="1">
        <v>6595172</v>
      </c>
      <c r="I3673" s="1">
        <v>669610</v>
      </c>
      <c r="J3673" s="1" t="s">
        <v>183</v>
      </c>
      <c r="K3673" s="1"/>
      <c r="L3673" s="1" t="str">
        <f t="shared" si="197"/>
        <v xml:space="preserve">Fjäturen </v>
      </c>
      <c r="M3673" s="1" t="s">
        <v>220</v>
      </c>
      <c r="N3673" s="1">
        <v>8</v>
      </c>
      <c r="O3673" s="1">
        <v>8</v>
      </c>
      <c r="Q3673" s="1">
        <v>4.5</v>
      </c>
      <c r="R3673" s="1">
        <v>0.4</v>
      </c>
      <c r="S3673" s="1">
        <v>3</v>
      </c>
    </row>
    <row r="3674" spans="1:38" x14ac:dyDescent="0.3">
      <c r="A3674" s="1">
        <v>62854</v>
      </c>
      <c r="B3674" s="1" t="s">
        <v>258</v>
      </c>
      <c r="C3674" s="1" t="s">
        <v>231</v>
      </c>
      <c r="D3674" s="2">
        <f t="shared" si="199"/>
        <v>2018</v>
      </c>
      <c r="E3674" s="2">
        <f t="shared" si="200"/>
        <v>2</v>
      </c>
      <c r="F3674" s="3" t="s">
        <v>175</v>
      </c>
      <c r="G3674" s="4">
        <v>43157</v>
      </c>
      <c r="H3674" s="1">
        <v>6595172</v>
      </c>
      <c r="I3674" s="1">
        <v>669610</v>
      </c>
      <c r="J3674" s="1" t="s">
        <v>183</v>
      </c>
      <c r="K3674" s="1"/>
      <c r="L3674" s="1" t="str">
        <f t="shared" si="197"/>
        <v xml:space="preserve">Fjäturen </v>
      </c>
      <c r="M3674" s="1" t="s">
        <v>184</v>
      </c>
      <c r="N3674" s="1">
        <v>9</v>
      </c>
      <c r="O3674" s="1">
        <v>9</v>
      </c>
      <c r="Q3674" s="1">
        <v>4.8</v>
      </c>
      <c r="R3674" s="1">
        <v>0.1</v>
      </c>
      <c r="S3674" s="1">
        <v>1</v>
      </c>
      <c r="W3674" s="1">
        <v>367.15690000000001</v>
      </c>
      <c r="X3674" s="1">
        <v>1.4498685074317761</v>
      </c>
      <c r="Y3674" s="1">
        <v>9.8000000000000004E-2</v>
      </c>
      <c r="Z3674" s="1">
        <v>132.53</v>
      </c>
      <c r="AA3674" s="1">
        <v>5.7</v>
      </c>
      <c r="AD3674" s="1">
        <v>182.96</v>
      </c>
      <c r="AE3674" s="1">
        <v>7.51</v>
      </c>
      <c r="AK3674" s="1">
        <v>182.31</v>
      </c>
      <c r="AL3674" s="1">
        <v>1150.24</v>
      </c>
    </row>
    <row r="3675" spans="1:38" x14ac:dyDescent="0.3">
      <c r="A3675" s="1">
        <v>62855</v>
      </c>
      <c r="B3675" s="1" t="s">
        <v>258</v>
      </c>
      <c r="C3675" s="1" t="s">
        <v>231</v>
      </c>
      <c r="D3675" s="2">
        <f t="shared" si="199"/>
        <v>2018</v>
      </c>
      <c r="E3675" s="2">
        <f t="shared" si="200"/>
        <v>2</v>
      </c>
      <c r="F3675" s="3" t="s">
        <v>175</v>
      </c>
      <c r="G3675" s="4">
        <v>43157</v>
      </c>
      <c r="H3675" s="1">
        <v>6593536</v>
      </c>
      <c r="I3675" s="1">
        <v>664946</v>
      </c>
      <c r="J3675" s="1" t="s">
        <v>188</v>
      </c>
      <c r="K3675" s="1"/>
      <c r="L3675" s="1" t="str">
        <f t="shared" si="197"/>
        <v xml:space="preserve">Ravalen </v>
      </c>
      <c r="M3675" s="1" t="s">
        <v>177</v>
      </c>
      <c r="N3675" s="1">
        <v>0.5</v>
      </c>
      <c r="O3675" s="1">
        <v>0.5</v>
      </c>
      <c r="P3675" s="1">
        <v>1</v>
      </c>
      <c r="Q3675" s="1">
        <v>0.7</v>
      </c>
      <c r="R3675" s="1">
        <v>0.1</v>
      </c>
      <c r="S3675" s="1">
        <v>1</v>
      </c>
      <c r="W3675" s="1">
        <v>253.72300000000001</v>
      </c>
      <c r="X3675" s="1">
        <v>0.37572073679613155</v>
      </c>
      <c r="Y3675" s="1">
        <v>0.22900000000000001</v>
      </c>
      <c r="Z3675" s="1">
        <v>2.2799999999999998</v>
      </c>
      <c r="AA3675" s="1">
        <v>13.5</v>
      </c>
      <c r="AD3675" s="1">
        <v>125.97</v>
      </c>
      <c r="AE3675" s="1">
        <v>7.23</v>
      </c>
      <c r="AK3675" s="1">
        <v>83.18</v>
      </c>
      <c r="AL3675" s="1">
        <v>1329.05</v>
      </c>
    </row>
    <row r="3676" spans="1:38" x14ac:dyDescent="0.3">
      <c r="A3676" s="1">
        <v>62856</v>
      </c>
      <c r="B3676" s="1" t="s">
        <v>258</v>
      </c>
      <c r="C3676" s="1" t="s">
        <v>231</v>
      </c>
      <c r="D3676" s="2">
        <f t="shared" si="199"/>
        <v>2018</v>
      </c>
      <c r="E3676" s="2">
        <f t="shared" si="200"/>
        <v>2</v>
      </c>
      <c r="F3676" s="3" t="s">
        <v>175</v>
      </c>
      <c r="G3676" s="4">
        <v>43157</v>
      </c>
      <c r="H3676" s="1">
        <v>6593536</v>
      </c>
      <c r="I3676" s="1">
        <v>664946</v>
      </c>
      <c r="J3676" s="1" t="s">
        <v>188</v>
      </c>
      <c r="K3676" s="1"/>
      <c r="L3676" s="1" t="str">
        <f t="shared" si="197"/>
        <v xml:space="preserve">Ravalen </v>
      </c>
      <c r="M3676" s="1" t="s">
        <v>211</v>
      </c>
      <c r="N3676" s="1">
        <v>1</v>
      </c>
      <c r="O3676" s="1">
        <v>1</v>
      </c>
      <c r="Q3676" s="1">
        <v>2.2000000000000002</v>
      </c>
      <c r="R3676" s="1">
        <v>0.1</v>
      </c>
      <c r="S3676" s="1">
        <v>1</v>
      </c>
    </row>
    <row r="3677" spans="1:38" x14ac:dyDescent="0.3">
      <c r="A3677" s="1">
        <v>62857</v>
      </c>
      <c r="B3677" s="1" t="s">
        <v>258</v>
      </c>
      <c r="C3677" s="1" t="s">
        <v>231</v>
      </c>
      <c r="D3677" s="2">
        <f t="shared" si="199"/>
        <v>2018</v>
      </c>
      <c r="E3677" s="2">
        <f t="shared" si="200"/>
        <v>2</v>
      </c>
      <c r="F3677" s="3" t="s">
        <v>175</v>
      </c>
      <c r="G3677" s="4">
        <v>43157</v>
      </c>
      <c r="H3677" s="1">
        <v>6593536</v>
      </c>
      <c r="I3677" s="1">
        <v>664946</v>
      </c>
      <c r="J3677" s="1" t="s">
        <v>188</v>
      </c>
      <c r="K3677" s="1"/>
      <c r="L3677" s="1" t="str">
        <f t="shared" si="197"/>
        <v xml:space="preserve">Ravalen </v>
      </c>
      <c r="M3677" s="1" t="s">
        <v>184</v>
      </c>
      <c r="N3677" s="1">
        <v>2</v>
      </c>
      <c r="O3677" s="1">
        <v>2</v>
      </c>
      <c r="Q3677" s="1">
        <v>2.6</v>
      </c>
      <c r="R3677" s="1">
        <v>0.1</v>
      </c>
      <c r="S3677" s="1">
        <v>1</v>
      </c>
      <c r="W3677" s="1">
        <v>258.66520000000003</v>
      </c>
      <c r="X3677" s="1">
        <v>0.41866873403050736</v>
      </c>
      <c r="Y3677" s="1">
        <v>0.23400000000000001</v>
      </c>
      <c r="Z3677" s="1">
        <v>2.0699999999999998</v>
      </c>
      <c r="AA3677" s="1">
        <v>13.9</v>
      </c>
      <c r="AD3677" s="1">
        <v>126.47</v>
      </c>
      <c r="AE3677" s="1">
        <v>7.2</v>
      </c>
      <c r="AK3677" s="1">
        <v>86.03</v>
      </c>
      <c r="AL3677" s="1">
        <v>1319.41</v>
      </c>
    </row>
    <row r="3678" spans="1:38" x14ac:dyDescent="0.3">
      <c r="A3678" s="1">
        <v>62858</v>
      </c>
      <c r="B3678" s="1" t="s">
        <v>258</v>
      </c>
      <c r="C3678" s="1" t="s">
        <v>231</v>
      </c>
      <c r="D3678" s="2">
        <f t="shared" si="199"/>
        <v>2018</v>
      </c>
      <c r="E3678" s="2">
        <f t="shared" si="200"/>
        <v>2</v>
      </c>
      <c r="F3678" s="3" t="s">
        <v>175</v>
      </c>
      <c r="G3678" s="4">
        <v>43157</v>
      </c>
      <c r="H3678" s="1">
        <v>6594092</v>
      </c>
      <c r="I3678" s="1">
        <v>661375</v>
      </c>
      <c r="J3678" s="1" t="s">
        <v>193</v>
      </c>
      <c r="K3678" s="1"/>
      <c r="L3678" s="1" t="str">
        <f t="shared" si="197"/>
        <v xml:space="preserve">Översjön </v>
      </c>
      <c r="M3678" s="1" t="s">
        <v>177</v>
      </c>
      <c r="N3678" s="1">
        <v>0.5</v>
      </c>
      <c r="O3678" s="1">
        <v>0.5</v>
      </c>
      <c r="P3678" s="1">
        <v>2.4</v>
      </c>
      <c r="Q3678" s="1">
        <v>0.7</v>
      </c>
      <c r="R3678" s="1">
        <v>10.9</v>
      </c>
      <c r="S3678" s="1">
        <v>73</v>
      </c>
      <c r="W3678" s="1">
        <v>84.673599999999993</v>
      </c>
      <c r="X3678" s="1">
        <v>0.15070348384492302</v>
      </c>
      <c r="Y3678" s="1">
        <v>0.187</v>
      </c>
      <c r="Z3678" s="1">
        <v>4.24</v>
      </c>
      <c r="AA3678" s="1">
        <v>6.1</v>
      </c>
      <c r="AD3678" s="1">
        <v>294.39</v>
      </c>
      <c r="AE3678" s="1">
        <v>7.31</v>
      </c>
      <c r="AK3678" s="1">
        <v>33.659999999999997</v>
      </c>
      <c r="AL3678" s="1">
        <v>1275.94</v>
      </c>
    </row>
    <row r="3679" spans="1:38" x14ac:dyDescent="0.3">
      <c r="A3679" s="1">
        <v>62859</v>
      </c>
      <c r="B3679" s="1" t="s">
        <v>258</v>
      </c>
      <c r="C3679" s="1" t="s">
        <v>231</v>
      </c>
      <c r="D3679" s="2">
        <f t="shared" si="199"/>
        <v>2018</v>
      </c>
      <c r="E3679" s="2">
        <f t="shared" si="200"/>
        <v>2</v>
      </c>
      <c r="F3679" s="3" t="s">
        <v>175</v>
      </c>
      <c r="G3679" s="4">
        <v>43157</v>
      </c>
      <c r="H3679" s="1">
        <v>6594092</v>
      </c>
      <c r="I3679" s="1">
        <v>661375</v>
      </c>
      <c r="J3679" s="1" t="s">
        <v>193</v>
      </c>
      <c r="K3679" s="1"/>
      <c r="L3679" s="1" t="str">
        <f t="shared" si="197"/>
        <v xml:space="preserve">Översjön </v>
      </c>
      <c r="M3679" s="1" t="s">
        <v>211</v>
      </c>
      <c r="N3679" s="1">
        <v>1</v>
      </c>
      <c r="O3679" s="1">
        <v>1</v>
      </c>
      <c r="Q3679" s="1">
        <v>2.4</v>
      </c>
      <c r="R3679" s="1">
        <v>5.6</v>
      </c>
      <c r="S3679" s="1">
        <v>39</v>
      </c>
    </row>
    <row r="3680" spans="1:38" x14ac:dyDescent="0.3">
      <c r="A3680" s="1">
        <v>62860</v>
      </c>
      <c r="B3680" s="1" t="s">
        <v>258</v>
      </c>
      <c r="C3680" s="1" t="s">
        <v>231</v>
      </c>
      <c r="D3680" s="2">
        <f t="shared" si="199"/>
        <v>2018</v>
      </c>
      <c r="E3680" s="2">
        <f t="shared" si="200"/>
        <v>2</v>
      </c>
      <c r="F3680" s="3" t="s">
        <v>175</v>
      </c>
      <c r="G3680" s="4">
        <v>43157</v>
      </c>
      <c r="H3680" s="1">
        <v>6594092</v>
      </c>
      <c r="I3680" s="1">
        <v>661375</v>
      </c>
      <c r="J3680" s="1" t="s">
        <v>193</v>
      </c>
      <c r="K3680" s="1"/>
      <c r="L3680" s="1" t="str">
        <f t="shared" si="197"/>
        <v xml:space="preserve">Översjön </v>
      </c>
      <c r="M3680" s="1" t="s">
        <v>212</v>
      </c>
      <c r="N3680" s="1">
        <v>2</v>
      </c>
      <c r="O3680" s="1">
        <v>2</v>
      </c>
      <c r="Q3680" s="1">
        <v>3.4</v>
      </c>
      <c r="R3680" s="1">
        <v>0.9</v>
      </c>
      <c r="S3680" s="1">
        <v>7</v>
      </c>
    </row>
    <row r="3681" spans="1:91" x14ac:dyDescent="0.3">
      <c r="A3681" s="1">
        <v>62861</v>
      </c>
      <c r="B3681" s="1" t="s">
        <v>258</v>
      </c>
      <c r="C3681" s="1" t="s">
        <v>231</v>
      </c>
      <c r="D3681" s="2">
        <f t="shared" si="199"/>
        <v>2018</v>
      </c>
      <c r="E3681" s="2">
        <f t="shared" si="200"/>
        <v>2</v>
      </c>
      <c r="F3681" s="3" t="s">
        <v>175</v>
      </c>
      <c r="G3681" s="4">
        <v>43157</v>
      </c>
      <c r="H3681" s="1">
        <v>6594092</v>
      </c>
      <c r="I3681" s="1">
        <v>661375</v>
      </c>
      <c r="J3681" s="1" t="s">
        <v>193</v>
      </c>
      <c r="K3681" s="1"/>
      <c r="L3681" s="1" t="str">
        <f t="shared" si="197"/>
        <v xml:space="preserve">Översjön </v>
      </c>
      <c r="M3681" s="1" t="s">
        <v>213</v>
      </c>
      <c r="N3681" s="1">
        <v>3</v>
      </c>
      <c r="O3681" s="1">
        <v>3</v>
      </c>
      <c r="Q3681" s="1">
        <v>4.0999999999999996</v>
      </c>
      <c r="R3681" s="1">
        <v>0.2</v>
      </c>
      <c r="S3681" s="1">
        <v>2</v>
      </c>
    </row>
    <row r="3682" spans="1:91" x14ac:dyDescent="0.3">
      <c r="A3682" s="1">
        <v>62862</v>
      </c>
      <c r="B3682" s="1" t="s">
        <v>258</v>
      </c>
      <c r="C3682" s="1" t="s">
        <v>231</v>
      </c>
      <c r="D3682" s="2">
        <f t="shared" si="199"/>
        <v>2018</v>
      </c>
      <c r="E3682" s="2">
        <f t="shared" si="200"/>
        <v>2</v>
      </c>
      <c r="F3682" s="3" t="s">
        <v>175</v>
      </c>
      <c r="G3682" s="4">
        <v>43157</v>
      </c>
      <c r="H3682" s="1">
        <v>6594092</v>
      </c>
      <c r="I3682" s="1">
        <v>661375</v>
      </c>
      <c r="J3682" s="1" t="s">
        <v>193</v>
      </c>
      <c r="K3682" s="1"/>
      <c r="L3682" s="1" t="str">
        <f t="shared" si="197"/>
        <v xml:space="preserve">Översjön </v>
      </c>
      <c r="M3682" s="1" t="s">
        <v>184</v>
      </c>
      <c r="N3682" s="1">
        <v>4</v>
      </c>
      <c r="O3682" s="1">
        <v>4</v>
      </c>
      <c r="Q3682" s="1">
        <v>4.2</v>
      </c>
      <c r="R3682" s="1">
        <v>0.2</v>
      </c>
      <c r="S3682" s="1">
        <v>2</v>
      </c>
      <c r="W3682" s="1">
        <v>190.04949999999999</v>
      </c>
      <c r="X3682" s="1">
        <v>0.40261836988786603</v>
      </c>
      <c r="Y3682" s="1">
        <v>0.105</v>
      </c>
      <c r="Z3682" s="1">
        <v>22.65</v>
      </c>
      <c r="AA3682" s="1">
        <v>3</v>
      </c>
      <c r="AD3682" s="1">
        <v>397.71</v>
      </c>
      <c r="AE3682" s="1">
        <v>7.26</v>
      </c>
      <c r="AK3682" s="1">
        <v>43.81</v>
      </c>
      <c r="AL3682" s="1">
        <v>1359.25</v>
      </c>
    </row>
    <row r="3683" spans="1:91" x14ac:dyDescent="0.3">
      <c r="A3683" s="1">
        <v>62863</v>
      </c>
      <c r="B3683" s="1" t="s">
        <v>258</v>
      </c>
      <c r="C3683" s="1" t="s">
        <v>231</v>
      </c>
      <c r="D3683" s="2">
        <f t="shared" si="199"/>
        <v>2018</v>
      </c>
      <c r="E3683" s="2">
        <f t="shared" si="200"/>
        <v>2</v>
      </c>
      <c r="F3683" s="3" t="s">
        <v>175</v>
      </c>
      <c r="G3683" s="4">
        <v>43157</v>
      </c>
      <c r="H3683" s="1">
        <v>6593594</v>
      </c>
      <c r="I3683" s="1">
        <v>669799</v>
      </c>
      <c r="J3683" s="1" t="s">
        <v>189</v>
      </c>
      <c r="K3683" s="1"/>
      <c r="L3683" s="1" t="str">
        <f t="shared" si="197"/>
        <v xml:space="preserve">Rösjön </v>
      </c>
      <c r="M3683" s="1" t="s">
        <v>177</v>
      </c>
      <c r="N3683" s="1">
        <v>0.5</v>
      </c>
      <c r="O3683" s="1">
        <v>0.5</v>
      </c>
      <c r="P3683" s="1">
        <v>1.9</v>
      </c>
      <c r="Q3683" s="1">
        <v>2.2000000000000002</v>
      </c>
      <c r="R3683" s="1">
        <v>15.1</v>
      </c>
      <c r="S3683" s="1">
        <v>107</v>
      </c>
      <c r="W3683" s="1">
        <v>2.5516000000000001</v>
      </c>
      <c r="X3683" s="1">
        <v>1.001288808984911E-2</v>
      </c>
      <c r="Y3683" s="1">
        <v>6.6000000000000003E-2</v>
      </c>
      <c r="Z3683" s="1">
        <v>0.28999999999999998</v>
      </c>
      <c r="AA3683" s="1">
        <v>2.9</v>
      </c>
      <c r="AD3683" s="1">
        <v>5.23</v>
      </c>
      <c r="AE3683" s="1">
        <v>7.6</v>
      </c>
      <c r="AI3683" s="1">
        <v>11</v>
      </c>
      <c r="AJ3683" s="1">
        <v>10.6</v>
      </c>
      <c r="AK3683" s="1">
        <v>21.18</v>
      </c>
      <c r="AL3683" s="1">
        <v>605.91999999999996</v>
      </c>
      <c r="AR3683" s="1">
        <v>29.7</v>
      </c>
      <c r="AS3683" s="1">
        <v>0.17100000000000001</v>
      </c>
      <c r="AT3683" s="1">
        <v>2.23</v>
      </c>
      <c r="AU3683" s="1">
        <v>4.38</v>
      </c>
      <c r="AW3683" s="1">
        <v>15.3</v>
      </c>
      <c r="AY3683" s="1">
        <v>1.71</v>
      </c>
      <c r="AZ3683" s="1">
        <v>211</v>
      </c>
      <c r="BA3683" s="1">
        <v>0.58899999999999897</v>
      </c>
      <c r="BB3683" s="1">
        <v>14.8</v>
      </c>
      <c r="BC3683" s="1">
        <v>6.9899999999999901E-3</v>
      </c>
      <c r="BD3683" s="1">
        <v>9.0200000000000002E-2</v>
      </c>
      <c r="BE3683" s="1">
        <v>0.25900000000000001</v>
      </c>
      <c r="BF3683" s="1">
        <v>1</v>
      </c>
      <c r="BG3683" s="1">
        <v>1E-3</v>
      </c>
      <c r="BH3683" s="1">
        <v>20.399999999999899</v>
      </c>
      <c r="BI3683" s="1">
        <v>0.53400000000000003</v>
      </c>
      <c r="BJ3683" s="1">
        <v>0.57999999999999896</v>
      </c>
      <c r="BK3683" s="1">
        <v>11.9</v>
      </c>
      <c r="BL3683" s="1">
        <v>0.368999999999999</v>
      </c>
      <c r="BM3683" s="1">
        <v>78.900000000000006</v>
      </c>
      <c r="BN3683" s="1">
        <v>0.45100000000000001</v>
      </c>
      <c r="BO3683" s="1">
        <v>1.23</v>
      </c>
      <c r="BQ3683" s="1">
        <v>6.61</v>
      </c>
      <c r="BR3683" s="1">
        <v>1E-3</v>
      </c>
      <c r="BS3683" s="1">
        <v>3.47999999999999E-2</v>
      </c>
      <c r="BT3683" s="1">
        <v>2.41E-2</v>
      </c>
      <c r="BU3683" s="1">
        <v>0.97</v>
      </c>
      <c r="BV3683" s="1">
        <v>5.3</v>
      </c>
      <c r="BW3683" s="1">
        <v>0.47899999999999898</v>
      </c>
      <c r="BX3683" s="1">
        <v>3.73E-2</v>
      </c>
      <c r="BY3683" s="1">
        <v>2.21</v>
      </c>
      <c r="BZ3683" s="1">
        <v>30.5</v>
      </c>
      <c r="CA3683" s="1">
        <v>4.4400000000000004</v>
      </c>
      <c r="CC3683" s="1">
        <v>1.49E-2</v>
      </c>
      <c r="CD3683" s="1">
        <v>2.2200000000000002</v>
      </c>
      <c r="CE3683" s="1">
        <v>15.5</v>
      </c>
      <c r="CF3683" s="1">
        <v>1.25</v>
      </c>
      <c r="CG3683" s="1">
        <v>0.59</v>
      </c>
      <c r="CH3683" s="1">
        <v>14.2</v>
      </c>
      <c r="CI3683" s="1">
        <v>1E-3</v>
      </c>
      <c r="CJ3683" s="1">
        <v>0.56000000000000005</v>
      </c>
      <c r="CK3683" s="1">
        <v>10.3</v>
      </c>
      <c r="CL3683" s="1">
        <v>0.20300000000000001</v>
      </c>
      <c r="CM3683" s="1">
        <v>80.400000000000006</v>
      </c>
    </row>
    <row r="3684" spans="1:91" x14ac:dyDescent="0.3">
      <c r="A3684" s="1">
        <v>62864</v>
      </c>
      <c r="B3684" s="1" t="s">
        <v>258</v>
      </c>
      <c r="C3684" s="1" t="s">
        <v>231</v>
      </c>
      <c r="D3684" s="2">
        <f t="shared" si="199"/>
        <v>2018</v>
      </c>
      <c r="E3684" s="2">
        <f t="shared" si="200"/>
        <v>2</v>
      </c>
      <c r="F3684" s="3" t="s">
        <v>175</v>
      </c>
      <c r="G3684" s="4">
        <v>43157</v>
      </c>
      <c r="H3684" s="1">
        <v>6593594</v>
      </c>
      <c r="I3684" s="1">
        <v>669799</v>
      </c>
      <c r="J3684" s="1" t="s">
        <v>189</v>
      </c>
      <c r="K3684" s="1"/>
      <c r="L3684" s="1" t="str">
        <f t="shared" si="197"/>
        <v xml:space="preserve">Rösjön </v>
      </c>
      <c r="M3684" s="1" t="s">
        <v>211</v>
      </c>
      <c r="N3684" s="1">
        <v>1</v>
      </c>
      <c r="O3684" s="1">
        <v>1</v>
      </c>
      <c r="Q3684" s="1">
        <v>2.2000000000000002</v>
      </c>
      <c r="R3684" s="1">
        <v>15.1</v>
      </c>
      <c r="S3684" s="1">
        <v>107</v>
      </c>
    </row>
    <row r="3685" spans="1:91" x14ac:dyDescent="0.3">
      <c r="A3685" s="1">
        <v>62865</v>
      </c>
      <c r="B3685" s="1" t="s">
        <v>258</v>
      </c>
      <c r="C3685" s="1" t="s">
        <v>231</v>
      </c>
      <c r="D3685" s="2">
        <f t="shared" si="199"/>
        <v>2018</v>
      </c>
      <c r="E3685" s="2">
        <f t="shared" si="200"/>
        <v>2</v>
      </c>
      <c r="F3685" s="3" t="s">
        <v>175</v>
      </c>
      <c r="G3685" s="4">
        <v>43157</v>
      </c>
      <c r="H3685" s="1">
        <v>6593594</v>
      </c>
      <c r="I3685" s="1">
        <v>669799</v>
      </c>
      <c r="J3685" s="1" t="s">
        <v>189</v>
      </c>
      <c r="K3685" s="1"/>
      <c r="L3685" s="1" t="str">
        <f t="shared" si="197"/>
        <v xml:space="preserve">Rösjön </v>
      </c>
      <c r="M3685" s="1" t="s">
        <v>212</v>
      </c>
      <c r="N3685" s="1">
        <v>2</v>
      </c>
      <c r="O3685" s="1">
        <v>2</v>
      </c>
      <c r="Q3685" s="1">
        <v>3.4</v>
      </c>
      <c r="R3685" s="1">
        <v>8.9</v>
      </c>
      <c r="S3685" s="1">
        <v>65</v>
      </c>
    </row>
    <row r="3686" spans="1:91" x14ac:dyDescent="0.3">
      <c r="A3686" s="1">
        <v>62866</v>
      </c>
      <c r="B3686" s="1" t="s">
        <v>258</v>
      </c>
      <c r="C3686" s="1" t="s">
        <v>231</v>
      </c>
      <c r="D3686" s="2">
        <f t="shared" si="199"/>
        <v>2018</v>
      </c>
      <c r="E3686" s="2">
        <f t="shared" si="200"/>
        <v>2</v>
      </c>
      <c r="F3686" s="3" t="s">
        <v>175</v>
      </c>
      <c r="G3686" s="4">
        <v>43157</v>
      </c>
      <c r="H3686" s="1">
        <v>6593594</v>
      </c>
      <c r="I3686" s="1">
        <v>669799</v>
      </c>
      <c r="J3686" s="1" t="s">
        <v>189</v>
      </c>
      <c r="K3686" s="1"/>
      <c r="L3686" s="1" t="str">
        <f t="shared" si="197"/>
        <v xml:space="preserve">Rösjön </v>
      </c>
      <c r="M3686" s="1" t="s">
        <v>213</v>
      </c>
      <c r="N3686" s="1">
        <v>3</v>
      </c>
      <c r="O3686" s="1">
        <v>3</v>
      </c>
      <c r="Q3686" s="1">
        <v>4</v>
      </c>
      <c r="R3686" s="1">
        <v>5.0999999999999996</v>
      </c>
      <c r="S3686" s="1">
        <v>38</v>
      </c>
    </row>
    <row r="3687" spans="1:91" x14ac:dyDescent="0.3">
      <c r="A3687" s="1">
        <v>62867</v>
      </c>
      <c r="B3687" s="1" t="s">
        <v>258</v>
      </c>
      <c r="C3687" s="1" t="s">
        <v>231</v>
      </c>
      <c r="D3687" s="2">
        <f t="shared" si="199"/>
        <v>2018</v>
      </c>
      <c r="E3687" s="2">
        <f t="shared" si="200"/>
        <v>2</v>
      </c>
      <c r="F3687" s="3" t="s">
        <v>175</v>
      </c>
      <c r="G3687" s="4">
        <v>43157</v>
      </c>
      <c r="H3687" s="1">
        <v>6593594</v>
      </c>
      <c r="I3687" s="1">
        <v>669799</v>
      </c>
      <c r="J3687" s="1" t="s">
        <v>189</v>
      </c>
      <c r="K3687" s="1"/>
      <c r="L3687" s="1" t="str">
        <f t="shared" si="197"/>
        <v xml:space="preserve">Rösjön </v>
      </c>
      <c r="M3687" s="1" t="s">
        <v>214</v>
      </c>
      <c r="N3687" s="1">
        <v>4</v>
      </c>
      <c r="O3687" s="1">
        <v>4</v>
      </c>
      <c r="Q3687" s="1">
        <v>4.7</v>
      </c>
      <c r="R3687" s="1">
        <v>1.4</v>
      </c>
      <c r="S3687" s="1">
        <v>11</v>
      </c>
    </row>
    <row r="3688" spans="1:91" x14ac:dyDescent="0.3">
      <c r="A3688" s="1">
        <v>62868</v>
      </c>
      <c r="B3688" s="1" t="s">
        <v>258</v>
      </c>
      <c r="C3688" s="1" t="s">
        <v>231</v>
      </c>
      <c r="D3688" s="2">
        <f t="shared" si="199"/>
        <v>2018</v>
      </c>
      <c r="E3688" s="2">
        <f t="shared" si="200"/>
        <v>2</v>
      </c>
      <c r="F3688" s="3" t="s">
        <v>175</v>
      </c>
      <c r="G3688" s="4">
        <v>43157</v>
      </c>
      <c r="H3688" s="1">
        <v>6593594</v>
      </c>
      <c r="I3688" s="1">
        <v>669799</v>
      </c>
      <c r="J3688" s="1" t="s">
        <v>189</v>
      </c>
      <c r="K3688" s="1"/>
      <c r="L3688" s="1" t="str">
        <f t="shared" si="197"/>
        <v xml:space="preserve">Rösjön </v>
      </c>
      <c r="M3688" s="1" t="s">
        <v>217</v>
      </c>
      <c r="N3688" s="1">
        <v>5</v>
      </c>
      <c r="O3688" s="1">
        <v>5</v>
      </c>
      <c r="Q3688" s="1">
        <v>5</v>
      </c>
      <c r="R3688" s="1">
        <v>0.5</v>
      </c>
      <c r="S3688" s="1">
        <v>4</v>
      </c>
    </row>
    <row r="3689" spans="1:91" x14ac:dyDescent="0.3">
      <c r="A3689" s="1">
        <v>62869</v>
      </c>
      <c r="B3689" s="1" t="s">
        <v>258</v>
      </c>
      <c r="C3689" s="1" t="s">
        <v>231</v>
      </c>
      <c r="D3689" s="2">
        <f t="shared" si="199"/>
        <v>2018</v>
      </c>
      <c r="E3689" s="2">
        <f t="shared" si="200"/>
        <v>2</v>
      </c>
      <c r="F3689" s="3" t="s">
        <v>175</v>
      </c>
      <c r="G3689" s="4">
        <v>43157</v>
      </c>
      <c r="H3689" s="1">
        <v>6593594</v>
      </c>
      <c r="I3689" s="1">
        <v>669799</v>
      </c>
      <c r="J3689" s="1" t="s">
        <v>189</v>
      </c>
      <c r="K3689" s="1"/>
      <c r="L3689" s="1" t="str">
        <f t="shared" si="197"/>
        <v xml:space="preserve">Rösjön </v>
      </c>
      <c r="M3689" s="1" t="s">
        <v>218</v>
      </c>
      <c r="N3689" s="1">
        <v>6</v>
      </c>
      <c r="O3689" s="1">
        <v>6</v>
      </c>
      <c r="Q3689" s="1">
        <v>5.0999999999999996</v>
      </c>
      <c r="R3689" s="1">
        <v>0.4</v>
      </c>
      <c r="S3689" s="1">
        <v>3</v>
      </c>
    </row>
    <row r="3690" spans="1:91" x14ac:dyDescent="0.3">
      <c r="A3690" s="1">
        <v>62870</v>
      </c>
      <c r="B3690" s="1" t="s">
        <v>258</v>
      </c>
      <c r="C3690" s="1" t="s">
        <v>231</v>
      </c>
      <c r="D3690" s="2">
        <f t="shared" si="199"/>
        <v>2018</v>
      </c>
      <c r="E3690" s="2">
        <f t="shared" si="200"/>
        <v>2</v>
      </c>
      <c r="F3690" s="3" t="s">
        <v>175</v>
      </c>
      <c r="G3690" s="4">
        <v>43157</v>
      </c>
      <c r="H3690" s="1">
        <v>6593594</v>
      </c>
      <c r="I3690" s="1">
        <v>669799</v>
      </c>
      <c r="J3690" s="1" t="s">
        <v>189</v>
      </c>
      <c r="K3690" s="1"/>
      <c r="L3690" s="1" t="str">
        <f t="shared" si="197"/>
        <v xml:space="preserve">Rösjön </v>
      </c>
      <c r="M3690" s="1" t="s">
        <v>184</v>
      </c>
      <c r="N3690" s="1">
        <v>7</v>
      </c>
      <c r="O3690" s="1">
        <v>7</v>
      </c>
      <c r="Q3690" s="1">
        <v>5.2</v>
      </c>
      <c r="R3690" s="1">
        <v>0.3</v>
      </c>
      <c r="S3690" s="1">
        <v>3</v>
      </c>
      <c r="W3690" s="1">
        <v>39.853900000000003</v>
      </c>
      <c r="X3690" s="1">
        <v>0.11521865979452831</v>
      </c>
      <c r="Y3690" s="1">
        <v>9.2999999999999999E-2</v>
      </c>
      <c r="Z3690" s="1">
        <v>10.35</v>
      </c>
      <c r="AA3690" s="1">
        <v>5.8</v>
      </c>
      <c r="AD3690" s="1">
        <v>241.85</v>
      </c>
      <c r="AE3690" s="1">
        <v>7.36</v>
      </c>
      <c r="AK3690" s="1">
        <v>25.69</v>
      </c>
      <c r="AL3690" s="1">
        <v>786.52</v>
      </c>
    </row>
    <row r="3691" spans="1:91" x14ac:dyDescent="0.3">
      <c r="A3691" s="1">
        <v>62871</v>
      </c>
      <c r="B3691" s="1" t="s">
        <v>258</v>
      </c>
      <c r="C3691" s="1" t="s">
        <v>231</v>
      </c>
      <c r="D3691" s="2">
        <f t="shared" si="199"/>
        <v>2018</v>
      </c>
      <c r="E3691" s="2">
        <f t="shared" si="200"/>
        <v>2</v>
      </c>
      <c r="F3691" s="3" t="s">
        <v>175</v>
      </c>
      <c r="G3691" s="4">
        <v>43157</v>
      </c>
      <c r="H3691" s="1">
        <v>6594739</v>
      </c>
      <c r="I3691" s="1">
        <v>668531</v>
      </c>
      <c r="J3691" s="1" t="s">
        <v>192</v>
      </c>
      <c r="K3691" s="1"/>
      <c r="L3691" s="1" t="str">
        <f t="shared" si="197"/>
        <v xml:space="preserve">Väsjön </v>
      </c>
      <c r="M3691" s="1" t="s">
        <v>177</v>
      </c>
      <c r="N3691" s="1">
        <v>0.5</v>
      </c>
      <c r="O3691" s="1">
        <v>0.5</v>
      </c>
      <c r="P3691" s="1">
        <v>1.5</v>
      </c>
      <c r="Q3691" s="1">
        <v>0.4</v>
      </c>
      <c r="R3691" s="1">
        <v>1.7</v>
      </c>
      <c r="S3691" s="1">
        <v>11</v>
      </c>
      <c r="W3691" s="1">
        <v>174.99080000000001</v>
      </c>
      <c r="X3691" s="1">
        <v>0.23585540722648476</v>
      </c>
      <c r="Y3691" s="1">
        <v>0.13500000000000001</v>
      </c>
      <c r="Z3691" s="1">
        <v>2.1</v>
      </c>
      <c r="AA3691" s="1">
        <v>4.2</v>
      </c>
      <c r="AD3691" s="1">
        <v>130.59</v>
      </c>
      <c r="AE3691" s="1">
        <v>7.2</v>
      </c>
      <c r="AI3691" s="1">
        <v>14.1</v>
      </c>
      <c r="AJ3691" s="1">
        <v>14.1</v>
      </c>
      <c r="AK3691" s="1">
        <v>39.97</v>
      </c>
      <c r="AL3691" s="1">
        <v>1062.5</v>
      </c>
      <c r="AR3691" s="1">
        <v>62.6</v>
      </c>
      <c r="AS3691" s="1">
        <v>0.29799999999999899</v>
      </c>
      <c r="AT3691" s="1">
        <v>5.77</v>
      </c>
      <c r="AU3691" s="1">
        <v>8.34</v>
      </c>
      <c r="AW3691" s="1">
        <v>41.1</v>
      </c>
      <c r="AY3691" s="1">
        <v>5.12</v>
      </c>
      <c r="AZ3691" s="1">
        <v>111</v>
      </c>
      <c r="BA3691" s="1">
        <v>0.88800000000000001</v>
      </c>
      <c r="BB3691" s="1">
        <v>46.8</v>
      </c>
      <c r="BC3691" s="1">
        <v>7.1300000000000001E-3</v>
      </c>
      <c r="BD3691" s="1">
        <v>0.152</v>
      </c>
      <c r="BE3691" s="1">
        <v>0.29099999999999898</v>
      </c>
      <c r="BF3691" s="1">
        <v>1.46</v>
      </c>
      <c r="BG3691" s="1">
        <v>1E-3</v>
      </c>
      <c r="BH3691" s="1">
        <v>514</v>
      </c>
      <c r="BI3691" s="1">
        <v>1.48</v>
      </c>
      <c r="BJ3691" s="1">
        <v>0.84299999999999897</v>
      </c>
      <c r="BK3691" s="1">
        <v>20.7</v>
      </c>
      <c r="BL3691" s="1">
        <v>0.38600000000000001</v>
      </c>
      <c r="BM3691" s="1">
        <v>163</v>
      </c>
      <c r="BN3691" s="1">
        <v>0.49099999999999899</v>
      </c>
      <c r="BO3691" s="1">
        <v>2.25999999999999</v>
      </c>
      <c r="BQ3691" s="1">
        <v>38.299999999999898</v>
      </c>
      <c r="BR3691" s="1">
        <v>2.4199999999999899E-3</v>
      </c>
      <c r="BS3691" s="1">
        <v>0.126</v>
      </c>
      <c r="BT3691" s="1">
        <v>0.17799999999999899</v>
      </c>
      <c r="BU3691" s="1">
        <v>1.02</v>
      </c>
      <c r="BV3691" s="1">
        <v>484</v>
      </c>
      <c r="BW3691" s="1">
        <v>0.75900000000000001</v>
      </c>
      <c r="BX3691" s="1">
        <v>0.102999999999999</v>
      </c>
      <c r="BY3691" s="1">
        <v>5.16</v>
      </c>
      <c r="BZ3691" s="1">
        <v>63.6</v>
      </c>
      <c r="CA3691" s="1">
        <v>8.39</v>
      </c>
      <c r="CC3691" s="1">
        <v>0.127</v>
      </c>
      <c r="CD3691" s="1">
        <v>5.77</v>
      </c>
      <c r="CE3691" s="1">
        <v>41.8</v>
      </c>
      <c r="CF3691" s="1">
        <v>4.97</v>
      </c>
      <c r="CG3691" s="1">
        <v>0.83899999999999897</v>
      </c>
      <c r="CH3691" s="1">
        <v>45.1</v>
      </c>
      <c r="CI3691" s="1">
        <v>1E-3</v>
      </c>
      <c r="CJ3691" s="1">
        <v>1.59</v>
      </c>
      <c r="CK3691" s="1">
        <v>12</v>
      </c>
      <c r="CL3691" s="1">
        <v>0.32700000000000001</v>
      </c>
      <c r="CM3691" s="1">
        <v>163</v>
      </c>
    </row>
    <row r="3692" spans="1:91" x14ac:dyDescent="0.3">
      <c r="A3692" s="1">
        <v>62872</v>
      </c>
      <c r="B3692" s="1" t="s">
        <v>258</v>
      </c>
      <c r="C3692" s="1" t="s">
        <v>231</v>
      </c>
      <c r="D3692" s="2">
        <f t="shared" si="199"/>
        <v>2018</v>
      </c>
      <c r="E3692" s="2">
        <f t="shared" si="200"/>
        <v>2</v>
      </c>
      <c r="F3692" s="3" t="s">
        <v>175</v>
      </c>
      <c r="G3692" s="4">
        <v>43157</v>
      </c>
      <c r="H3692" s="1">
        <v>6594739</v>
      </c>
      <c r="I3692" s="1">
        <v>668531</v>
      </c>
      <c r="J3692" s="1" t="s">
        <v>192</v>
      </c>
      <c r="K3692" s="1"/>
      <c r="L3692" s="1" t="str">
        <f t="shared" si="197"/>
        <v xml:space="preserve">Väsjön </v>
      </c>
      <c r="M3692" s="1" t="s">
        <v>211</v>
      </c>
      <c r="N3692" s="1">
        <v>1</v>
      </c>
      <c r="O3692" s="1">
        <v>1</v>
      </c>
      <c r="Q3692" s="1">
        <v>1.8</v>
      </c>
      <c r="R3692" s="1">
        <v>0.2</v>
      </c>
      <c r="S3692" s="1">
        <v>2</v>
      </c>
    </row>
    <row r="3693" spans="1:91" x14ac:dyDescent="0.3">
      <c r="A3693" s="1">
        <v>62873</v>
      </c>
      <c r="B3693" s="1" t="s">
        <v>258</v>
      </c>
      <c r="C3693" s="1" t="s">
        <v>231</v>
      </c>
      <c r="D3693" s="2">
        <f t="shared" si="199"/>
        <v>2018</v>
      </c>
      <c r="E3693" s="2">
        <f t="shared" si="200"/>
        <v>2</v>
      </c>
      <c r="F3693" s="3" t="s">
        <v>175</v>
      </c>
      <c r="G3693" s="4">
        <v>43157</v>
      </c>
      <c r="H3693" s="1">
        <v>6594739</v>
      </c>
      <c r="I3693" s="1">
        <v>668531</v>
      </c>
      <c r="J3693" s="1" t="s">
        <v>192</v>
      </c>
      <c r="K3693" s="1"/>
      <c r="L3693" s="1" t="str">
        <f t="shared" si="197"/>
        <v xml:space="preserve">Väsjön </v>
      </c>
      <c r="M3693" s="1" t="s">
        <v>212</v>
      </c>
      <c r="N3693" s="1">
        <v>2</v>
      </c>
      <c r="O3693" s="1">
        <v>2</v>
      </c>
      <c r="Q3693" s="1">
        <v>2.9</v>
      </c>
      <c r="R3693" s="1">
        <v>0.1</v>
      </c>
      <c r="S3693" s="1">
        <v>1</v>
      </c>
    </row>
    <row r="3694" spans="1:91" x14ac:dyDescent="0.3">
      <c r="A3694" s="1">
        <v>62874</v>
      </c>
      <c r="B3694" s="1" t="s">
        <v>258</v>
      </c>
      <c r="C3694" s="1" t="s">
        <v>231</v>
      </c>
      <c r="D3694" s="2">
        <f t="shared" si="199"/>
        <v>2018</v>
      </c>
      <c r="E3694" s="2">
        <f t="shared" si="200"/>
        <v>2</v>
      </c>
      <c r="F3694" s="3" t="s">
        <v>175</v>
      </c>
      <c r="G3694" s="4">
        <v>43157</v>
      </c>
      <c r="H3694" s="1">
        <v>6594739</v>
      </c>
      <c r="I3694" s="1">
        <v>668531</v>
      </c>
      <c r="J3694" s="1" t="s">
        <v>192</v>
      </c>
      <c r="K3694" s="1"/>
      <c r="L3694" s="1" t="str">
        <f t="shared" si="197"/>
        <v xml:space="preserve">Väsjön </v>
      </c>
      <c r="M3694" s="1" t="s">
        <v>184</v>
      </c>
      <c r="N3694" s="1">
        <v>2.5</v>
      </c>
      <c r="O3694" s="1">
        <v>2.5</v>
      </c>
      <c r="Q3694" s="1">
        <v>3.3</v>
      </c>
      <c r="R3694" s="1">
        <v>0.1</v>
      </c>
      <c r="S3694" s="1">
        <v>1</v>
      </c>
      <c r="W3694" s="1">
        <v>165.11529999999999</v>
      </c>
      <c r="X3694" s="1">
        <v>0.28968666974487961</v>
      </c>
      <c r="Y3694" s="1">
        <v>0.12</v>
      </c>
      <c r="Z3694" s="1">
        <v>1.1000000000000001</v>
      </c>
      <c r="AA3694" s="1">
        <v>3.9</v>
      </c>
      <c r="AD3694" s="1">
        <v>64.400000000000006</v>
      </c>
      <c r="AE3694" s="1">
        <v>7.21</v>
      </c>
      <c r="AK3694" s="1">
        <v>33.6</v>
      </c>
      <c r="AL3694" s="1">
        <v>1018.19</v>
      </c>
    </row>
    <row r="3695" spans="1:91" x14ac:dyDescent="0.3">
      <c r="A3695" s="1">
        <v>62875</v>
      </c>
      <c r="B3695" s="1" t="s">
        <v>258</v>
      </c>
      <c r="C3695" s="1" t="s">
        <v>231</v>
      </c>
      <c r="D3695" s="2">
        <f t="shared" si="199"/>
        <v>2018</v>
      </c>
      <c r="E3695" s="2">
        <f t="shared" si="200"/>
        <v>2</v>
      </c>
      <c r="F3695" s="3" t="s">
        <v>175</v>
      </c>
      <c r="G3695" s="4">
        <v>43157</v>
      </c>
      <c r="H3695" s="1">
        <v>6595222</v>
      </c>
      <c r="I3695" s="1">
        <v>667935</v>
      </c>
      <c r="J3695" s="1" t="s">
        <v>190</v>
      </c>
      <c r="K3695" s="1"/>
      <c r="L3695" s="1" t="str">
        <f t="shared" si="197"/>
        <v xml:space="preserve">Snuggan </v>
      </c>
      <c r="M3695" s="1" t="s">
        <v>177</v>
      </c>
      <c r="N3695" s="1">
        <v>0.5</v>
      </c>
      <c r="O3695" s="1">
        <v>0.5</v>
      </c>
      <c r="P3695" s="1">
        <v>0.8</v>
      </c>
      <c r="Q3695" s="1">
        <v>0.9</v>
      </c>
      <c r="R3695" s="1">
        <v>10.6</v>
      </c>
      <c r="S3695" s="1">
        <v>73</v>
      </c>
      <c r="W3695" s="1">
        <v>190.87559999999999</v>
      </c>
      <c r="X3695" s="1">
        <v>1.2565262043435501E-3</v>
      </c>
      <c r="Y3695" s="1">
        <v>0.66200000000000003</v>
      </c>
      <c r="Z3695" s="1">
        <v>0.41</v>
      </c>
      <c r="AA3695" s="1">
        <v>2.4</v>
      </c>
      <c r="AD3695" s="1">
        <v>24.5</v>
      </c>
      <c r="AE3695" s="1">
        <v>4.87</v>
      </c>
      <c r="AK3695" s="1">
        <v>19.72</v>
      </c>
      <c r="AL3695" s="1">
        <v>1246.51</v>
      </c>
    </row>
    <row r="3696" spans="1:91" x14ac:dyDescent="0.3">
      <c r="A3696" s="1">
        <v>62876</v>
      </c>
      <c r="B3696" s="1" t="s">
        <v>258</v>
      </c>
      <c r="C3696" s="1" t="s">
        <v>231</v>
      </c>
      <c r="D3696" s="2">
        <f t="shared" si="199"/>
        <v>2018</v>
      </c>
      <c r="E3696" s="2">
        <f t="shared" si="200"/>
        <v>2</v>
      </c>
      <c r="F3696" s="3" t="s">
        <v>175</v>
      </c>
      <c r="G3696" s="4">
        <v>43157</v>
      </c>
      <c r="H3696" s="1">
        <v>6595222</v>
      </c>
      <c r="I3696" s="1">
        <v>667935</v>
      </c>
      <c r="J3696" s="1" t="s">
        <v>190</v>
      </c>
      <c r="K3696" s="1"/>
      <c r="L3696" s="1" t="str">
        <f t="shared" si="197"/>
        <v xml:space="preserve">Snuggan </v>
      </c>
      <c r="M3696" s="1" t="s">
        <v>211</v>
      </c>
      <c r="N3696" s="1">
        <v>1</v>
      </c>
      <c r="O3696" s="1">
        <v>1</v>
      </c>
      <c r="Q3696" s="1">
        <v>2.4</v>
      </c>
      <c r="R3696" s="1">
        <v>4.9000000000000004</v>
      </c>
      <c r="S3696" s="1">
        <v>35</v>
      </c>
    </row>
    <row r="3697" spans="1:38" x14ac:dyDescent="0.3">
      <c r="A3697" s="1">
        <v>62877</v>
      </c>
      <c r="B3697" s="1" t="s">
        <v>258</v>
      </c>
      <c r="C3697" s="1" t="s">
        <v>231</v>
      </c>
      <c r="D3697" s="2">
        <f t="shared" si="199"/>
        <v>2018</v>
      </c>
      <c r="E3697" s="2">
        <f t="shared" si="200"/>
        <v>2</v>
      </c>
      <c r="F3697" s="3" t="s">
        <v>175</v>
      </c>
      <c r="G3697" s="4">
        <v>43157</v>
      </c>
      <c r="H3697" s="1">
        <v>6595222</v>
      </c>
      <c r="I3697" s="1">
        <v>667935</v>
      </c>
      <c r="J3697" s="1" t="s">
        <v>190</v>
      </c>
      <c r="K3697" s="1"/>
      <c r="L3697" s="1" t="str">
        <f t="shared" si="197"/>
        <v xml:space="preserve">Snuggan </v>
      </c>
      <c r="M3697" s="1" t="s">
        <v>212</v>
      </c>
      <c r="N3697" s="1">
        <v>2</v>
      </c>
      <c r="O3697" s="1">
        <v>2</v>
      </c>
      <c r="Q3697" s="1">
        <v>3.9</v>
      </c>
      <c r="R3697" s="1">
        <v>2.1</v>
      </c>
      <c r="S3697" s="1">
        <v>15</v>
      </c>
    </row>
    <row r="3698" spans="1:38" x14ac:dyDescent="0.3">
      <c r="A3698" s="1">
        <v>62878</v>
      </c>
      <c r="B3698" s="1" t="s">
        <v>258</v>
      </c>
      <c r="C3698" s="1" t="s">
        <v>231</v>
      </c>
      <c r="D3698" s="2">
        <f t="shared" si="199"/>
        <v>2018</v>
      </c>
      <c r="E3698" s="2">
        <f t="shared" si="200"/>
        <v>2</v>
      </c>
      <c r="F3698" s="3" t="s">
        <v>175</v>
      </c>
      <c r="G3698" s="4">
        <v>43157</v>
      </c>
      <c r="H3698" s="1">
        <v>6595222</v>
      </c>
      <c r="I3698" s="1">
        <v>667935</v>
      </c>
      <c r="J3698" s="1" t="s">
        <v>190</v>
      </c>
      <c r="K3698" s="1"/>
      <c r="L3698" s="1" t="str">
        <f t="shared" si="197"/>
        <v xml:space="preserve">Snuggan </v>
      </c>
      <c r="M3698" s="1" t="s">
        <v>184</v>
      </c>
      <c r="N3698" s="1">
        <v>3</v>
      </c>
      <c r="O3698" s="1">
        <v>3</v>
      </c>
      <c r="Q3698" s="1">
        <v>4.4000000000000004</v>
      </c>
      <c r="R3698" s="1">
        <v>0.7</v>
      </c>
      <c r="S3698" s="1">
        <v>6</v>
      </c>
      <c r="W3698" s="1">
        <v>203.96639999999999</v>
      </c>
      <c r="X3698" s="1">
        <v>2.1066612535807598E-3</v>
      </c>
      <c r="Y3698" s="1">
        <v>0.70699999999999996</v>
      </c>
      <c r="Z3698" s="1">
        <v>0.3</v>
      </c>
      <c r="AA3698" s="1">
        <v>2.5</v>
      </c>
      <c r="AD3698" s="1">
        <v>15.85</v>
      </c>
      <c r="AE3698" s="1">
        <v>4.9400000000000004</v>
      </c>
      <c r="AK3698" s="1">
        <v>20.73</v>
      </c>
      <c r="AL3698" s="1">
        <v>1268.57</v>
      </c>
    </row>
    <row r="3699" spans="1:38" x14ac:dyDescent="0.3">
      <c r="A3699" s="1">
        <v>62879</v>
      </c>
      <c r="B3699" s="1" t="s">
        <v>258</v>
      </c>
      <c r="C3699" s="1" t="s">
        <v>231</v>
      </c>
      <c r="D3699" s="2">
        <f t="shared" si="199"/>
        <v>2018</v>
      </c>
      <c r="E3699" s="2">
        <f t="shared" si="200"/>
        <v>2</v>
      </c>
      <c r="F3699" s="3" t="s">
        <v>175</v>
      </c>
      <c r="G3699" s="4">
        <v>43157</v>
      </c>
      <c r="H3699" s="1">
        <v>6597388</v>
      </c>
      <c r="I3699" s="1">
        <v>674663</v>
      </c>
      <c r="J3699" s="1" t="s">
        <v>185</v>
      </c>
      <c r="K3699" s="1"/>
      <c r="L3699" s="1" t="str">
        <f t="shared" si="197"/>
        <v xml:space="preserve">Gullsjön </v>
      </c>
      <c r="M3699" s="1" t="s">
        <v>177</v>
      </c>
      <c r="N3699" s="1">
        <v>0.5</v>
      </c>
      <c r="O3699" s="1">
        <v>0.5</v>
      </c>
      <c r="P3699" s="1">
        <v>1.2</v>
      </c>
      <c r="Q3699" s="1">
        <v>1.4</v>
      </c>
      <c r="R3699" s="1">
        <v>0.1</v>
      </c>
      <c r="S3699" s="1">
        <v>1</v>
      </c>
      <c r="W3699" s="1">
        <v>25.198499999999999</v>
      </c>
      <c r="X3699" s="1">
        <v>3.0719223043134951E-2</v>
      </c>
      <c r="Y3699" s="1">
        <v>0.26</v>
      </c>
      <c r="Z3699" s="1">
        <v>2.39</v>
      </c>
      <c r="AA3699" s="1">
        <v>5.5</v>
      </c>
      <c r="AD3699" s="1">
        <v>1.06</v>
      </c>
      <c r="AE3699" s="1">
        <v>7.12</v>
      </c>
      <c r="AK3699" s="1">
        <v>26.63</v>
      </c>
      <c r="AL3699" s="1">
        <v>817.26</v>
      </c>
    </row>
    <row r="3700" spans="1:38" x14ac:dyDescent="0.3">
      <c r="A3700" s="1">
        <v>62880</v>
      </c>
      <c r="B3700" s="1" t="s">
        <v>258</v>
      </c>
      <c r="C3700" s="1" t="s">
        <v>231</v>
      </c>
      <c r="D3700" s="2">
        <f t="shared" si="199"/>
        <v>2018</v>
      </c>
      <c r="E3700" s="2">
        <f t="shared" si="200"/>
        <v>2</v>
      </c>
      <c r="F3700" s="3" t="s">
        <v>175</v>
      </c>
      <c r="G3700" s="4">
        <v>43157</v>
      </c>
      <c r="H3700" s="1">
        <v>6597388</v>
      </c>
      <c r="I3700" s="1">
        <v>674663</v>
      </c>
      <c r="J3700" s="1" t="s">
        <v>185</v>
      </c>
      <c r="K3700" s="1"/>
      <c r="L3700" s="1" t="str">
        <f t="shared" si="197"/>
        <v xml:space="preserve">Gullsjön </v>
      </c>
      <c r="M3700" s="1" t="s">
        <v>211</v>
      </c>
      <c r="N3700" s="1">
        <v>1</v>
      </c>
      <c r="O3700" s="1">
        <v>1</v>
      </c>
      <c r="Q3700" s="1">
        <v>1.9</v>
      </c>
      <c r="R3700" s="1">
        <v>0.1</v>
      </c>
      <c r="S3700" s="1">
        <v>1</v>
      </c>
    </row>
    <row r="3701" spans="1:38" x14ac:dyDescent="0.3">
      <c r="A3701" s="1">
        <v>62881</v>
      </c>
      <c r="B3701" s="1" t="s">
        <v>258</v>
      </c>
      <c r="C3701" s="1" t="s">
        <v>231</v>
      </c>
      <c r="D3701" s="2">
        <f t="shared" si="199"/>
        <v>2018</v>
      </c>
      <c r="E3701" s="2">
        <f t="shared" si="200"/>
        <v>2</v>
      </c>
      <c r="F3701" s="3" t="s">
        <v>175</v>
      </c>
      <c r="G3701" s="4">
        <v>43157</v>
      </c>
      <c r="H3701" s="1">
        <v>6597388</v>
      </c>
      <c r="I3701" s="1">
        <v>674663</v>
      </c>
      <c r="J3701" s="1" t="s">
        <v>185</v>
      </c>
      <c r="K3701" s="1"/>
      <c r="L3701" s="1" t="str">
        <f t="shared" si="197"/>
        <v xml:space="preserve">Gullsjön </v>
      </c>
      <c r="M3701" s="1" t="s">
        <v>184</v>
      </c>
      <c r="N3701" s="1">
        <v>2</v>
      </c>
      <c r="O3701" s="1">
        <v>2</v>
      </c>
      <c r="Q3701" s="1">
        <v>2.9</v>
      </c>
      <c r="R3701" s="1">
        <v>0.1</v>
      </c>
      <c r="S3701" s="1">
        <v>1</v>
      </c>
      <c r="W3701" s="1">
        <v>129.92099999999999</v>
      </c>
      <c r="X3701" s="1">
        <v>0.15622543756207002</v>
      </c>
      <c r="Y3701" s="1">
        <v>0.28299999999999997</v>
      </c>
      <c r="Z3701" s="1">
        <v>1.74</v>
      </c>
      <c r="AA3701" s="1">
        <v>6.9</v>
      </c>
      <c r="AD3701" s="1">
        <v>0.17</v>
      </c>
      <c r="AE3701" s="1">
        <v>7.06</v>
      </c>
      <c r="AK3701" s="1">
        <v>30.68</v>
      </c>
      <c r="AL3701" s="1">
        <v>985.78</v>
      </c>
    </row>
    <row r="3702" spans="1:38" x14ac:dyDescent="0.3">
      <c r="A3702" s="1">
        <v>62882</v>
      </c>
      <c r="B3702" s="1" t="s">
        <v>258</v>
      </c>
      <c r="C3702" s="1" t="s">
        <v>231</v>
      </c>
      <c r="D3702" s="2">
        <f t="shared" si="199"/>
        <v>2018</v>
      </c>
      <c r="E3702" s="2">
        <f t="shared" si="200"/>
        <v>2</v>
      </c>
      <c r="F3702" s="3" t="s">
        <v>175</v>
      </c>
      <c r="G3702" s="4">
        <v>43157</v>
      </c>
      <c r="H3702" s="1">
        <v>6595294</v>
      </c>
      <c r="I3702" s="1">
        <v>670194</v>
      </c>
      <c r="J3702" s="1" t="s">
        <v>207</v>
      </c>
      <c r="K3702" s="1"/>
      <c r="L3702" s="1" t="str">
        <f t="shared" si="197"/>
        <v xml:space="preserve">Käringsjön </v>
      </c>
      <c r="M3702" s="1" t="s">
        <v>177</v>
      </c>
      <c r="N3702" s="1">
        <v>0.5</v>
      </c>
      <c r="O3702" s="1">
        <v>1</v>
      </c>
      <c r="P3702" s="1">
        <v>0.7</v>
      </c>
      <c r="Q3702" s="1">
        <v>1.1000000000000001</v>
      </c>
      <c r="R3702" s="1">
        <v>5.4</v>
      </c>
      <c r="S3702" s="1">
        <v>38</v>
      </c>
      <c r="W3702" s="1">
        <v>2.7605</v>
      </c>
      <c r="X3702" s="1">
        <v>2.4904866377180299E-3</v>
      </c>
      <c r="Y3702" s="1">
        <v>0.63900000000000001</v>
      </c>
      <c r="Z3702" s="1">
        <v>3.32</v>
      </c>
      <c r="AA3702" s="1">
        <v>3</v>
      </c>
      <c r="AD3702" s="1">
        <v>92.15</v>
      </c>
      <c r="AE3702" s="1">
        <v>7</v>
      </c>
      <c r="AK3702" s="1">
        <v>20.92</v>
      </c>
      <c r="AL3702" s="1">
        <v>1296.47</v>
      </c>
    </row>
    <row r="3703" spans="1:38" x14ac:dyDescent="0.3">
      <c r="A3703" s="1">
        <v>62883</v>
      </c>
      <c r="B3703" s="1" t="s">
        <v>258</v>
      </c>
      <c r="C3703" s="1" t="s">
        <v>231</v>
      </c>
      <c r="D3703" s="2">
        <f t="shared" si="199"/>
        <v>2018</v>
      </c>
      <c r="E3703" s="2">
        <f t="shared" si="200"/>
        <v>2</v>
      </c>
      <c r="F3703" s="3" t="s">
        <v>175</v>
      </c>
      <c r="G3703" s="4">
        <v>43157</v>
      </c>
      <c r="H3703" s="1">
        <v>6595294</v>
      </c>
      <c r="I3703" s="1">
        <v>670194</v>
      </c>
      <c r="J3703" s="1" t="s">
        <v>207</v>
      </c>
      <c r="K3703" s="1"/>
      <c r="L3703" s="1" t="str">
        <f t="shared" si="197"/>
        <v xml:space="preserve">Käringsjön </v>
      </c>
      <c r="M3703" s="1" t="s">
        <v>211</v>
      </c>
      <c r="N3703" s="1">
        <v>1</v>
      </c>
      <c r="O3703" s="1">
        <v>1</v>
      </c>
      <c r="Q3703" s="1">
        <v>2.4</v>
      </c>
      <c r="R3703" s="1">
        <v>2.6</v>
      </c>
      <c r="S3703" s="1">
        <v>19</v>
      </c>
    </row>
    <row r="3704" spans="1:38" x14ac:dyDescent="0.3">
      <c r="A3704" s="1">
        <v>62884</v>
      </c>
      <c r="B3704" s="1" t="s">
        <v>258</v>
      </c>
      <c r="C3704" s="1" t="s">
        <v>231</v>
      </c>
      <c r="D3704" s="2">
        <f t="shared" si="199"/>
        <v>2018</v>
      </c>
      <c r="E3704" s="2">
        <f t="shared" si="200"/>
        <v>2</v>
      </c>
      <c r="F3704" s="3" t="s">
        <v>175</v>
      </c>
      <c r="G3704" s="4">
        <v>43157</v>
      </c>
      <c r="H3704" s="1">
        <v>6595294</v>
      </c>
      <c r="I3704" s="1">
        <v>670194</v>
      </c>
      <c r="J3704" s="1" t="s">
        <v>207</v>
      </c>
      <c r="K3704" s="1"/>
      <c r="L3704" s="1" t="str">
        <f t="shared" si="197"/>
        <v xml:space="preserve">Käringsjön </v>
      </c>
      <c r="M3704" s="1" t="s">
        <v>212</v>
      </c>
      <c r="N3704" s="1">
        <v>2</v>
      </c>
      <c r="O3704" s="1">
        <v>2</v>
      </c>
      <c r="Q3704" s="1">
        <v>3.4</v>
      </c>
      <c r="R3704" s="1">
        <v>1</v>
      </c>
      <c r="S3704" s="1">
        <v>7</v>
      </c>
    </row>
    <row r="3705" spans="1:38" x14ac:dyDescent="0.3">
      <c r="A3705" s="1">
        <v>62885</v>
      </c>
      <c r="B3705" s="1" t="s">
        <v>258</v>
      </c>
      <c r="C3705" s="1" t="s">
        <v>231</v>
      </c>
      <c r="D3705" s="2">
        <f t="shared" si="199"/>
        <v>2018</v>
      </c>
      <c r="E3705" s="2">
        <f t="shared" si="200"/>
        <v>2</v>
      </c>
      <c r="F3705" s="3" t="s">
        <v>175</v>
      </c>
      <c r="G3705" s="4">
        <v>43157</v>
      </c>
      <c r="H3705" s="1">
        <v>6595294</v>
      </c>
      <c r="I3705" s="1">
        <v>670194</v>
      </c>
      <c r="J3705" s="1" t="s">
        <v>207</v>
      </c>
      <c r="K3705" s="1"/>
      <c r="L3705" s="1" t="str">
        <f t="shared" si="197"/>
        <v xml:space="preserve">Käringsjön </v>
      </c>
      <c r="M3705" s="1" t="s">
        <v>213</v>
      </c>
      <c r="N3705" s="1">
        <v>3</v>
      </c>
      <c r="O3705" s="1">
        <v>3</v>
      </c>
      <c r="Q3705" s="1">
        <v>4</v>
      </c>
      <c r="R3705" s="1">
        <v>0.1</v>
      </c>
      <c r="S3705" s="1">
        <v>1</v>
      </c>
    </row>
    <row r="3706" spans="1:38" x14ac:dyDescent="0.3">
      <c r="A3706" s="1">
        <v>62886</v>
      </c>
      <c r="B3706" s="1" t="s">
        <v>258</v>
      </c>
      <c r="C3706" s="1" t="s">
        <v>231</v>
      </c>
      <c r="D3706" s="2">
        <f t="shared" si="199"/>
        <v>2018</v>
      </c>
      <c r="E3706" s="2">
        <f t="shared" si="200"/>
        <v>2</v>
      </c>
      <c r="F3706" s="3" t="s">
        <v>175</v>
      </c>
      <c r="G3706" s="4">
        <v>43157</v>
      </c>
      <c r="H3706" s="1">
        <v>6595294</v>
      </c>
      <c r="I3706" s="1">
        <v>670194</v>
      </c>
      <c r="J3706" s="1" t="s">
        <v>207</v>
      </c>
      <c r="K3706" s="1"/>
      <c r="L3706" s="1" t="str">
        <f t="shared" si="197"/>
        <v xml:space="preserve">Käringsjön </v>
      </c>
      <c r="M3706" s="1" t="s">
        <v>184</v>
      </c>
      <c r="N3706" s="1">
        <v>4</v>
      </c>
      <c r="O3706" s="1">
        <v>4</v>
      </c>
      <c r="Q3706" s="1">
        <v>4.2</v>
      </c>
      <c r="R3706" s="1">
        <v>0.1</v>
      </c>
      <c r="S3706" s="1">
        <v>1</v>
      </c>
      <c r="W3706" s="1">
        <v>57.893999999999998</v>
      </c>
      <c r="X3706" s="1">
        <v>3.5425469100752401E-2</v>
      </c>
      <c r="Y3706" s="1">
        <v>0.82699999999999996</v>
      </c>
      <c r="Z3706" s="1">
        <v>11.1</v>
      </c>
      <c r="AA3706" s="1">
        <v>4.8</v>
      </c>
      <c r="AD3706" s="1">
        <v>8.36</v>
      </c>
      <c r="AE3706" s="1">
        <v>6.72</v>
      </c>
      <c r="AK3706" s="1">
        <v>36.24</v>
      </c>
      <c r="AL3706" s="1">
        <v>1463.08</v>
      </c>
    </row>
    <row r="3707" spans="1:38" x14ac:dyDescent="0.3">
      <c r="A3707" s="1">
        <v>62887</v>
      </c>
      <c r="B3707" s="1" t="s">
        <v>258</v>
      </c>
      <c r="C3707" s="1" t="s">
        <v>231</v>
      </c>
      <c r="D3707" s="2">
        <f t="shared" si="199"/>
        <v>2018</v>
      </c>
      <c r="E3707" s="2">
        <f t="shared" si="200"/>
        <v>2</v>
      </c>
      <c r="F3707" s="3" t="s">
        <v>175</v>
      </c>
      <c r="G3707" s="4">
        <v>43157</v>
      </c>
      <c r="H3707" s="1">
        <v>6594218</v>
      </c>
      <c r="I3707" s="1">
        <v>670947</v>
      </c>
      <c r="J3707" s="1" t="s">
        <v>201</v>
      </c>
      <c r="K3707" s="1"/>
      <c r="L3707" s="1" t="str">
        <f t="shared" si="197"/>
        <v xml:space="preserve">Mörtsjön </v>
      </c>
      <c r="M3707" s="1" t="s">
        <v>177</v>
      </c>
      <c r="N3707" s="1">
        <v>0.5</v>
      </c>
      <c r="O3707" s="1">
        <v>0.5</v>
      </c>
      <c r="P3707" s="1">
        <v>1.3</v>
      </c>
      <c r="Q3707" s="1">
        <v>1</v>
      </c>
      <c r="R3707" s="1">
        <v>1.8</v>
      </c>
      <c r="S3707" s="1">
        <v>13</v>
      </c>
      <c r="W3707" s="1">
        <v>10.931699999999999</v>
      </c>
      <c r="X3707" s="1">
        <v>1.072306749495652E-2</v>
      </c>
      <c r="Y3707" s="1">
        <v>0.221</v>
      </c>
      <c r="Z3707" s="1">
        <v>12.12</v>
      </c>
      <c r="AA3707" s="1">
        <v>2.2000000000000002</v>
      </c>
      <c r="AD3707" s="1">
        <v>716.21</v>
      </c>
      <c r="AE3707" s="1">
        <v>7.04</v>
      </c>
      <c r="AK3707" s="1">
        <v>23.69</v>
      </c>
      <c r="AL3707" s="1">
        <v>1418.28</v>
      </c>
    </row>
    <row r="3708" spans="1:38" x14ac:dyDescent="0.3">
      <c r="A3708" s="1">
        <v>62888</v>
      </c>
      <c r="B3708" s="1" t="s">
        <v>258</v>
      </c>
      <c r="C3708" s="1" t="s">
        <v>231</v>
      </c>
      <c r="D3708" s="2">
        <f t="shared" si="199"/>
        <v>2018</v>
      </c>
      <c r="E3708" s="2">
        <f t="shared" si="200"/>
        <v>2</v>
      </c>
      <c r="F3708" s="3" t="s">
        <v>175</v>
      </c>
      <c r="G3708" s="4">
        <v>43157</v>
      </c>
      <c r="H3708" s="1">
        <v>6594218</v>
      </c>
      <c r="I3708" s="1">
        <v>670947</v>
      </c>
      <c r="J3708" s="1" t="s">
        <v>201</v>
      </c>
      <c r="K3708" s="1"/>
      <c r="L3708" s="1" t="str">
        <f t="shared" si="197"/>
        <v xml:space="preserve">Mörtsjön </v>
      </c>
      <c r="M3708" s="1" t="s">
        <v>211</v>
      </c>
      <c r="N3708" s="1">
        <v>1</v>
      </c>
      <c r="O3708" s="1">
        <v>1</v>
      </c>
      <c r="Q3708" s="1">
        <v>4</v>
      </c>
      <c r="R3708" s="1">
        <v>1.2</v>
      </c>
      <c r="S3708" s="1">
        <v>9</v>
      </c>
    </row>
    <row r="3709" spans="1:38" x14ac:dyDescent="0.3">
      <c r="A3709" s="1">
        <v>62889</v>
      </c>
      <c r="B3709" s="1" t="s">
        <v>258</v>
      </c>
      <c r="C3709" s="1" t="s">
        <v>231</v>
      </c>
      <c r="D3709" s="2">
        <f t="shared" si="199"/>
        <v>2018</v>
      </c>
      <c r="E3709" s="2">
        <f t="shared" si="200"/>
        <v>2</v>
      </c>
      <c r="F3709" s="3" t="s">
        <v>175</v>
      </c>
      <c r="G3709" s="4">
        <v>43157</v>
      </c>
      <c r="H3709" s="1">
        <v>6594218</v>
      </c>
      <c r="I3709" s="1">
        <v>670947</v>
      </c>
      <c r="J3709" s="1" t="s">
        <v>201</v>
      </c>
      <c r="K3709" s="1"/>
      <c r="L3709" s="1" t="str">
        <f t="shared" si="197"/>
        <v xml:space="preserve">Mörtsjön </v>
      </c>
      <c r="M3709" s="1" t="s">
        <v>212</v>
      </c>
      <c r="N3709" s="1">
        <v>2</v>
      </c>
      <c r="O3709" s="1">
        <v>2</v>
      </c>
      <c r="Q3709" s="1">
        <v>4.8</v>
      </c>
      <c r="R3709" s="1">
        <v>0.9</v>
      </c>
      <c r="S3709" s="1">
        <v>7</v>
      </c>
    </row>
    <row r="3710" spans="1:38" x14ac:dyDescent="0.3">
      <c r="A3710" s="1">
        <v>62890</v>
      </c>
      <c r="B3710" s="1" t="s">
        <v>258</v>
      </c>
      <c r="C3710" s="1" t="s">
        <v>231</v>
      </c>
      <c r="D3710" s="2">
        <f t="shared" si="199"/>
        <v>2018</v>
      </c>
      <c r="E3710" s="2">
        <f t="shared" si="200"/>
        <v>2</v>
      </c>
      <c r="F3710" s="3" t="s">
        <v>175</v>
      </c>
      <c r="G3710" s="4">
        <v>43157</v>
      </c>
      <c r="H3710" s="1">
        <v>6594218</v>
      </c>
      <c r="I3710" s="1">
        <v>670947</v>
      </c>
      <c r="J3710" s="1" t="s">
        <v>201</v>
      </c>
      <c r="K3710" s="1"/>
      <c r="L3710" s="1" t="str">
        <f t="shared" ref="L3710:L3773" si="201">CONCATENATE(J3710," ",K3710)</f>
        <v xml:space="preserve">Mörtsjön </v>
      </c>
      <c r="M3710" s="1" t="s">
        <v>213</v>
      </c>
      <c r="N3710" s="1">
        <v>3</v>
      </c>
      <c r="O3710" s="1">
        <v>3</v>
      </c>
      <c r="Q3710" s="1">
        <v>5.0999999999999996</v>
      </c>
      <c r="R3710" s="1">
        <v>1.5</v>
      </c>
      <c r="S3710" s="1">
        <v>12</v>
      </c>
    </row>
    <row r="3711" spans="1:38" x14ac:dyDescent="0.3">
      <c r="A3711" s="1">
        <v>62891</v>
      </c>
      <c r="B3711" s="1" t="s">
        <v>258</v>
      </c>
      <c r="C3711" s="1" t="s">
        <v>231</v>
      </c>
      <c r="D3711" s="2">
        <f t="shared" si="199"/>
        <v>2018</v>
      </c>
      <c r="E3711" s="2">
        <f t="shared" si="200"/>
        <v>2</v>
      </c>
      <c r="F3711" s="3" t="s">
        <v>175</v>
      </c>
      <c r="G3711" s="4">
        <v>43157</v>
      </c>
      <c r="H3711" s="1">
        <v>6594218</v>
      </c>
      <c r="I3711" s="1">
        <v>670947</v>
      </c>
      <c r="J3711" s="1" t="s">
        <v>201</v>
      </c>
      <c r="K3711" s="1"/>
      <c r="L3711" s="1" t="str">
        <f t="shared" si="201"/>
        <v xml:space="preserve">Mörtsjön </v>
      </c>
      <c r="M3711" s="1" t="s">
        <v>184</v>
      </c>
      <c r="N3711" s="1">
        <v>4</v>
      </c>
      <c r="O3711" s="1">
        <v>4</v>
      </c>
      <c r="Q3711" s="1">
        <v>5.2</v>
      </c>
      <c r="R3711" s="1">
        <v>1.8</v>
      </c>
      <c r="S3711" s="1">
        <v>14</v>
      </c>
      <c r="W3711" s="1">
        <v>33.1858</v>
      </c>
      <c r="X3711" s="1">
        <v>4.7059289784998362E-2</v>
      </c>
      <c r="Y3711" s="1">
        <v>0.27200000000000002</v>
      </c>
      <c r="Z3711" s="1">
        <v>9.2899999999999991</v>
      </c>
      <c r="AA3711" s="1">
        <v>2.6</v>
      </c>
      <c r="AD3711" s="1">
        <v>856.11</v>
      </c>
      <c r="AE3711" s="1">
        <v>7.05</v>
      </c>
      <c r="AK3711" s="1">
        <v>27.42</v>
      </c>
      <c r="AL3711" s="1">
        <v>1712.19</v>
      </c>
    </row>
    <row r="3712" spans="1:38" x14ac:dyDescent="0.3">
      <c r="A3712" s="1">
        <v>62892</v>
      </c>
      <c r="B3712" s="1" t="s">
        <v>258</v>
      </c>
      <c r="C3712" s="1" t="s">
        <v>231</v>
      </c>
      <c r="D3712" s="2">
        <f t="shared" si="199"/>
        <v>2018</v>
      </c>
      <c r="E3712" s="2">
        <f t="shared" si="200"/>
        <v>2</v>
      </c>
      <c r="F3712" s="3" t="s">
        <v>175</v>
      </c>
      <c r="G3712" s="4">
        <v>43157</v>
      </c>
      <c r="H3712" s="1">
        <v>6598995</v>
      </c>
      <c r="I3712" s="1">
        <v>667864</v>
      </c>
      <c r="J3712" s="1" t="s">
        <v>186</v>
      </c>
      <c r="K3712" s="1" t="s">
        <v>211</v>
      </c>
      <c r="L3712" s="1" t="str">
        <f t="shared" si="201"/>
        <v>Norrviken 1</v>
      </c>
      <c r="M3712" s="1" t="s">
        <v>177</v>
      </c>
      <c r="N3712" s="1">
        <v>0.5</v>
      </c>
      <c r="O3712" s="1">
        <v>0.5</v>
      </c>
      <c r="P3712" s="1">
        <v>1.4</v>
      </c>
      <c r="Q3712" s="1">
        <v>0.4</v>
      </c>
      <c r="R3712" s="1">
        <v>12.1</v>
      </c>
      <c r="S3712" s="1">
        <v>81</v>
      </c>
      <c r="W3712" s="1">
        <v>141.73050000000001</v>
      </c>
      <c r="X3712" s="1">
        <v>0.20942931402845433</v>
      </c>
      <c r="Y3712" s="1">
        <v>8.4000000000000005E-2</v>
      </c>
      <c r="Z3712" s="1">
        <v>2.31</v>
      </c>
      <c r="AA3712" s="1">
        <v>5.2</v>
      </c>
      <c r="AD3712" s="1">
        <v>306.72000000000003</v>
      </c>
      <c r="AE3712" s="1">
        <v>7.24</v>
      </c>
      <c r="AK3712" s="1">
        <v>42.98</v>
      </c>
      <c r="AL3712" s="1">
        <v>1286.99</v>
      </c>
    </row>
    <row r="3713" spans="1:38" x14ac:dyDescent="0.3">
      <c r="A3713" s="1">
        <v>62893</v>
      </c>
      <c r="B3713" s="1" t="s">
        <v>258</v>
      </c>
      <c r="C3713" s="1" t="s">
        <v>231</v>
      </c>
      <c r="D3713" s="2">
        <f t="shared" si="199"/>
        <v>2018</v>
      </c>
      <c r="E3713" s="2">
        <f t="shared" si="200"/>
        <v>2</v>
      </c>
      <c r="F3713" s="3" t="s">
        <v>175</v>
      </c>
      <c r="G3713" s="4">
        <v>43157</v>
      </c>
      <c r="H3713" s="1">
        <v>6598995</v>
      </c>
      <c r="I3713" s="1">
        <v>667864</v>
      </c>
      <c r="J3713" s="1" t="s">
        <v>186</v>
      </c>
      <c r="K3713" s="1" t="s">
        <v>211</v>
      </c>
      <c r="L3713" s="1" t="str">
        <f t="shared" si="201"/>
        <v>Norrviken 1</v>
      </c>
      <c r="M3713" s="1" t="s">
        <v>211</v>
      </c>
      <c r="N3713" s="1">
        <v>1</v>
      </c>
      <c r="O3713" s="1">
        <v>1</v>
      </c>
      <c r="Q3713" s="1">
        <v>0.7</v>
      </c>
      <c r="R3713" s="1">
        <v>11.9</v>
      </c>
      <c r="S3713" s="1">
        <v>81</v>
      </c>
    </row>
    <row r="3714" spans="1:38" x14ac:dyDescent="0.3">
      <c r="A3714" s="1">
        <v>62894</v>
      </c>
      <c r="B3714" s="1" t="s">
        <v>258</v>
      </c>
      <c r="C3714" s="1" t="s">
        <v>231</v>
      </c>
      <c r="D3714" s="2">
        <f t="shared" si="199"/>
        <v>2018</v>
      </c>
      <c r="E3714" s="2">
        <f t="shared" si="200"/>
        <v>2</v>
      </c>
      <c r="F3714" s="3" t="s">
        <v>175</v>
      </c>
      <c r="G3714" s="4">
        <v>43157</v>
      </c>
      <c r="H3714" s="1">
        <v>6598995</v>
      </c>
      <c r="I3714" s="1">
        <v>667864</v>
      </c>
      <c r="J3714" s="1" t="s">
        <v>186</v>
      </c>
      <c r="K3714" s="1" t="s">
        <v>211</v>
      </c>
      <c r="L3714" s="1" t="str">
        <f t="shared" si="201"/>
        <v>Norrviken 1</v>
      </c>
      <c r="M3714" s="1" t="s">
        <v>212</v>
      </c>
      <c r="N3714" s="1">
        <v>2</v>
      </c>
      <c r="O3714" s="1">
        <v>2</v>
      </c>
      <c r="Q3714" s="1">
        <v>1.7</v>
      </c>
      <c r="R3714" s="1">
        <v>7.8</v>
      </c>
      <c r="S3714" s="1">
        <v>54</v>
      </c>
    </row>
    <row r="3715" spans="1:38" x14ac:dyDescent="0.3">
      <c r="A3715" s="1">
        <v>62895</v>
      </c>
      <c r="B3715" s="1" t="s">
        <v>258</v>
      </c>
      <c r="C3715" s="1" t="s">
        <v>231</v>
      </c>
      <c r="D3715" s="2">
        <f t="shared" si="199"/>
        <v>2018</v>
      </c>
      <c r="E3715" s="2">
        <f t="shared" si="200"/>
        <v>2</v>
      </c>
      <c r="F3715" s="3" t="s">
        <v>175</v>
      </c>
      <c r="G3715" s="4">
        <v>43157</v>
      </c>
      <c r="H3715" s="1">
        <v>6598995</v>
      </c>
      <c r="I3715" s="1">
        <v>667864</v>
      </c>
      <c r="J3715" s="1" t="s">
        <v>186</v>
      </c>
      <c r="K3715" s="1" t="s">
        <v>211</v>
      </c>
      <c r="L3715" s="1" t="str">
        <f t="shared" si="201"/>
        <v>Norrviken 1</v>
      </c>
      <c r="M3715" s="1" t="s">
        <v>184</v>
      </c>
      <c r="N3715" s="1">
        <v>2.5</v>
      </c>
      <c r="O3715" s="1">
        <v>2.5</v>
      </c>
      <c r="Q3715" s="1">
        <v>1.7</v>
      </c>
      <c r="R3715" s="1">
        <v>6.4</v>
      </c>
      <c r="S3715" s="1">
        <v>45</v>
      </c>
    </row>
    <row r="3716" spans="1:38" x14ac:dyDescent="0.3">
      <c r="A3716" s="1">
        <v>62896</v>
      </c>
      <c r="B3716" s="1" t="s">
        <v>258</v>
      </c>
      <c r="C3716" s="1" t="s">
        <v>231</v>
      </c>
      <c r="D3716" s="2">
        <f t="shared" si="199"/>
        <v>2018</v>
      </c>
      <c r="E3716" s="2">
        <f t="shared" si="200"/>
        <v>2</v>
      </c>
      <c r="F3716" s="3" t="s">
        <v>175</v>
      </c>
      <c r="G3716" s="4">
        <v>43157</v>
      </c>
      <c r="H3716" s="1">
        <v>6596347</v>
      </c>
      <c r="I3716" s="1">
        <v>665902</v>
      </c>
      <c r="J3716" s="1" t="s">
        <v>186</v>
      </c>
      <c r="K3716" s="1" t="s">
        <v>212</v>
      </c>
      <c r="L3716" s="1" t="str">
        <f t="shared" si="201"/>
        <v>Norrviken 2</v>
      </c>
      <c r="M3716" s="29" t="s">
        <v>177</v>
      </c>
      <c r="N3716" s="1">
        <v>0.5</v>
      </c>
      <c r="O3716" s="1">
        <v>0.5</v>
      </c>
      <c r="P3716" s="1">
        <v>2</v>
      </c>
      <c r="Q3716" s="1">
        <v>0.7</v>
      </c>
      <c r="R3716" s="1">
        <v>11.9</v>
      </c>
      <c r="S3716" s="1">
        <v>80</v>
      </c>
      <c r="W3716" s="1">
        <v>77.685599999999994</v>
      </c>
      <c r="X3716" s="1">
        <v>0.12611995570764165</v>
      </c>
      <c r="Y3716" s="1">
        <v>8.7999999999999995E-2</v>
      </c>
      <c r="Z3716" s="1">
        <v>27.7</v>
      </c>
      <c r="AA3716" s="1">
        <v>5.0999999999999996</v>
      </c>
      <c r="AD3716" s="1">
        <v>546.94000000000005</v>
      </c>
      <c r="AE3716" s="1">
        <v>7.27</v>
      </c>
      <c r="AK3716" s="1">
        <v>48.25</v>
      </c>
      <c r="AL3716" s="1">
        <v>1294.5999999999999</v>
      </c>
    </row>
    <row r="3717" spans="1:38" x14ac:dyDescent="0.3">
      <c r="A3717" s="1">
        <v>62897</v>
      </c>
      <c r="B3717" s="1" t="s">
        <v>258</v>
      </c>
      <c r="C3717" s="1" t="s">
        <v>231</v>
      </c>
      <c r="D3717" s="2">
        <f t="shared" si="199"/>
        <v>2018</v>
      </c>
      <c r="E3717" s="2">
        <f t="shared" si="200"/>
        <v>2</v>
      </c>
      <c r="F3717" s="3" t="s">
        <v>175</v>
      </c>
      <c r="G3717" s="4">
        <v>43157</v>
      </c>
      <c r="H3717" s="1">
        <v>6596347</v>
      </c>
      <c r="I3717" s="1">
        <v>665902</v>
      </c>
      <c r="J3717" s="1" t="s">
        <v>186</v>
      </c>
      <c r="K3717" s="1" t="s">
        <v>212</v>
      </c>
      <c r="L3717" s="1" t="str">
        <f t="shared" si="201"/>
        <v>Norrviken 2</v>
      </c>
      <c r="M3717" s="29" t="s">
        <v>211</v>
      </c>
      <c r="N3717" s="1">
        <v>1</v>
      </c>
      <c r="O3717" s="1">
        <v>1</v>
      </c>
      <c r="Q3717" s="1">
        <v>2</v>
      </c>
      <c r="R3717" s="1">
        <v>11.5</v>
      </c>
      <c r="S3717" s="1">
        <v>73</v>
      </c>
    </row>
    <row r="3718" spans="1:38" x14ac:dyDescent="0.3">
      <c r="A3718" s="1">
        <v>62898</v>
      </c>
      <c r="B3718" s="1" t="s">
        <v>258</v>
      </c>
      <c r="C3718" s="1" t="s">
        <v>231</v>
      </c>
      <c r="D3718" s="2">
        <f t="shared" ref="D3718:D3781" si="202">YEAR(G3718)</f>
        <v>2018</v>
      </c>
      <c r="E3718" s="2">
        <f t="shared" ref="E3718:E3781" si="203">MONTH(G3718)</f>
        <v>2</v>
      </c>
      <c r="F3718" s="3" t="s">
        <v>175</v>
      </c>
      <c r="G3718" s="4">
        <v>43157</v>
      </c>
      <c r="H3718" s="1">
        <v>6596347</v>
      </c>
      <c r="I3718" s="1">
        <v>665902</v>
      </c>
      <c r="J3718" s="1" t="s">
        <v>186</v>
      </c>
      <c r="K3718" s="1" t="s">
        <v>212</v>
      </c>
      <c r="L3718" s="1" t="str">
        <f t="shared" si="201"/>
        <v>Norrviken 2</v>
      </c>
      <c r="M3718" s="29" t="s">
        <v>212</v>
      </c>
      <c r="N3718" s="1">
        <v>2</v>
      </c>
      <c r="O3718" s="1">
        <v>2</v>
      </c>
      <c r="Q3718" s="1">
        <v>2.2000000000000002</v>
      </c>
      <c r="R3718" s="1">
        <v>10.3</v>
      </c>
      <c r="S3718" s="1">
        <v>72</v>
      </c>
    </row>
    <row r="3719" spans="1:38" x14ac:dyDescent="0.3">
      <c r="A3719" s="1">
        <v>62899</v>
      </c>
      <c r="B3719" s="1" t="s">
        <v>258</v>
      </c>
      <c r="C3719" s="1" t="s">
        <v>231</v>
      </c>
      <c r="D3719" s="2">
        <f t="shared" si="202"/>
        <v>2018</v>
      </c>
      <c r="E3719" s="2">
        <f t="shared" si="203"/>
        <v>2</v>
      </c>
      <c r="F3719" s="3" t="s">
        <v>175</v>
      </c>
      <c r="G3719" s="4">
        <v>43157</v>
      </c>
      <c r="H3719" s="1">
        <v>6596347</v>
      </c>
      <c r="I3719" s="1">
        <v>665902</v>
      </c>
      <c r="J3719" s="1" t="s">
        <v>186</v>
      </c>
      <c r="K3719" s="1" t="s">
        <v>212</v>
      </c>
      <c r="L3719" s="1" t="str">
        <f t="shared" si="201"/>
        <v>Norrviken 2</v>
      </c>
      <c r="M3719" s="29" t="s">
        <v>213</v>
      </c>
      <c r="N3719" s="1">
        <v>3</v>
      </c>
      <c r="O3719" s="1">
        <v>3</v>
      </c>
      <c r="Q3719" s="1">
        <v>2.2000000000000002</v>
      </c>
      <c r="R3719" s="1">
        <v>10.1</v>
      </c>
      <c r="S3719" s="1">
        <v>70</v>
      </c>
    </row>
    <row r="3720" spans="1:38" x14ac:dyDescent="0.3">
      <c r="A3720" s="1">
        <v>62900</v>
      </c>
      <c r="B3720" s="1" t="s">
        <v>258</v>
      </c>
      <c r="C3720" s="1" t="s">
        <v>231</v>
      </c>
      <c r="D3720" s="2">
        <f t="shared" si="202"/>
        <v>2018</v>
      </c>
      <c r="E3720" s="2">
        <f t="shared" si="203"/>
        <v>2</v>
      </c>
      <c r="F3720" s="3" t="s">
        <v>175</v>
      </c>
      <c r="G3720" s="4">
        <v>43157</v>
      </c>
      <c r="H3720" s="1">
        <v>6596347</v>
      </c>
      <c r="I3720" s="1">
        <v>665902</v>
      </c>
      <c r="J3720" s="1" t="s">
        <v>186</v>
      </c>
      <c r="K3720" s="1" t="s">
        <v>212</v>
      </c>
      <c r="L3720" s="1" t="str">
        <f t="shared" si="201"/>
        <v>Norrviken 2</v>
      </c>
      <c r="M3720" s="29" t="s">
        <v>214</v>
      </c>
      <c r="N3720" s="1">
        <v>4</v>
      </c>
      <c r="O3720" s="1">
        <v>4</v>
      </c>
      <c r="Q3720" s="1">
        <v>2.2999999999999998</v>
      </c>
      <c r="R3720" s="1">
        <v>9.6</v>
      </c>
      <c r="S3720" s="1">
        <v>68</v>
      </c>
    </row>
    <row r="3721" spans="1:38" x14ac:dyDescent="0.3">
      <c r="A3721" s="1">
        <v>62901</v>
      </c>
      <c r="B3721" s="1" t="s">
        <v>258</v>
      </c>
      <c r="C3721" s="1" t="s">
        <v>231</v>
      </c>
      <c r="D3721" s="2">
        <f t="shared" si="202"/>
        <v>2018</v>
      </c>
      <c r="E3721" s="2">
        <f t="shared" si="203"/>
        <v>2</v>
      </c>
      <c r="F3721" s="3" t="s">
        <v>175</v>
      </c>
      <c r="G3721" s="4">
        <v>43157</v>
      </c>
      <c r="H3721" s="1">
        <v>6596347</v>
      </c>
      <c r="I3721" s="1">
        <v>665902</v>
      </c>
      <c r="J3721" s="1" t="s">
        <v>186</v>
      </c>
      <c r="K3721" s="1" t="s">
        <v>212</v>
      </c>
      <c r="L3721" s="1" t="str">
        <f t="shared" si="201"/>
        <v>Norrviken 2</v>
      </c>
      <c r="M3721" s="29" t="s">
        <v>217</v>
      </c>
      <c r="N3721" s="1">
        <v>5</v>
      </c>
      <c r="O3721" s="1">
        <v>5</v>
      </c>
      <c r="Q3721" s="1">
        <v>2.6</v>
      </c>
      <c r="R3721" s="1">
        <v>8.3000000000000007</v>
      </c>
      <c r="S3721" s="1">
        <v>59</v>
      </c>
    </row>
    <row r="3722" spans="1:38" x14ac:dyDescent="0.3">
      <c r="A3722" s="1">
        <v>62902</v>
      </c>
      <c r="B3722" s="1" t="s">
        <v>258</v>
      </c>
      <c r="C3722" s="1" t="s">
        <v>231</v>
      </c>
      <c r="D3722" s="2">
        <f t="shared" si="202"/>
        <v>2018</v>
      </c>
      <c r="E3722" s="2">
        <f t="shared" si="203"/>
        <v>2</v>
      </c>
      <c r="F3722" s="3" t="s">
        <v>175</v>
      </c>
      <c r="G3722" s="4">
        <v>43157</v>
      </c>
      <c r="H3722" s="1">
        <v>6596347</v>
      </c>
      <c r="I3722" s="1">
        <v>665902</v>
      </c>
      <c r="J3722" s="1" t="s">
        <v>186</v>
      </c>
      <c r="K3722" s="1" t="s">
        <v>212</v>
      </c>
      <c r="L3722" s="1" t="str">
        <f t="shared" si="201"/>
        <v>Norrviken 2</v>
      </c>
      <c r="M3722" s="29" t="s">
        <v>218</v>
      </c>
      <c r="N3722" s="1">
        <v>6</v>
      </c>
      <c r="O3722" s="1">
        <v>6</v>
      </c>
      <c r="Q3722" s="1">
        <v>2.8</v>
      </c>
      <c r="R3722" s="1">
        <v>6.5</v>
      </c>
      <c r="S3722" s="1">
        <v>46</v>
      </c>
    </row>
    <row r="3723" spans="1:38" x14ac:dyDescent="0.3">
      <c r="A3723" s="1">
        <v>62903</v>
      </c>
      <c r="B3723" s="1" t="s">
        <v>258</v>
      </c>
      <c r="C3723" s="1" t="s">
        <v>231</v>
      </c>
      <c r="D3723" s="2">
        <f t="shared" si="202"/>
        <v>2018</v>
      </c>
      <c r="E3723" s="2">
        <f t="shared" si="203"/>
        <v>2</v>
      </c>
      <c r="F3723" s="3" t="s">
        <v>175</v>
      </c>
      <c r="G3723" s="4">
        <v>43157</v>
      </c>
      <c r="H3723" s="1">
        <v>6596347</v>
      </c>
      <c r="I3723" s="1">
        <v>665902</v>
      </c>
      <c r="J3723" s="1" t="s">
        <v>186</v>
      </c>
      <c r="K3723" s="1" t="s">
        <v>212</v>
      </c>
      <c r="L3723" s="1" t="str">
        <f t="shared" si="201"/>
        <v>Norrviken 2</v>
      </c>
      <c r="M3723" s="29" t="s">
        <v>219</v>
      </c>
      <c r="N3723" s="1">
        <v>7</v>
      </c>
      <c r="O3723" s="1">
        <v>7</v>
      </c>
      <c r="Q3723" s="1">
        <v>3.1</v>
      </c>
      <c r="R3723" s="1">
        <v>5.3</v>
      </c>
      <c r="S3723" s="1">
        <v>38</v>
      </c>
    </row>
    <row r="3724" spans="1:38" x14ac:dyDescent="0.3">
      <c r="A3724" s="1">
        <v>62904</v>
      </c>
      <c r="B3724" s="1" t="s">
        <v>258</v>
      </c>
      <c r="C3724" s="1" t="s">
        <v>231</v>
      </c>
      <c r="D3724" s="2">
        <f t="shared" si="202"/>
        <v>2018</v>
      </c>
      <c r="E3724" s="2">
        <f t="shared" si="203"/>
        <v>2</v>
      </c>
      <c r="F3724" s="3" t="s">
        <v>175</v>
      </c>
      <c r="G3724" s="4">
        <v>43157</v>
      </c>
      <c r="H3724" s="1">
        <v>6596347</v>
      </c>
      <c r="I3724" s="1">
        <v>665902</v>
      </c>
      <c r="J3724" s="1" t="s">
        <v>186</v>
      </c>
      <c r="K3724" s="1" t="s">
        <v>212</v>
      </c>
      <c r="L3724" s="1" t="str">
        <f t="shared" si="201"/>
        <v>Norrviken 2</v>
      </c>
      <c r="M3724" s="29" t="s">
        <v>220</v>
      </c>
      <c r="N3724" s="1">
        <v>8</v>
      </c>
      <c r="O3724" s="1">
        <v>8</v>
      </c>
      <c r="Q3724" s="1">
        <v>3.1</v>
      </c>
      <c r="R3724" s="1">
        <v>4.9000000000000004</v>
      </c>
      <c r="S3724" s="1">
        <v>35</v>
      </c>
    </row>
    <row r="3725" spans="1:38" x14ac:dyDescent="0.3">
      <c r="A3725" s="1">
        <v>62905</v>
      </c>
      <c r="B3725" s="1" t="s">
        <v>258</v>
      </c>
      <c r="C3725" s="1" t="s">
        <v>231</v>
      </c>
      <c r="D3725" s="2">
        <f t="shared" si="202"/>
        <v>2018</v>
      </c>
      <c r="E3725" s="2">
        <f t="shared" si="203"/>
        <v>2</v>
      </c>
      <c r="F3725" s="3" t="s">
        <v>175</v>
      </c>
      <c r="G3725" s="4">
        <v>43157</v>
      </c>
      <c r="H3725" s="1">
        <v>6596347</v>
      </c>
      <c r="I3725" s="1">
        <v>665902</v>
      </c>
      <c r="J3725" s="1" t="s">
        <v>186</v>
      </c>
      <c r="K3725" s="1" t="s">
        <v>212</v>
      </c>
      <c r="L3725" s="1" t="str">
        <f t="shared" si="201"/>
        <v>Norrviken 2</v>
      </c>
      <c r="M3725" s="29" t="s">
        <v>184</v>
      </c>
      <c r="N3725" s="1">
        <v>9</v>
      </c>
      <c r="O3725" s="1">
        <v>9</v>
      </c>
      <c r="Q3725" s="1">
        <v>3.9</v>
      </c>
      <c r="R3725" s="1">
        <v>1.5</v>
      </c>
      <c r="S3725" s="1">
        <v>11</v>
      </c>
      <c r="W3725" s="1">
        <v>153.34370000000001</v>
      </c>
      <c r="X3725" s="1">
        <v>0.2958808118190272</v>
      </c>
      <c r="Y3725" s="1">
        <v>6.9000000000000006E-2</v>
      </c>
      <c r="Z3725" s="1">
        <v>40.14</v>
      </c>
      <c r="AA3725" s="1">
        <v>5.8</v>
      </c>
      <c r="AD3725" s="1">
        <v>567.82000000000005</v>
      </c>
      <c r="AE3725" s="1">
        <v>7.23</v>
      </c>
      <c r="AK3725" s="1">
        <v>69.06</v>
      </c>
      <c r="AL3725" s="1">
        <v>1301.98</v>
      </c>
    </row>
    <row r="3726" spans="1:38" x14ac:dyDescent="0.3">
      <c r="A3726" s="1">
        <v>62906</v>
      </c>
      <c r="B3726" s="1" t="s">
        <v>258</v>
      </c>
      <c r="C3726" s="1" t="s">
        <v>231</v>
      </c>
      <c r="D3726" s="2">
        <f t="shared" si="202"/>
        <v>2018</v>
      </c>
      <c r="E3726" s="2">
        <f t="shared" si="203"/>
        <v>2</v>
      </c>
      <c r="F3726" s="3" t="s">
        <v>175</v>
      </c>
      <c r="G3726" s="4">
        <v>43157</v>
      </c>
      <c r="H3726" s="1">
        <v>6594617</v>
      </c>
      <c r="I3726" s="1">
        <v>666323</v>
      </c>
      <c r="J3726" s="1" t="s">
        <v>186</v>
      </c>
      <c r="K3726" s="1" t="s">
        <v>213</v>
      </c>
      <c r="L3726" s="1" t="str">
        <f t="shared" si="201"/>
        <v>Norrviken 3</v>
      </c>
      <c r="M3726" s="29" t="s">
        <v>177</v>
      </c>
      <c r="N3726" s="1">
        <v>0.5</v>
      </c>
      <c r="O3726" s="1">
        <v>0.5</v>
      </c>
      <c r="P3726" s="1">
        <v>3</v>
      </c>
      <c r="Q3726" s="1">
        <v>0.6</v>
      </c>
      <c r="R3726" s="1">
        <v>12.9</v>
      </c>
      <c r="S3726" s="1">
        <v>86</v>
      </c>
      <c r="W3726" s="1">
        <v>20.053999999999998</v>
      </c>
      <c r="X3726" s="1">
        <v>5.1121066327124411E-2</v>
      </c>
      <c r="Y3726" s="1">
        <v>5.0999999999999997E-2</v>
      </c>
      <c r="Z3726" s="1">
        <v>52.6</v>
      </c>
      <c r="AA3726" s="1">
        <v>2.2000000000000002</v>
      </c>
      <c r="AD3726" s="1">
        <v>560.45000000000005</v>
      </c>
      <c r="AE3726" s="1">
        <v>7.47</v>
      </c>
      <c r="AK3726" s="1">
        <v>70.69</v>
      </c>
      <c r="AL3726" s="1">
        <v>1159.72</v>
      </c>
    </row>
    <row r="3727" spans="1:38" x14ac:dyDescent="0.3">
      <c r="A3727" s="1">
        <v>62907</v>
      </c>
      <c r="B3727" s="1" t="s">
        <v>258</v>
      </c>
      <c r="C3727" s="1" t="s">
        <v>231</v>
      </c>
      <c r="D3727" s="2">
        <f t="shared" si="202"/>
        <v>2018</v>
      </c>
      <c r="E3727" s="2">
        <f t="shared" si="203"/>
        <v>2</v>
      </c>
      <c r="F3727" s="3" t="s">
        <v>175</v>
      </c>
      <c r="G3727" s="4">
        <v>43157</v>
      </c>
      <c r="H3727" s="1">
        <v>6594617</v>
      </c>
      <c r="I3727" s="1">
        <v>666323</v>
      </c>
      <c r="J3727" s="1" t="s">
        <v>186</v>
      </c>
      <c r="K3727" s="1" t="s">
        <v>213</v>
      </c>
      <c r="L3727" s="1" t="str">
        <f t="shared" si="201"/>
        <v>Norrviken 3</v>
      </c>
      <c r="M3727" s="29" t="s">
        <v>211</v>
      </c>
      <c r="N3727" s="1">
        <v>1</v>
      </c>
      <c r="O3727" s="1">
        <v>1</v>
      </c>
      <c r="Q3727" s="1">
        <v>2</v>
      </c>
      <c r="R3727" s="1">
        <v>11.5</v>
      </c>
      <c r="S3727" s="1">
        <v>80</v>
      </c>
    </row>
    <row r="3728" spans="1:38" x14ac:dyDescent="0.3">
      <c r="A3728" s="1">
        <v>62908</v>
      </c>
      <c r="B3728" s="1" t="s">
        <v>258</v>
      </c>
      <c r="C3728" s="1" t="s">
        <v>231</v>
      </c>
      <c r="D3728" s="2">
        <f t="shared" si="202"/>
        <v>2018</v>
      </c>
      <c r="E3728" s="2">
        <f t="shared" si="203"/>
        <v>2</v>
      </c>
      <c r="F3728" s="3" t="s">
        <v>175</v>
      </c>
      <c r="G3728" s="4">
        <v>43157</v>
      </c>
      <c r="H3728" s="1">
        <v>6594617</v>
      </c>
      <c r="I3728" s="1">
        <v>666323</v>
      </c>
      <c r="J3728" s="1" t="s">
        <v>186</v>
      </c>
      <c r="K3728" s="1" t="s">
        <v>213</v>
      </c>
      <c r="L3728" s="1" t="str">
        <f t="shared" si="201"/>
        <v>Norrviken 3</v>
      </c>
      <c r="M3728" s="29" t="s">
        <v>212</v>
      </c>
      <c r="N3728" s="1">
        <v>2</v>
      </c>
      <c r="O3728" s="1">
        <v>2</v>
      </c>
      <c r="Q3728" s="1">
        <v>2.2999999999999998</v>
      </c>
      <c r="R3728" s="1">
        <v>10.5</v>
      </c>
      <c r="S3728" s="1">
        <v>73</v>
      </c>
    </row>
    <row r="3729" spans="1:38" x14ac:dyDescent="0.3">
      <c r="A3729" s="1">
        <v>62909</v>
      </c>
      <c r="B3729" s="1" t="s">
        <v>258</v>
      </c>
      <c r="C3729" s="1" t="s">
        <v>231</v>
      </c>
      <c r="D3729" s="2">
        <f t="shared" si="202"/>
        <v>2018</v>
      </c>
      <c r="E3729" s="2">
        <f t="shared" si="203"/>
        <v>2</v>
      </c>
      <c r="F3729" s="3" t="s">
        <v>175</v>
      </c>
      <c r="G3729" s="4">
        <v>43157</v>
      </c>
      <c r="H3729" s="1">
        <v>6594617</v>
      </c>
      <c r="I3729" s="1">
        <v>666323</v>
      </c>
      <c r="J3729" s="1" t="s">
        <v>186</v>
      </c>
      <c r="K3729" s="1" t="s">
        <v>213</v>
      </c>
      <c r="L3729" s="1" t="str">
        <f t="shared" si="201"/>
        <v>Norrviken 3</v>
      </c>
      <c r="M3729" s="29" t="s">
        <v>213</v>
      </c>
      <c r="N3729" s="1">
        <v>3</v>
      </c>
      <c r="O3729" s="1">
        <v>3</v>
      </c>
      <c r="Q3729" s="1">
        <v>2.5</v>
      </c>
      <c r="R3729" s="1">
        <v>9.6</v>
      </c>
      <c r="S3729" s="1">
        <v>68</v>
      </c>
    </row>
    <row r="3730" spans="1:38" x14ac:dyDescent="0.3">
      <c r="A3730" s="1">
        <v>62910</v>
      </c>
      <c r="B3730" s="1" t="s">
        <v>258</v>
      </c>
      <c r="C3730" s="1" t="s">
        <v>231</v>
      </c>
      <c r="D3730" s="2">
        <f t="shared" si="202"/>
        <v>2018</v>
      </c>
      <c r="E3730" s="2">
        <f t="shared" si="203"/>
        <v>2</v>
      </c>
      <c r="F3730" s="3" t="s">
        <v>175</v>
      </c>
      <c r="G3730" s="4">
        <v>43157</v>
      </c>
      <c r="H3730" s="1">
        <v>6594617</v>
      </c>
      <c r="I3730" s="1">
        <v>666323</v>
      </c>
      <c r="J3730" s="1" t="s">
        <v>186</v>
      </c>
      <c r="K3730" s="1" t="s">
        <v>213</v>
      </c>
      <c r="L3730" s="1" t="str">
        <f t="shared" si="201"/>
        <v>Norrviken 3</v>
      </c>
      <c r="M3730" s="29" t="s">
        <v>214</v>
      </c>
      <c r="N3730" s="1">
        <v>4</v>
      </c>
      <c r="O3730" s="1">
        <v>4</v>
      </c>
      <c r="Q3730" s="1">
        <v>2.6</v>
      </c>
      <c r="R3730" s="1">
        <v>9.3000000000000007</v>
      </c>
      <c r="S3730" s="1">
        <v>66</v>
      </c>
    </row>
    <row r="3731" spans="1:38" x14ac:dyDescent="0.3">
      <c r="A3731" s="1">
        <v>62911</v>
      </c>
      <c r="B3731" s="1" t="s">
        <v>258</v>
      </c>
      <c r="C3731" s="1" t="s">
        <v>231</v>
      </c>
      <c r="D3731" s="2">
        <f t="shared" si="202"/>
        <v>2018</v>
      </c>
      <c r="E3731" s="2">
        <f t="shared" si="203"/>
        <v>2</v>
      </c>
      <c r="F3731" s="3" t="s">
        <v>175</v>
      </c>
      <c r="G3731" s="4">
        <v>43157</v>
      </c>
      <c r="H3731" s="1">
        <v>6594617</v>
      </c>
      <c r="I3731" s="1">
        <v>666323</v>
      </c>
      <c r="J3731" s="1" t="s">
        <v>186</v>
      </c>
      <c r="K3731" s="1" t="s">
        <v>213</v>
      </c>
      <c r="L3731" s="1" t="str">
        <f t="shared" si="201"/>
        <v>Norrviken 3</v>
      </c>
      <c r="M3731" s="29" t="s">
        <v>217</v>
      </c>
      <c r="N3731" s="1">
        <v>5</v>
      </c>
      <c r="O3731" s="1">
        <v>5</v>
      </c>
      <c r="Q3731" s="1">
        <v>2.8</v>
      </c>
      <c r="R3731" s="1">
        <v>8.9</v>
      </c>
      <c r="S3731" s="1">
        <v>63</v>
      </c>
    </row>
    <row r="3732" spans="1:38" x14ac:dyDescent="0.3">
      <c r="A3732" s="1">
        <v>62912</v>
      </c>
      <c r="B3732" s="1" t="s">
        <v>258</v>
      </c>
      <c r="C3732" s="1" t="s">
        <v>231</v>
      </c>
      <c r="D3732" s="2">
        <f t="shared" si="202"/>
        <v>2018</v>
      </c>
      <c r="E3732" s="2">
        <f t="shared" si="203"/>
        <v>2</v>
      </c>
      <c r="F3732" s="3" t="s">
        <v>175</v>
      </c>
      <c r="G3732" s="4">
        <v>43157</v>
      </c>
      <c r="H3732" s="1">
        <v>6594617</v>
      </c>
      <c r="I3732" s="1">
        <v>666323</v>
      </c>
      <c r="J3732" s="1" t="s">
        <v>186</v>
      </c>
      <c r="K3732" s="1" t="s">
        <v>213</v>
      </c>
      <c r="L3732" s="1" t="str">
        <f t="shared" si="201"/>
        <v>Norrviken 3</v>
      </c>
      <c r="M3732" s="29" t="s">
        <v>218</v>
      </c>
      <c r="N3732" s="1">
        <v>6</v>
      </c>
      <c r="O3732" s="1">
        <v>6</v>
      </c>
      <c r="Q3732" s="1">
        <v>3.1</v>
      </c>
      <c r="R3732" s="1">
        <v>7.4</v>
      </c>
      <c r="S3732" s="1">
        <v>53</v>
      </c>
    </row>
    <row r="3733" spans="1:38" x14ac:dyDescent="0.3">
      <c r="A3733" s="1">
        <v>62913</v>
      </c>
      <c r="B3733" s="1" t="s">
        <v>258</v>
      </c>
      <c r="C3733" s="1" t="s">
        <v>231</v>
      </c>
      <c r="D3733" s="2">
        <f t="shared" si="202"/>
        <v>2018</v>
      </c>
      <c r="E3733" s="2">
        <f t="shared" si="203"/>
        <v>2</v>
      </c>
      <c r="F3733" s="3" t="s">
        <v>175</v>
      </c>
      <c r="G3733" s="4">
        <v>43157</v>
      </c>
      <c r="H3733" s="1">
        <v>6594617</v>
      </c>
      <c r="I3733" s="1">
        <v>666323</v>
      </c>
      <c r="J3733" s="1" t="s">
        <v>186</v>
      </c>
      <c r="K3733" s="1" t="s">
        <v>213</v>
      </c>
      <c r="L3733" s="1" t="str">
        <f t="shared" si="201"/>
        <v>Norrviken 3</v>
      </c>
      <c r="M3733" s="29" t="s">
        <v>219</v>
      </c>
      <c r="N3733" s="1">
        <v>7</v>
      </c>
      <c r="O3733" s="1">
        <v>7</v>
      </c>
      <c r="Q3733" s="1">
        <v>3.3</v>
      </c>
      <c r="R3733" s="1">
        <v>6.4</v>
      </c>
      <c r="S3733" s="1">
        <v>46</v>
      </c>
    </row>
    <row r="3734" spans="1:38" x14ac:dyDescent="0.3">
      <c r="A3734" s="1">
        <v>62914</v>
      </c>
      <c r="B3734" s="1" t="s">
        <v>258</v>
      </c>
      <c r="C3734" s="1" t="s">
        <v>231</v>
      </c>
      <c r="D3734" s="2">
        <f t="shared" si="202"/>
        <v>2018</v>
      </c>
      <c r="E3734" s="2">
        <f t="shared" si="203"/>
        <v>2</v>
      </c>
      <c r="F3734" s="3" t="s">
        <v>175</v>
      </c>
      <c r="G3734" s="4">
        <v>43157</v>
      </c>
      <c r="H3734" s="1">
        <v>6594617</v>
      </c>
      <c r="I3734" s="1">
        <v>666323</v>
      </c>
      <c r="J3734" s="1" t="s">
        <v>186</v>
      </c>
      <c r="K3734" s="1" t="s">
        <v>213</v>
      </c>
      <c r="L3734" s="1" t="str">
        <f t="shared" si="201"/>
        <v>Norrviken 3</v>
      </c>
      <c r="M3734" s="29" t="s">
        <v>220</v>
      </c>
      <c r="N3734" s="1">
        <v>8</v>
      </c>
      <c r="O3734" s="1">
        <v>8</v>
      </c>
      <c r="Q3734" s="1">
        <v>3.4</v>
      </c>
      <c r="R3734" s="1">
        <v>5.0999999999999996</v>
      </c>
      <c r="S3734" s="1">
        <v>37</v>
      </c>
    </row>
    <row r="3735" spans="1:38" x14ac:dyDescent="0.3">
      <c r="A3735" s="1">
        <v>62915</v>
      </c>
      <c r="B3735" s="1" t="s">
        <v>258</v>
      </c>
      <c r="C3735" s="1" t="s">
        <v>231</v>
      </c>
      <c r="D3735" s="2">
        <f t="shared" si="202"/>
        <v>2018</v>
      </c>
      <c r="E3735" s="2">
        <f t="shared" si="203"/>
        <v>2</v>
      </c>
      <c r="F3735" s="3" t="s">
        <v>175</v>
      </c>
      <c r="G3735" s="4">
        <v>43157</v>
      </c>
      <c r="H3735" s="1">
        <v>6594617</v>
      </c>
      <c r="I3735" s="1">
        <v>666323</v>
      </c>
      <c r="J3735" s="1" t="s">
        <v>186</v>
      </c>
      <c r="K3735" s="1" t="s">
        <v>213</v>
      </c>
      <c r="L3735" s="1" t="str">
        <f t="shared" si="201"/>
        <v>Norrviken 3</v>
      </c>
      <c r="M3735" s="29" t="s">
        <v>221</v>
      </c>
      <c r="N3735" s="1">
        <v>9</v>
      </c>
      <c r="O3735" s="1">
        <v>9</v>
      </c>
      <c r="Q3735" s="1">
        <v>3.7</v>
      </c>
      <c r="R3735" s="1">
        <v>1.3</v>
      </c>
      <c r="S3735" s="1">
        <v>9</v>
      </c>
    </row>
    <row r="3736" spans="1:38" x14ac:dyDescent="0.3">
      <c r="A3736" s="1">
        <v>62916</v>
      </c>
      <c r="B3736" s="1" t="s">
        <v>258</v>
      </c>
      <c r="C3736" s="1" t="s">
        <v>231</v>
      </c>
      <c r="D3736" s="2">
        <f t="shared" si="202"/>
        <v>2018</v>
      </c>
      <c r="E3736" s="2">
        <f t="shared" si="203"/>
        <v>2</v>
      </c>
      <c r="F3736" s="3" t="s">
        <v>175</v>
      </c>
      <c r="G3736" s="4">
        <v>43157</v>
      </c>
      <c r="H3736" s="1">
        <v>6594617</v>
      </c>
      <c r="I3736" s="1">
        <v>666323</v>
      </c>
      <c r="J3736" s="1" t="s">
        <v>186</v>
      </c>
      <c r="K3736" s="1" t="s">
        <v>213</v>
      </c>
      <c r="L3736" s="1" t="str">
        <f t="shared" si="201"/>
        <v>Norrviken 3</v>
      </c>
      <c r="M3736" s="29" t="s">
        <v>222</v>
      </c>
      <c r="N3736" s="1">
        <v>10</v>
      </c>
      <c r="O3736" s="1">
        <v>10</v>
      </c>
      <c r="Q3736" s="1">
        <v>3.8</v>
      </c>
      <c r="R3736" s="1">
        <v>2</v>
      </c>
      <c r="S3736" s="1">
        <v>15</v>
      </c>
    </row>
    <row r="3737" spans="1:38" x14ac:dyDescent="0.3">
      <c r="A3737" s="1">
        <v>62917</v>
      </c>
      <c r="B3737" s="1" t="s">
        <v>258</v>
      </c>
      <c r="C3737" s="1" t="s">
        <v>231</v>
      </c>
      <c r="D3737" s="2">
        <f t="shared" si="202"/>
        <v>2018</v>
      </c>
      <c r="E3737" s="2">
        <f t="shared" si="203"/>
        <v>2</v>
      </c>
      <c r="F3737" s="3" t="s">
        <v>175</v>
      </c>
      <c r="G3737" s="4">
        <v>43157</v>
      </c>
      <c r="H3737" s="1">
        <v>6594617</v>
      </c>
      <c r="I3737" s="1">
        <v>666323</v>
      </c>
      <c r="J3737" s="1" t="s">
        <v>186</v>
      </c>
      <c r="K3737" s="1" t="s">
        <v>213</v>
      </c>
      <c r="L3737" s="1" t="str">
        <f t="shared" si="201"/>
        <v>Norrviken 3</v>
      </c>
      <c r="M3737" s="29" t="s">
        <v>184</v>
      </c>
      <c r="N3737" s="1">
        <v>11</v>
      </c>
      <c r="O3737" s="1">
        <v>11</v>
      </c>
      <c r="Q3737" s="1">
        <v>4</v>
      </c>
      <c r="R3737" s="1">
        <v>1.1000000000000001</v>
      </c>
      <c r="S3737" s="1">
        <v>8</v>
      </c>
      <c r="W3737" s="1">
        <v>57.441699999999997</v>
      </c>
      <c r="X3737" s="1">
        <v>0.15063706351933159</v>
      </c>
      <c r="Y3737" s="1">
        <v>6.0999999999999999E-2</v>
      </c>
      <c r="Z3737" s="1">
        <v>48.27</v>
      </c>
      <c r="AA3737" s="1">
        <v>3.9</v>
      </c>
      <c r="AD3737" s="1">
        <v>625.91999999999996</v>
      </c>
      <c r="AE3737" s="1">
        <v>7.36</v>
      </c>
      <c r="AK3737" s="1">
        <v>64.36</v>
      </c>
      <c r="AL3737" s="1">
        <v>1300.83</v>
      </c>
    </row>
    <row r="3738" spans="1:38" x14ac:dyDescent="0.3">
      <c r="A3738" s="1">
        <v>62918</v>
      </c>
      <c r="B3738" s="1" t="s">
        <v>258</v>
      </c>
      <c r="C3738" s="1" t="s">
        <v>231</v>
      </c>
      <c r="D3738" s="2">
        <f t="shared" si="202"/>
        <v>2018</v>
      </c>
      <c r="E3738" s="2">
        <f t="shared" si="203"/>
        <v>2</v>
      </c>
      <c r="F3738" s="3" t="s">
        <v>175</v>
      </c>
      <c r="G3738" s="4">
        <v>43157</v>
      </c>
      <c r="H3738" s="1">
        <v>6594617</v>
      </c>
      <c r="I3738" s="1">
        <v>666323</v>
      </c>
      <c r="J3738" s="1" t="s">
        <v>186</v>
      </c>
      <c r="K3738" s="1" t="s">
        <v>213</v>
      </c>
      <c r="L3738" s="1" t="str">
        <f t="shared" si="201"/>
        <v>Norrviken 3</v>
      </c>
      <c r="N3738" s="1">
        <v>11.5</v>
      </c>
      <c r="O3738" s="1">
        <v>11.5</v>
      </c>
    </row>
    <row r="3739" spans="1:38" x14ac:dyDescent="0.3">
      <c r="A3739" s="1">
        <v>62919</v>
      </c>
      <c r="B3739" s="1" t="s">
        <v>258</v>
      </c>
      <c r="C3739" s="1" t="s">
        <v>231</v>
      </c>
      <c r="D3739" s="2">
        <f t="shared" si="202"/>
        <v>2018</v>
      </c>
      <c r="E3739" s="2">
        <f t="shared" si="203"/>
        <v>2</v>
      </c>
      <c r="F3739" s="3" t="s">
        <v>175</v>
      </c>
      <c r="G3739" s="4">
        <v>43157</v>
      </c>
      <c r="H3739" s="1">
        <v>6597022</v>
      </c>
      <c r="I3739" s="1">
        <v>665518</v>
      </c>
      <c r="J3739" s="1" t="s">
        <v>186</v>
      </c>
      <c r="K3739" s="1" t="s">
        <v>214</v>
      </c>
      <c r="L3739" s="1" t="str">
        <f t="shared" si="201"/>
        <v>Norrviken 4</v>
      </c>
      <c r="M3739" s="1" t="s">
        <v>177</v>
      </c>
      <c r="N3739" s="1">
        <v>0.5</v>
      </c>
      <c r="O3739" s="1">
        <v>0.5</v>
      </c>
      <c r="P3739" s="1">
        <v>1.7</v>
      </c>
      <c r="Q3739" s="1">
        <v>0.6</v>
      </c>
      <c r="R3739" s="1">
        <v>12</v>
      </c>
      <c r="S3739" s="1">
        <v>80</v>
      </c>
      <c r="W3739" s="1">
        <v>114.97969999999999</v>
      </c>
      <c r="X3739" s="1">
        <v>0.29310286576108835</v>
      </c>
      <c r="Y3739" s="1">
        <v>0.08</v>
      </c>
      <c r="Z3739" s="1">
        <v>3.51</v>
      </c>
      <c r="AA3739" s="1">
        <v>4.7</v>
      </c>
      <c r="AD3739" s="1">
        <v>439.27</v>
      </c>
      <c r="AE3739" s="1">
        <v>7.47</v>
      </c>
      <c r="AK3739" s="1">
        <v>32.4</v>
      </c>
      <c r="AL3739" s="1">
        <v>1209.5</v>
      </c>
    </row>
    <row r="3740" spans="1:38" x14ac:dyDescent="0.3">
      <c r="A3740" s="1">
        <v>62920</v>
      </c>
      <c r="B3740" s="1" t="s">
        <v>258</v>
      </c>
      <c r="C3740" s="1" t="s">
        <v>231</v>
      </c>
      <c r="D3740" s="2">
        <f t="shared" si="202"/>
        <v>2018</v>
      </c>
      <c r="E3740" s="2">
        <f t="shared" si="203"/>
        <v>2</v>
      </c>
      <c r="F3740" s="3" t="s">
        <v>175</v>
      </c>
      <c r="G3740" s="4">
        <v>43157</v>
      </c>
      <c r="H3740" s="1">
        <v>6597022</v>
      </c>
      <c r="I3740" s="1">
        <v>665518</v>
      </c>
      <c r="J3740" s="1" t="s">
        <v>186</v>
      </c>
      <c r="K3740" s="1" t="s">
        <v>214</v>
      </c>
      <c r="L3740" s="1" t="str">
        <f t="shared" si="201"/>
        <v>Norrviken 4</v>
      </c>
      <c r="M3740" s="1" t="s">
        <v>211</v>
      </c>
      <c r="N3740" s="1">
        <v>1</v>
      </c>
      <c r="O3740" s="1">
        <v>1</v>
      </c>
      <c r="Q3740" s="1">
        <v>1.8</v>
      </c>
      <c r="R3740" s="1">
        <v>9.6</v>
      </c>
      <c r="S3740" s="1">
        <v>66</v>
      </c>
    </row>
    <row r="3741" spans="1:38" x14ac:dyDescent="0.3">
      <c r="A3741" s="1">
        <v>62921</v>
      </c>
      <c r="B3741" s="1" t="s">
        <v>258</v>
      </c>
      <c r="C3741" s="1" t="s">
        <v>231</v>
      </c>
      <c r="D3741" s="2">
        <f t="shared" si="202"/>
        <v>2018</v>
      </c>
      <c r="E3741" s="2">
        <f t="shared" si="203"/>
        <v>2</v>
      </c>
      <c r="F3741" s="3" t="s">
        <v>175</v>
      </c>
      <c r="G3741" s="4">
        <v>43157</v>
      </c>
      <c r="H3741" s="1">
        <v>6597022</v>
      </c>
      <c r="I3741" s="1">
        <v>665518</v>
      </c>
      <c r="J3741" s="1" t="s">
        <v>186</v>
      </c>
      <c r="K3741" s="1" t="s">
        <v>214</v>
      </c>
      <c r="L3741" s="1" t="str">
        <f t="shared" si="201"/>
        <v>Norrviken 4</v>
      </c>
      <c r="M3741" s="1" t="s">
        <v>184</v>
      </c>
      <c r="N3741" s="1">
        <v>2</v>
      </c>
      <c r="O3741" s="1">
        <v>2</v>
      </c>
      <c r="Q3741" s="1">
        <v>2</v>
      </c>
      <c r="R3741" s="1">
        <v>9.6</v>
      </c>
      <c r="S3741" s="1">
        <v>67</v>
      </c>
      <c r="W3741" s="1">
        <v>62.862099999999998</v>
      </c>
      <c r="X3741" s="1">
        <v>0.18850914576638997</v>
      </c>
      <c r="Y3741" s="1">
        <v>6.8000000000000005E-2</v>
      </c>
      <c r="Z3741" s="1">
        <v>39.83</v>
      </c>
      <c r="AA3741" s="1">
        <v>3.6</v>
      </c>
      <c r="AD3741" s="1">
        <v>550.34</v>
      </c>
      <c r="AE3741" s="1">
        <v>7.49</v>
      </c>
      <c r="AK3741" s="1">
        <v>59.49</v>
      </c>
      <c r="AL3741" s="1">
        <v>1235.54</v>
      </c>
    </row>
    <row r="3742" spans="1:38" x14ac:dyDescent="0.3">
      <c r="A3742" s="1">
        <v>62922</v>
      </c>
      <c r="B3742" s="1" t="s">
        <v>258</v>
      </c>
      <c r="C3742" s="1" t="s">
        <v>231</v>
      </c>
      <c r="D3742" s="2">
        <f t="shared" si="202"/>
        <v>2018</v>
      </c>
      <c r="E3742" s="2">
        <f t="shared" si="203"/>
        <v>2</v>
      </c>
      <c r="F3742" s="3" t="s">
        <v>175</v>
      </c>
      <c r="G3742" s="4">
        <v>43157</v>
      </c>
      <c r="H3742" s="1">
        <v>6599384</v>
      </c>
      <c r="I3742" s="1">
        <v>662805</v>
      </c>
      <c r="J3742" s="1" t="s">
        <v>182</v>
      </c>
      <c r="K3742" s="1"/>
      <c r="L3742" s="1" t="str">
        <f t="shared" si="201"/>
        <v xml:space="preserve">Edssjön </v>
      </c>
      <c r="M3742" s="1" t="s">
        <v>177</v>
      </c>
      <c r="N3742" s="1">
        <v>0.5</v>
      </c>
      <c r="O3742" s="1">
        <v>0.5</v>
      </c>
      <c r="P3742" s="1">
        <v>1.4</v>
      </c>
      <c r="Q3742" s="1">
        <v>0.7</v>
      </c>
      <c r="R3742" s="1">
        <v>10.199999999999999</v>
      </c>
      <c r="S3742" s="1">
        <v>70</v>
      </c>
      <c r="W3742" s="1">
        <v>54.6751</v>
      </c>
      <c r="X3742" s="1">
        <v>0.13423659558582871</v>
      </c>
      <c r="Y3742" s="1">
        <v>9.4E-2</v>
      </c>
      <c r="Z3742" s="1">
        <v>26.6</v>
      </c>
      <c r="AA3742" s="1">
        <v>5.5</v>
      </c>
      <c r="AD3742" s="1">
        <v>597.14</v>
      </c>
      <c r="AE3742" s="1">
        <v>7.45</v>
      </c>
      <c r="AK3742" s="1">
        <v>53.59</v>
      </c>
      <c r="AL3742" s="1">
        <v>1359.75</v>
      </c>
    </row>
    <row r="3743" spans="1:38" x14ac:dyDescent="0.3">
      <c r="A3743" s="1">
        <v>62923</v>
      </c>
      <c r="B3743" s="1" t="s">
        <v>258</v>
      </c>
      <c r="C3743" s="1" t="s">
        <v>231</v>
      </c>
      <c r="D3743" s="2">
        <f t="shared" si="202"/>
        <v>2018</v>
      </c>
      <c r="E3743" s="2">
        <f t="shared" si="203"/>
        <v>2</v>
      </c>
      <c r="F3743" s="3" t="s">
        <v>175</v>
      </c>
      <c r="G3743" s="4">
        <v>43157</v>
      </c>
      <c r="H3743" s="1">
        <v>6599384</v>
      </c>
      <c r="I3743" s="1">
        <v>662805</v>
      </c>
      <c r="J3743" s="1" t="s">
        <v>182</v>
      </c>
      <c r="K3743" s="1"/>
      <c r="L3743" s="1" t="str">
        <f t="shared" si="201"/>
        <v xml:space="preserve">Edssjön </v>
      </c>
      <c r="M3743" s="1" t="s">
        <v>211</v>
      </c>
      <c r="N3743" s="1">
        <v>1</v>
      </c>
      <c r="O3743" s="1">
        <v>1</v>
      </c>
      <c r="Q3743" s="1">
        <v>1.1000000000000001</v>
      </c>
      <c r="R3743" s="1">
        <v>9.6999999999999993</v>
      </c>
      <c r="S3743" s="1">
        <v>67</v>
      </c>
    </row>
    <row r="3744" spans="1:38" x14ac:dyDescent="0.3">
      <c r="A3744" s="1">
        <v>62924</v>
      </c>
      <c r="B3744" s="1" t="s">
        <v>258</v>
      </c>
      <c r="C3744" s="1" t="s">
        <v>231</v>
      </c>
      <c r="D3744" s="2">
        <f t="shared" si="202"/>
        <v>2018</v>
      </c>
      <c r="E3744" s="2">
        <f t="shared" si="203"/>
        <v>2</v>
      </c>
      <c r="F3744" s="3" t="s">
        <v>175</v>
      </c>
      <c r="G3744" s="4">
        <v>43157</v>
      </c>
      <c r="H3744" s="1">
        <v>6599384</v>
      </c>
      <c r="I3744" s="1">
        <v>662805</v>
      </c>
      <c r="J3744" s="1" t="s">
        <v>182</v>
      </c>
      <c r="K3744" s="1"/>
      <c r="L3744" s="1" t="str">
        <f t="shared" si="201"/>
        <v xml:space="preserve">Edssjön </v>
      </c>
      <c r="M3744" s="1" t="s">
        <v>212</v>
      </c>
      <c r="N3744" s="1">
        <v>2</v>
      </c>
      <c r="O3744" s="1">
        <v>2</v>
      </c>
      <c r="Q3744" s="1">
        <v>2</v>
      </c>
      <c r="R3744" s="1">
        <v>7.3</v>
      </c>
      <c r="S3744" s="1">
        <v>52</v>
      </c>
    </row>
    <row r="3745" spans="1:38" x14ac:dyDescent="0.3">
      <c r="A3745" s="1">
        <v>62925</v>
      </c>
      <c r="B3745" s="1" t="s">
        <v>258</v>
      </c>
      <c r="C3745" s="1" t="s">
        <v>231</v>
      </c>
      <c r="D3745" s="2">
        <f t="shared" si="202"/>
        <v>2018</v>
      </c>
      <c r="E3745" s="2">
        <f t="shared" si="203"/>
        <v>2</v>
      </c>
      <c r="F3745" s="3" t="s">
        <v>175</v>
      </c>
      <c r="G3745" s="4">
        <v>43157</v>
      </c>
      <c r="H3745" s="1">
        <v>6599384</v>
      </c>
      <c r="I3745" s="1">
        <v>662805</v>
      </c>
      <c r="J3745" s="1" t="s">
        <v>182</v>
      </c>
      <c r="K3745" s="1"/>
      <c r="L3745" s="1" t="str">
        <f t="shared" si="201"/>
        <v xml:space="preserve">Edssjön </v>
      </c>
      <c r="M3745" s="1" t="s">
        <v>213</v>
      </c>
      <c r="N3745" s="1">
        <v>3</v>
      </c>
      <c r="O3745" s="1">
        <v>3</v>
      </c>
      <c r="Q3745" s="1">
        <v>3.1</v>
      </c>
      <c r="R3745" s="1">
        <v>2.5</v>
      </c>
      <c r="S3745" s="1">
        <v>18</v>
      </c>
    </row>
    <row r="3746" spans="1:38" x14ac:dyDescent="0.3">
      <c r="A3746" s="1">
        <v>62926</v>
      </c>
      <c r="B3746" s="1" t="s">
        <v>258</v>
      </c>
      <c r="C3746" s="1" t="s">
        <v>231</v>
      </c>
      <c r="D3746" s="2">
        <f t="shared" si="202"/>
        <v>2018</v>
      </c>
      <c r="E3746" s="2">
        <f t="shared" si="203"/>
        <v>2</v>
      </c>
      <c r="F3746" s="3" t="s">
        <v>175</v>
      </c>
      <c r="G3746" s="4">
        <v>43157</v>
      </c>
      <c r="H3746" s="1">
        <v>6599384</v>
      </c>
      <c r="I3746" s="1">
        <v>662805</v>
      </c>
      <c r="J3746" s="1" t="s">
        <v>182</v>
      </c>
      <c r="K3746" s="1"/>
      <c r="L3746" s="1" t="str">
        <f t="shared" si="201"/>
        <v xml:space="preserve">Edssjön </v>
      </c>
      <c r="M3746" s="1" t="s">
        <v>214</v>
      </c>
      <c r="N3746" s="1">
        <v>4</v>
      </c>
      <c r="O3746" s="1">
        <v>4</v>
      </c>
      <c r="Q3746" s="1">
        <v>3.8</v>
      </c>
      <c r="R3746" s="1">
        <v>0.5</v>
      </c>
      <c r="S3746" s="1">
        <v>4</v>
      </c>
    </row>
    <row r="3747" spans="1:38" x14ac:dyDescent="0.3">
      <c r="A3747" s="1">
        <v>62927</v>
      </c>
      <c r="B3747" s="1" t="s">
        <v>258</v>
      </c>
      <c r="C3747" s="1" t="s">
        <v>231</v>
      </c>
      <c r="D3747" s="2">
        <f t="shared" si="202"/>
        <v>2018</v>
      </c>
      <c r="E3747" s="2">
        <f t="shared" si="203"/>
        <v>2</v>
      </c>
      <c r="F3747" s="3" t="s">
        <v>175</v>
      </c>
      <c r="G3747" s="4">
        <v>43157</v>
      </c>
      <c r="H3747" s="1">
        <v>6599384</v>
      </c>
      <c r="I3747" s="1">
        <v>662805</v>
      </c>
      <c r="J3747" s="1" t="s">
        <v>182</v>
      </c>
      <c r="K3747" s="1"/>
      <c r="L3747" s="1" t="str">
        <f t="shared" si="201"/>
        <v xml:space="preserve">Edssjön </v>
      </c>
      <c r="M3747" s="1" t="s">
        <v>184</v>
      </c>
      <c r="N3747" s="1">
        <v>4.5</v>
      </c>
      <c r="O3747" s="1">
        <v>4.5</v>
      </c>
      <c r="Q3747" s="1">
        <v>4.5999999999999996</v>
      </c>
      <c r="R3747" s="1">
        <v>0.2</v>
      </c>
      <c r="S3747" s="1">
        <v>2</v>
      </c>
      <c r="W3747" s="1">
        <v>421.1157</v>
      </c>
      <c r="X3747" s="1">
        <v>1.1075942754002439</v>
      </c>
      <c r="Y3747" s="1">
        <v>0.128</v>
      </c>
      <c r="Z3747" s="1">
        <v>180.38</v>
      </c>
      <c r="AA3747" s="1">
        <v>7.2</v>
      </c>
      <c r="AD3747" s="1">
        <v>180.3</v>
      </c>
      <c r="AE3747" s="1">
        <v>7.34</v>
      </c>
      <c r="AK3747" s="1">
        <v>223.18</v>
      </c>
      <c r="AL3747" s="1">
        <v>1468.63</v>
      </c>
    </row>
    <row r="3748" spans="1:38" x14ac:dyDescent="0.3">
      <c r="A3748" s="1">
        <v>62928</v>
      </c>
      <c r="B3748" s="1" t="s">
        <v>258</v>
      </c>
      <c r="C3748" s="1" t="s">
        <v>231</v>
      </c>
      <c r="D3748" s="2">
        <f t="shared" si="202"/>
        <v>2018</v>
      </c>
      <c r="E3748" s="2">
        <f t="shared" si="203"/>
        <v>2</v>
      </c>
      <c r="F3748" s="3" t="s">
        <v>175</v>
      </c>
      <c r="G3748" s="4">
        <v>43157</v>
      </c>
      <c r="H3748" s="1">
        <v>6605701</v>
      </c>
      <c r="I3748" s="1">
        <v>661059</v>
      </c>
      <c r="J3748" s="1" t="s">
        <v>187</v>
      </c>
      <c r="K3748" s="1"/>
      <c r="L3748" s="1" t="str">
        <f t="shared" si="201"/>
        <v xml:space="preserve">Oxundasjön </v>
      </c>
      <c r="M3748" s="1" t="s">
        <v>177</v>
      </c>
      <c r="N3748" s="1">
        <v>0.5</v>
      </c>
      <c r="O3748" s="1">
        <v>0.5</v>
      </c>
      <c r="P3748" s="1">
        <v>1</v>
      </c>
      <c r="Q3748" s="1">
        <v>0.8</v>
      </c>
      <c r="R3748" s="1">
        <v>10.7</v>
      </c>
      <c r="S3748" s="1">
        <v>73</v>
      </c>
      <c r="W3748" s="1">
        <v>26.2849</v>
      </c>
      <c r="X3748" s="1">
        <v>7.1336835948344751E-2</v>
      </c>
      <c r="Y3748" s="1">
        <v>0.17199999999999999</v>
      </c>
      <c r="Z3748" s="1">
        <v>21.29</v>
      </c>
      <c r="AA3748" s="1">
        <v>10.7</v>
      </c>
      <c r="AD3748" s="1">
        <v>675.02</v>
      </c>
      <c r="AE3748" s="1">
        <v>7.49</v>
      </c>
      <c r="AK3748" s="1">
        <v>57.13</v>
      </c>
      <c r="AL3748" s="1">
        <v>1528.72</v>
      </c>
    </row>
    <row r="3749" spans="1:38" x14ac:dyDescent="0.3">
      <c r="A3749" s="1">
        <v>62929</v>
      </c>
      <c r="B3749" s="1" t="s">
        <v>258</v>
      </c>
      <c r="C3749" s="1" t="s">
        <v>231</v>
      </c>
      <c r="D3749" s="2">
        <f t="shared" si="202"/>
        <v>2018</v>
      </c>
      <c r="E3749" s="2">
        <f t="shared" si="203"/>
        <v>2</v>
      </c>
      <c r="F3749" s="3" t="s">
        <v>175</v>
      </c>
      <c r="G3749" s="4">
        <v>43157</v>
      </c>
      <c r="H3749" s="1">
        <v>6605701</v>
      </c>
      <c r="I3749" s="1">
        <v>661059</v>
      </c>
      <c r="J3749" s="1" t="s">
        <v>187</v>
      </c>
      <c r="K3749" s="1"/>
      <c r="L3749" s="1" t="str">
        <f t="shared" si="201"/>
        <v xml:space="preserve">Oxundasjön </v>
      </c>
      <c r="M3749" s="1" t="s">
        <v>211</v>
      </c>
      <c r="N3749" s="1">
        <v>1</v>
      </c>
      <c r="O3749" s="1">
        <v>1</v>
      </c>
      <c r="Q3749" s="1">
        <v>1.2</v>
      </c>
      <c r="R3749" s="1">
        <v>10</v>
      </c>
      <c r="S3749" s="1">
        <v>69</v>
      </c>
    </row>
    <row r="3750" spans="1:38" x14ac:dyDescent="0.3">
      <c r="A3750" s="1">
        <v>62930</v>
      </c>
      <c r="B3750" s="1" t="s">
        <v>258</v>
      </c>
      <c r="C3750" s="1" t="s">
        <v>231</v>
      </c>
      <c r="D3750" s="2">
        <f t="shared" si="202"/>
        <v>2018</v>
      </c>
      <c r="E3750" s="2">
        <f t="shared" si="203"/>
        <v>2</v>
      </c>
      <c r="F3750" s="3" t="s">
        <v>175</v>
      </c>
      <c r="G3750" s="4">
        <v>43157</v>
      </c>
      <c r="H3750" s="1">
        <v>6605701</v>
      </c>
      <c r="I3750" s="1">
        <v>661059</v>
      </c>
      <c r="J3750" s="1" t="s">
        <v>187</v>
      </c>
      <c r="K3750" s="1"/>
      <c r="L3750" s="1" t="str">
        <f t="shared" si="201"/>
        <v xml:space="preserve">Oxundasjön </v>
      </c>
      <c r="M3750" s="1" t="s">
        <v>212</v>
      </c>
      <c r="N3750" s="1">
        <v>2</v>
      </c>
      <c r="O3750" s="1">
        <v>2</v>
      </c>
      <c r="Q3750" s="1">
        <v>1.3</v>
      </c>
      <c r="R3750" s="1">
        <v>9.6999999999999993</v>
      </c>
      <c r="S3750" s="1">
        <v>66</v>
      </c>
    </row>
    <row r="3751" spans="1:38" x14ac:dyDescent="0.3">
      <c r="A3751" s="1">
        <v>62931</v>
      </c>
      <c r="B3751" s="1" t="s">
        <v>258</v>
      </c>
      <c r="C3751" s="1" t="s">
        <v>231</v>
      </c>
      <c r="D3751" s="2">
        <f t="shared" si="202"/>
        <v>2018</v>
      </c>
      <c r="E3751" s="2">
        <f t="shared" si="203"/>
        <v>2</v>
      </c>
      <c r="F3751" s="3" t="s">
        <v>175</v>
      </c>
      <c r="G3751" s="4">
        <v>43157</v>
      </c>
      <c r="H3751" s="1">
        <v>6605701</v>
      </c>
      <c r="I3751" s="1">
        <v>661059</v>
      </c>
      <c r="J3751" s="1" t="s">
        <v>187</v>
      </c>
      <c r="K3751" s="1"/>
      <c r="L3751" s="1" t="str">
        <f t="shared" si="201"/>
        <v xml:space="preserve">Oxundasjön </v>
      </c>
      <c r="M3751" s="1" t="s">
        <v>213</v>
      </c>
      <c r="N3751" s="1">
        <v>3</v>
      </c>
      <c r="O3751" s="1">
        <v>3</v>
      </c>
      <c r="Q3751" s="1">
        <v>2</v>
      </c>
      <c r="R3751" s="1">
        <v>7.5</v>
      </c>
      <c r="S3751" s="1">
        <v>52</v>
      </c>
    </row>
    <row r="3752" spans="1:38" x14ac:dyDescent="0.3">
      <c r="A3752" s="1">
        <v>62932</v>
      </c>
      <c r="B3752" s="1" t="s">
        <v>258</v>
      </c>
      <c r="C3752" s="1" t="s">
        <v>231</v>
      </c>
      <c r="D3752" s="2">
        <f t="shared" si="202"/>
        <v>2018</v>
      </c>
      <c r="E3752" s="2">
        <f t="shared" si="203"/>
        <v>2</v>
      </c>
      <c r="F3752" s="3" t="s">
        <v>175</v>
      </c>
      <c r="G3752" s="4">
        <v>43157</v>
      </c>
      <c r="H3752" s="1">
        <v>6605701</v>
      </c>
      <c r="I3752" s="1">
        <v>661059</v>
      </c>
      <c r="J3752" s="1" t="s">
        <v>187</v>
      </c>
      <c r="K3752" s="1"/>
      <c r="L3752" s="1" t="str">
        <f t="shared" si="201"/>
        <v xml:space="preserve">Oxundasjön </v>
      </c>
      <c r="M3752" s="1" t="s">
        <v>214</v>
      </c>
      <c r="N3752" s="1">
        <v>4</v>
      </c>
      <c r="O3752" s="1">
        <v>4</v>
      </c>
      <c r="Q3752" s="1">
        <v>3.5</v>
      </c>
      <c r="R3752" s="1">
        <v>2.2999999999999998</v>
      </c>
      <c r="S3752" s="1">
        <v>16</v>
      </c>
    </row>
    <row r="3753" spans="1:38" x14ac:dyDescent="0.3">
      <c r="A3753" s="1">
        <v>62933</v>
      </c>
      <c r="B3753" s="1" t="s">
        <v>258</v>
      </c>
      <c r="C3753" s="1" t="s">
        <v>231</v>
      </c>
      <c r="D3753" s="2">
        <f t="shared" si="202"/>
        <v>2018</v>
      </c>
      <c r="E3753" s="2">
        <f t="shared" si="203"/>
        <v>2</v>
      </c>
      <c r="F3753" s="3" t="s">
        <v>175</v>
      </c>
      <c r="G3753" s="4">
        <v>43157</v>
      </c>
      <c r="H3753" s="1">
        <v>6605701</v>
      </c>
      <c r="I3753" s="1">
        <v>661059</v>
      </c>
      <c r="J3753" s="1" t="s">
        <v>187</v>
      </c>
      <c r="K3753" s="1"/>
      <c r="L3753" s="1" t="str">
        <f t="shared" si="201"/>
        <v xml:space="preserve">Oxundasjön </v>
      </c>
      <c r="M3753" s="1" t="s">
        <v>217</v>
      </c>
      <c r="N3753" s="1">
        <v>5</v>
      </c>
      <c r="O3753" s="1">
        <v>5</v>
      </c>
      <c r="Q3753" s="1">
        <v>4.4000000000000004</v>
      </c>
      <c r="R3753" s="1">
        <v>0.5</v>
      </c>
      <c r="S3753" s="1">
        <v>4</v>
      </c>
    </row>
    <row r="3754" spans="1:38" x14ac:dyDescent="0.3">
      <c r="A3754" s="1">
        <v>62934</v>
      </c>
      <c r="B3754" s="1" t="s">
        <v>258</v>
      </c>
      <c r="C3754" s="1" t="s">
        <v>231</v>
      </c>
      <c r="D3754" s="2">
        <f t="shared" si="202"/>
        <v>2018</v>
      </c>
      <c r="E3754" s="2">
        <f t="shared" si="203"/>
        <v>2</v>
      </c>
      <c r="F3754" s="3" t="s">
        <v>175</v>
      </c>
      <c r="G3754" s="4">
        <v>43157</v>
      </c>
      <c r="H3754" s="1">
        <v>6605701</v>
      </c>
      <c r="I3754" s="1">
        <v>661059</v>
      </c>
      <c r="J3754" s="1" t="s">
        <v>187</v>
      </c>
      <c r="K3754" s="1"/>
      <c r="L3754" s="1" t="str">
        <f t="shared" si="201"/>
        <v xml:space="preserve">Oxundasjön </v>
      </c>
      <c r="M3754" s="1" t="s">
        <v>184</v>
      </c>
      <c r="N3754" s="1">
        <v>5.5</v>
      </c>
      <c r="O3754" s="1">
        <v>5.5</v>
      </c>
      <c r="Q3754" s="1">
        <v>4.5999999999999996</v>
      </c>
      <c r="R3754" s="1">
        <v>0.4</v>
      </c>
      <c r="S3754" s="1">
        <v>3</v>
      </c>
      <c r="W3754" s="1">
        <v>73.053399999999996</v>
      </c>
      <c r="X3754" s="1">
        <v>0.25307912486979639</v>
      </c>
      <c r="Y3754" s="1">
        <v>0.13900000000000001</v>
      </c>
      <c r="Z3754" s="1">
        <v>26.04</v>
      </c>
      <c r="AA3754" s="1">
        <v>13</v>
      </c>
      <c r="AD3754" s="1">
        <v>840.16</v>
      </c>
      <c r="AE3754" s="1">
        <v>7.46</v>
      </c>
      <c r="AK3754" s="1">
        <v>61.6</v>
      </c>
      <c r="AL3754" s="1">
        <v>1653.2</v>
      </c>
    </row>
    <row r="3755" spans="1:38" x14ac:dyDescent="0.3">
      <c r="A3755" s="1">
        <v>66352</v>
      </c>
      <c r="B3755" s="1" t="s">
        <v>258</v>
      </c>
      <c r="C3755" s="1" t="s">
        <v>231</v>
      </c>
      <c r="D3755" s="2">
        <f t="shared" si="202"/>
        <v>2018</v>
      </c>
      <c r="E3755" s="2">
        <f t="shared" si="203"/>
        <v>8</v>
      </c>
      <c r="F3755" s="3" t="s">
        <v>179</v>
      </c>
      <c r="G3755" s="4">
        <v>43339</v>
      </c>
      <c r="H3755" s="1">
        <v>6598995</v>
      </c>
      <c r="I3755" s="1">
        <v>667864</v>
      </c>
      <c r="J3755" s="1" t="s">
        <v>186</v>
      </c>
      <c r="K3755" s="1" t="s">
        <v>211</v>
      </c>
      <c r="L3755" s="1" t="str">
        <f t="shared" si="201"/>
        <v>Norrviken 1</v>
      </c>
      <c r="M3755" s="1" t="s">
        <v>177</v>
      </c>
      <c r="N3755" s="1">
        <v>0.5</v>
      </c>
      <c r="O3755" s="1">
        <v>0.5</v>
      </c>
      <c r="P3755" s="1">
        <v>1.2</v>
      </c>
      <c r="Q3755" s="1">
        <v>18.899999999999999</v>
      </c>
      <c r="R3755" s="1">
        <v>9.6999999999999993</v>
      </c>
      <c r="S3755" s="1">
        <v>104</v>
      </c>
      <c r="V3755" s="1">
        <v>2.4043256917</v>
      </c>
      <c r="W3755" s="1">
        <v>0.84860000000000002</v>
      </c>
      <c r="X3755" s="1">
        <v>2.8588879573709602E-2</v>
      </c>
      <c r="Y3755" s="1">
        <v>5.3999999999999999E-2</v>
      </c>
      <c r="Z3755" s="1">
        <v>42.19</v>
      </c>
      <c r="AA3755" s="1">
        <v>8.6999999999999993</v>
      </c>
      <c r="AB3755" s="1">
        <v>29.222639999999998</v>
      </c>
      <c r="AD3755" s="1">
        <v>0</v>
      </c>
      <c r="AE3755" s="1">
        <v>7.98</v>
      </c>
      <c r="AK3755" s="1">
        <v>113.935</v>
      </c>
      <c r="AL3755" s="1">
        <v>983.25</v>
      </c>
    </row>
    <row r="3756" spans="1:38" x14ac:dyDescent="0.3">
      <c r="A3756" s="1">
        <v>66353</v>
      </c>
      <c r="B3756" s="1" t="s">
        <v>258</v>
      </c>
      <c r="C3756" s="1" t="s">
        <v>231</v>
      </c>
      <c r="D3756" s="2">
        <f t="shared" si="202"/>
        <v>2018</v>
      </c>
      <c r="E3756" s="2">
        <f t="shared" si="203"/>
        <v>8</v>
      </c>
      <c r="F3756" s="3" t="s">
        <v>179</v>
      </c>
      <c r="G3756" s="4">
        <v>43339</v>
      </c>
      <c r="H3756" s="1">
        <v>6598995</v>
      </c>
      <c r="I3756" s="1">
        <v>667864</v>
      </c>
      <c r="J3756" s="1" t="s">
        <v>186</v>
      </c>
      <c r="K3756" s="1" t="s">
        <v>211</v>
      </c>
      <c r="L3756" s="1" t="str">
        <f t="shared" si="201"/>
        <v>Norrviken 1</v>
      </c>
      <c r="M3756" s="1" t="s">
        <v>211</v>
      </c>
      <c r="N3756" s="1">
        <v>1</v>
      </c>
      <c r="O3756" s="1">
        <v>1</v>
      </c>
      <c r="Q3756" s="1">
        <v>18.899999999999999</v>
      </c>
      <c r="R3756" s="1">
        <v>9.6</v>
      </c>
      <c r="S3756" s="1">
        <v>104</v>
      </c>
    </row>
    <row r="3757" spans="1:38" x14ac:dyDescent="0.3">
      <c r="A3757" s="1">
        <v>66354</v>
      </c>
      <c r="B3757" s="1" t="s">
        <v>258</v>
      </c>
      <c r="C3757" s="1" t="s">
        <v>231</v>
      </c>
      <c r="D3757" s="2">
        <f t="shared" si="202"/>
        <v>2018</v>
      </c>
      <c r="E3757" s="2">
        <f t="shared" si="203"/>
        <v>8</v>
      </c>
      <c r="F3757" s="3" t="s">
        <v>179</v>
      </c>
      <c r="G3757" s="4">
        <v>43339</v>
      </c>
      <c r="H3757" s="1">
        <v>6598995</v>
      </c>
      <c r="I3757" s="1">
        <v>667864</v>
      </c>
      <c r="J3757" s="1" t="s">
        <v>186</v>
      </c>
      <c r="K3757" s="1" t="s">
        <v>211</v>
      </c>
      <c r="L3757" s="1" t="str">
        <f t="shared" si="201"/>
        <v>Norrviken 1</v>
      </c>
      <c r="M3757" s="1" t="s">
        <v>212</v>
      </c>
      <c r="N3757" s="1">
        <v>2</v>
      </c>
      <c r="O3757" s="1">
        <v>2</v>
      </c>
      <c r="Q3757" s="1">
        <v>18.7</v>
      </c>
      <c r="R3757" s="1">
        <v>8.9</v>
      </c>
      <c r="S3757" s="1">
        <v>96</v>
      </c>
    </row>
    <row r="3758" spans="1:38" x14ac:dyDescent="0.3">
      <c r="A3758" s="1">
        <v>66355</v>
      </c>
      <c r="B3758" s="1" t="s">
        <v>258</v>
      </c>
      <c r="C3758" s="1" t="s">
        <v>231</v>
      </c>
      <c r="D3758" s="2">
        <f t="shared" si="202"/>
        <v>2018</v>
      </c>
      <c r="E3758" s="2">
        <f t="shared" si="203"/>
        <v>8</v>
      </c>
      <c r="F3758" s="3" t="s">
        <v>179</v>
      </c>
      <c r="G3758" s="4">
        <v>43339</v>
      </c>
      <c r="H3758" s="1">
        <v>6598995</v>
      </c>
      <c r="I3758" s="1">
        <v>667864</v>
      </c>
      <c r="J3758" s="1" t="s">
        <v>186</v>
      </c>
      <c r="K3758" s="1" t="s">
        <v>211</v>
      </c>
      <c r="L3758" s="1" t="str">
        <f t="shared" si="201"/>
        <v>Norrviken 1</v>
      </c>
      <c r="M3758" s="1" t="s">
        <v>184</v>
      </c>
      <c r="N3758" s="1">
        <v>2.5</v>
      </c>
      <c r="O3758" s="1">
        <v>2.5</v>
      </c>
      <c r="Q3758" s="1">
        <v>18.600000000000001</v>
      </c>
      <c r="R3758" s="1">
        <v>8.6999999999999993</v>
      </c>
      <c r="S3758" s="1">
        <v>94</v>
      </c>
      <c r="V3758" s="1">
        <v>2.4624948616000002</v>
      </c>
      <c r="W3758" s="1">
        <v>1.0679000000000001</v>
      </c>
      <c r="X3758" s="1">
        <v>4.205776636214948E-2</v>
      </c>
      <c r="Y3758" s="1">
        <v>5.2999999999999999E-2</v>
      </c>
      <c r="Z3758" s="1">
        <v>42.01</v>
      </c>
      <c r="AA3758" s="1">
        <v>10.199999999999999</v>
      </c>
      <c r="AD3758" s="1">
        <v>7.0000000000000007E-2</v>
      </c>
      <c r="AE3758" s="1">
        <v>8.06</v>
      </c>
      <c r="AK3758" s="1">
        <v>119.565</v>
      </c>
      <c r="AL3758" s="1">
        <v>1015.23</v>
      </c>
    </row>
    <row r="3759" spans="1:38" x14ac:dyDescent="0.3">
      <c r="A3759" s="1">
        <v>66356</v>
      </c>
      <c r="B3759" s="1" t="s">
        <v>258</v>
      </c>
      <c r="C3759" s="1" t="s">
        <v>231</v>
      </c>
      <c r="D3759" s="2">
        <f t="shared" si="202"/>
        <v>2018</v>
      </c>
      <c r="E3759" s="2">
        <f t="shared" si="203"/>
        <v>8</v>
      </c>
      <c r="F3759" s="3" t="s">
        <v>179</v>
      </c>
      <c r="G3759" s="4">
        <v>43339</v>
      </c>
      <c r="J3759" s="1" t="s">
        <v>186</v>
      </c>
      <c r="K3759" s="1" t="s">
        <v>211</v>
      </c>
      <c r="L3759" s="1" t="str">
        <f t="shared" si="201"/>
        <v>Norrviken 1</v>
      </c>
      <c r="M3759" s="1" t="s">
        <v>225</v>
      </c>
      <c r="N3759" s="1">
        <v>2</v>
      </c>
      <c r="O3759" s="1">
        <v>0</v>
      </c>
    </row>
    <row r="3760" spans="1:38" x14ac:dyDescent="0.3">
      <c r="A3760" s="1">
        <v>66357</v>
      </c>
      <c r="B3760" s="1" t="s">
        <v>258</v>
      </c>
      <c r="C3760" s="1" t="s">
        <v>231</v>
      </c>
      <c r="D3760" s="2">
        <f t="shared" si="202"/>
        <v>2018</v>
      </c>
      <c r="E3760" s="2">
        <f t="shared" si="203"/>
        <v>8</v>
      </c>
      <c r="F3760" s="3" t="s">
        <v>179</v>
      </c>
      <c r="G3760" s="4">
        <v>43339</v>
      </c>
      <c r="H3760" s="1">
        <v>6596347</v>
      </c>
      <c r="I3760" s="1">
        <v>665902</v>
      </c>
      <c r="J3760" s="1" t="s">
        <v>186</v>
      </c>
      <c r="K3760" s="1" t="s">
        <v>212</v>
      </c>
      <c r="L3760" s="1" t="str">
        <f t="shared" si="201"/>
        <v>Norrviken 2</v>
      </c>
      <c r="M3760" s="29" t="s">
        <v>177</v>
      </c>
      <c r="N3760" s="1">
        <v>0.5</v>
      </c>
      <c r="O3760" s="1">
        <v>0.5</v>
      </c>
      <c r="P3760" s="1">
        <v>2.5</v>
      </c>
      <c r="Q3760" s="1">
        <v>19.5</v>
      </c>
      <c r="R3760" s="1">
        <v>6.8</v>
      </c>
      <c r="S3760" s="1">
        <v>74</v>
      </c>
      <c r="V3760" s="1">
        <v>2.5982229249</v>
      </c>
      <c r="W3760" s="1">
        <v>138.90180000000001</v>
      </c>
      <c r="X3760" s="1">
        <v>5.1049069560349229</v>
      </c>
      <c r="Y3760" s="1">
        <v>4.2000000000000003E-2</v>
      </c>
      <c r="Z3760" s="1">
        <v>79.83</v>
      </c>
      <c r="AA3760" s="1">
        <v>3.4</v>
      </c>
      <c r="AB3760" s="1">
        <v>5.3924142857000001</v>
      </c>
      <c r="AD3760" s="1">
        <v>24.86</v>
      </c>
      <c r="AE3760" s="1">
        <v>8</v>
      </c>
      <c r="AK3760" s="1">
        <v>112.605</v>
      </c>
      <c r="AL3760" s="1">
        <v>864.64</v>
      </c>
    </row>
    <row r="3761" spans="1:38" x14ac:dyDescent="0.3">
      <c r="A3761" s="1">
        <v>66358</v>
      </c>
      <c r="B3761" s="1" t="s">
        <v>258</v>
      </c>
      <c r="C3761" s="1" t="s">
        <v>231</v>
      </c>
      <c r="D3761" s="2">
        <f t="shared" si="202"/>
        <v>2018</v>
      </c>
      <c r="E3761" s="2">
        <f t="shared" si="203"/>
        <v>8</v>
      </c>
      <c r="F3761" s="3" t="s">
        <v>179</v>
      </c>
      <c r="G3761" s="4">
        <v>43339</v>
      </c>
      <c r="H3761" s="1">
        <v>6596347</v>
      </c>
      <c r="I3761" s="1">
        <v>665902</v>
      </c>
      <c r="J3761" s="1" t="s">
        <v>186</v>
      </c>
      <c r="K3761" s="1" t="s">
        <v>212</v>
      </c>
      <c r="L3761" s="1" t="str">
        <f t="shared" si="201"/>
        <v>Norrviken 2</v>
      </c>
      <c r="M3761" s="29" t="s">
        <v>211</v>
      </c>
      <c r="N3761" s="1">
        <v>1</v>
      </c>
      <c r="O3761" s="1">
        <v>1</v>
      </c>
      <c r="Q3761" s="1">
        <v>19.5</v>
      </c>
      <c r="R3761" s="1">
        <v>6.8</v>
      </c>
      <c r="S3761" s="1">
        <v>75</v>
      </c>
    </row>
    <row r="3762" spans="1:38" x14ac:dyDescent="0.3">
      <c r="A3762" s="1">
        <v>66359</v>
      </c>
      <c r="B3762" s="1" t="s">
        <v>258</v>
      </c>
      <c r="C3762" s="1" t="s">
        <v>231</v>
      </c>
      <c r="D3762" s="2">
        <f t="shared" si="202"/>
        <v>2018</v>
      </c>
      <c r="E3762" s="2">
        <f t="shared" si="203"/>
        <v>8</v>
      </c>
      <c r="F3762" s="3" t="s">
        <v>179</v>
      </c>
      <c r="G3762" s="4">
        <v>43339</v>
      </c>
      <c r="H3762" s="1">
        <v>6596347</v>
      </c>
      <c r="I3762" s="1">
        <v>665902</v>
      </c>
      <c r="J3762" s="1" t="s">
        <v>186</v>
      </c>
      <c r="K3762" s="1" t="s">
        <v>212</v>
      </c>
      <c r="L3762" s="1" t="str">
        <f t="shared" si="201"/>
        <v>Norrviken 2</v>
      </c>
      <c r="M3762" s="29" t="s">
        <v>212</v>
      </c>
      <c r="N3762" s="1">
        <v>2</v>
      </c>
      <c r="O3762" s="1">
        <v>2</v>
      </c>
      <c r="Q3762" s="1">
        <v>19.5</v>
      </c>
      <c r="R3762" s="1">
        <v>6.8</v>
      </c>
      <c r="S3762" s="1">
        <v>75</v>
      </c>
    </row>
    <row r="3763" spans="1:38" x14ac:dyDescent="0.3">
      <c r="A3763" s="1">
        <v>66360</v>
      </c>
      <c r="B3763" s="1" t="s">
        <v>258</v>
      </c>
      <c r="C3763" s="1" t="s">
        <v>231</v>
      </c>
      <c r="D3763" s="2">
        <f t="shared" si="202"/>
        <v>2018</v>
      </c>
      <c r="E3763" s="2">
        <f t="shared" si="203"/>
        <v>8</v>
      </c>
      <c r="F3763" s="3" t="s">
        <v>179</v>
      </c>
      <c r="G3763" s="4">
        <v>43339</v>
      </c>
      <c r="H3763" s="1">
        <v>6596347</v>
      </c>
      <c r="I3763" s="1">
        <v>665902</v>
      </c>
      <c r="J3763" s="1" t="s">
        <v>186</v>
      </c>
      <c r="K3763" s="1" t="s">
        <v>212</v>
      </c>
      <c r="L3763" s="1" t="str">
        <f t="shared" si="201"/>
        <v>Norrviken 2</v>
      </c>
      <c r="M3763" s="29" t="s">
        <v>213</v>
      </c>
      <c r="N3763" s="1">
        <v>3</v>
      </c>
      <c r="O3763" s="1">
        <v>3</v>
      </c>
      <c r="Q3763" s="1">
        <v>19.399999999999999</v>
      </c>
      <c r="R3763" s="1">
        <v>6.9</v>
      </c>
      <c r="S3763" s="1">
        <v>75</v>
      </c>
    </row>
    <row r="3764" spans="1:38" x14ac:dyDescent="0.3">
      <c r="A3764" s="1">
        <v>66361</v>
      </c>
      <c r="B3764" s="1" t="s">
        <v>258</v>
      </c>
      <c r="C3764" s="1" t="s">
        <v>231</v>
      </c>
      <c r="D3764" s="2">
        <f t="shared" si="202"/>
        <v>2018</v>
      </c>
      <c r="E3764" s="2">
        <f t="shared" si="203"/>
        <v>8</v>
      </c>
      <c r="F3764" s="3" t="s">
        <v>179</v>
      </c>
      <c r="G3764" s="4">
        <v>43339</v>
      </c>
      <c r="H3764" s="1">
        <v>6596347</v>
      </c>
      <c r="I3764" s="1">
        <v>665902</v>
      </c>
      <c r="J3764" s="1" t="s">
        <v>186</v>
      </c>
      <c r="K3764" s="1" t="s">
        <v>212</v>
      </c>
      <c r="L3764" s="1" t="str">
        <f t="shared" si="201"/>
        <v>Norrviken 2</v>
      </c>
      <c r="M3764" s="29" t="s">
        <v>214</v>
      </c>
      <c r="N3764" s="1">
        <v>4</v>
      </c>
      <c r="O3764" s="1">
        <v>4</v>
      </c>
      <c r="Q3764" s="1">
        <v>19.399999999999999</v>
      </c>
      <c r="R3764" s="1">
        <v>7</v>
      </c>
      <c r="S3764" s="1">
        <v>76</v>
      </c>
    </row>
    <row r="3765" spans="1:38" x14ac:dyDescent="0.3">
      <c r="A3765" s="1">
        <v>66362</v>
      </c>
      <c r="B3765" s="1" t="s">
        <v>258</v>
      </c>
      <c r="C3765" s="1" t="s">
        <v>231</v>
      </c>
      <c r="D3765" s="2">
        <f t="shared" si="202"/>
        <v>2018</v>
      </c>
      <c r="E3765" s="2">
        <f t="shared" si="203"/>
        <v>8</v>
      </c>
      <c r="F3765" s="3" t="s">
        <v>179</v>
      </c>
      <c r="G3765" s="4">
        <v>43339</v>
      </c>
      <c r="H3765" s="1">
        <v>6596347</v>
      </c>
      <c r="I3765" s="1">
        <v>665902</v>
      </c>
      <c r="J3765" s="1" t="s">
        <v>186</v>
      </c>
      <c r="K3765" s="1" t="s">
        <v>212</v>
      </c>
      <c r="L3765" s="1" t="str">
        <f t="shared" si="201"/>
        <v>Norrviken 2</v>
      </c>
      <c r="M3765" s="29" t="s">
        <v>217</v>
      </c>
      <c r="N3765" s="1">
        <v>5</v>
      </c>
      <c r="O3765" s="1">
        <v>5</v>
      </c>
      <c r="Q3765" s="1">
        <v>19.3</v>
      </c>
      <c r="R3765" s="1">
        <v>7</v>
      </c>
      <c r="S3765" s="1">
        <v>76</v>
      </c>
    </row>
    <row r="3766" spans="1:38" x14ac:dyDescent="0.3">
      <c r="A3766" s="1">
        <v>66363</v>
      </c>
      <c r="B3766" s="1" t="s">
        <v>258</v>
      </c>
      <c r="C3766" s="1" t="s">
        <v>231</v>
      </c>
      <c r="D3766" s="2">
        <f t="shared" si="202"/>
        <v>2018</v>
      </c>
      <c r="E3766" s="2">
        <f t="shared" si="203"/>
        <v>8</v>
      </c>
      <c r="F3766" s="3" t="s">
        <v>179</v>
      </c>
      <c r="G3766" s="4">
        <v>43339</v>
      </c>
      <c r="H3766" s="1">
        <v>6596347</v>
      </c>
      <c r="I3766" s="1">
        <v>665902</v>
      </c>
      <c r="J3766" s="1" t="s">
        <v>186</v>
      </c>
      <c r="K3766" s="1" t="s">
        <v>212</v>
      </c>
      <c r="L3766" s="1" t="str">
        <f t="shared" si="201"/>
        <v>Norrviken 2</v>
      </c>
      <c r="M3766" s="29" t="s">
        <v>218</v>
      </c>
      <c r="N3766" s="1">
        <v>6</v>
      </c>
      <c r="O3766" s="1">
        <v>6</v>
      </c>
      <c r="Q3766" s="1">
        <v>19.2</v>
      </c>
      <c r="R3766" s="1">
        <v>6.7</v>
      </c>
      <c r="S3766" s="1">
        <v>73</v>
      </c>
    </row>
    <row r="3767" spans="1:38" x14ac:dyDescent="0.3">
      <c r="A3767" s="1">
        <v>66364</v>
      </c>
      <c r="B3767" s="1" t="s">
        <v>258</v>
      </c>
      <c r="C3767" s="1" t="s">
        <v>231</v>
      </c>
      <c r="D3767" s="2">
        <f t="shared" si="202"/>
        <v>2018</v>
      </c>
      <c r="E3767" s="2">
        <f t="shared" si="203"/>
        <v>8</v>
      </c>
      <c r="F3767" s="3" t="s">
        <v>179</v>
      </c>
      <c r="G3767" s="4">
        <v>43339</v>
      </c>
      <c r="H3767" s="1">
        <v>6596347</v>
      </c>
      <c r="I3767" s="1">
        <v>665902</v>
      </c>
      <c r="J3767" s="1" t="s">
        <v>186</v>
      </c>
      <c r="K3767" s="1" t="s">
        <v>212</v>
      </c>
      <c r="L3767" s="1" t="str">
        <f t="shared" si="201"/>
        <v>Norrviken 2</v>
      </c>
      <c r="M3767" s="29" t="s">
        <v>219</v>
      </c>
      <c r="N3767" s="1">
        <v>7</v>
      </c>
      <c r="O3767" s="1">
        <v>7</v>
      </c>
      <c r="Q3767" s="1">
        <v>19</v>
      </c>
      <c r="R3767" s="1">
        <v>6.5</v>
      </c>
      <c r="S3767" s="1">
        <v>70</v>
      </c>
    </row>
    <row r="3768" spans="1:38" x14ac:dyDescent="0.3">
      <c r="A3768" s="1">
        <v>66365</v>
      </c>
      <c r="B3768" s="1" t="s">
        <v>258</v>
      </c>
      <c r="C3768" s="1" t="s">
        <v>231</v>
      </c>
      <c r="D3768" s="2">
        <f t="shared" si="202"/>
        <v>2018</v>
      </c>
      <c r="E3768" s="2">
        <f t="shared" si="203"/>
        <v>8</v>
      </c>
      <c r="F3768" s="3" t="s">
        <v>179</v>
      </c>
      <c r="G3768" s="4">
        <v>43339</v>
      </c>
      <c r="H3768" s="1">
        <v>6596347</v>
      </c>
      <c r="I3768" s="1">
        <v>665902</v>
      </c>
      <c r="J3768" s="1" t="s">
        <v>186</v>
      </c>
      <c r="K3768" s="1" t="s">
        <v>212</v>
      </c>
      <c r="L3768" s="1" t="str">
        <f t="shared" si="201"/>
        <v>Norrviken 2</v>
      </c>
      <c r="M3768" s="29" t="s">
        <v>220</v>
      </c>
      <c r="N3768" s="1">
        <v>8</v>
      </c>
      <c r="O3768" s="1">
        <v>8</v>
      </c>
      <c r="Q3768" s="1">
        <v>18.899999999999999</v>
      </c>
      <c r="R3768" s="1">
        <v>6.4</v>
      </c>
      <c r="S3768" s="1">
        <v>70</v>
      </c>
    </row>
    <row r="3769" spans="1:38" x14ac:dyDescent="0.3">
      <c r="A3769" s="1">
        <v>66366</v>
      </c>
      <c r="B3769" s="1" t="s">
        <v>258</v>
      </c>
      <c r="C3769" s="1" t="s">
        <v>231</v>
      </c>
      <c r="D3769" s="2">
        <f t="shared" si="202"/>
        <v>2018</v>
      </c>
      <c r="E3769" s="2">
        <f t="shared" si="203"/>
        <v>8</v>
      </c>
      <c r="F3769" s="3" t="s">
        <v>179</v>
      </c>
      <c r="G3769" s="4">
        <v>43339</v>
      </c>
      <c r="H3769" s="1">
        <v>6596347</v>
      </c>
      <c r="I3769" s="1">
        <v>665902</v>
      </c>
      <c r="J3769" s="1" t="s">
        <v>186</v>
      </c>
      <c r="K3769" s="1" t="s">
        <v>212</v>
      </c>
      <c r="L3769" s="1" t="str">
        <f t="shared" si="201"/>
        <v>Norrviken 2</v>
      </c>
      <c r="M3769" s="29" t="s">
        <v>184</v>
      </c>
      <c r="N3769" s="1">
        <v>9</v>
      </c>
      <c r="O3769" s="1">
        <v>9</v>
      </c>
      <c r="Q3769" s="1">
        <v>18.899999999999999</v>
      </c>
      <c r="R3769" s="1">
        <v>6.2</v>
      </c>
      <c r="S3769" s="1">
        <v>67</v>
      </c>
      <c r="V3769" s="1">
        <v>2.5594434782</v>
      </c>
      <c r="W3769" s="1">
        <v>127.8664</v>
      </c>
      <c r="X3769" s="1">
        <v>4.5036180174552678</v>
      </c>
      <c r="Y3769" s="1">
        <v>4.3999999999999997E-2</v>
      </c>
      <c r="Z3769" s="1">
        <v>75.09</v>
      </c>
      <c r="AA3769" s="1">
        <v>5.6</v>
      </c>
      <c r="AD3769" s="1">
        <v>28.09</v>
      </c>
      <c r="AE3769" s="1">
        <v>8</v>
      </c>
      <c r="AK3769" s="1">
        <v>107.505</v>
      </c>
      <c r="AL3769" s="1">
        <v>907.43</v>
      </c>
    </row>
    <row r="3770" spans="1:38" x14ac:dyDescent="0.3">
      <c r="A3770" s="1">
        <v>66367</v>
      </c>
      <c r="B3770" s="1" t="s">
        <v>258</v>
      </c>
      <c r="C3770" s="1" t="s">
        <v>231</v>
      </c>
      <c r="D3770" s="2">
        <f t="shared" si="202"/>
        <v>2018</v>
      </c>
      <c r="E3770" s="2">
        <f t="shared" si="203"/>
        <v>8</v>
      </c>
      <c r="F3770" s="3" t="s">
        <v>179</v>
      </c>
      <c r="G3770" s="4">
        <v>43339</v>
      </c>
      <c r="J3770" s="1" t="s">
        <v>186</v>
      </c>
      <c r="K3770" s="1" t="s">
        <v>212</v>
      </c>
      <c r="L3770" s="1" t="str">
        <f t="shared" si="201"/>
        <v>Norrviken 2</v>
      </c>
      <c r="M3770" s="29" t="s">
        <v>243</v>
      </c>
      <c r="N3770" s="1">
        <v>6</v>
      </c>
      <c r="O3770" s="1">
        <v>0</v>
      </c>
    </row>
    <row r="3771" spans="1:38" x14ac:dyDescent="0.3">
      <c r="A3771" s="1">
        <v>66368</v>
      </c>
      <c r="B3771" s="1" t="s">
        <v>258</v>
      </c>
      <c r="C3771" s="1" t="s">
        <v>231</v>
      </c>
      <c r="D3771" s="2">
        <f t="shared" si="202"/>
        <v>2018</v>
      </c>
      <c r="E3771" s="2">
        <f t="shared" si="203"/>
        <v>8</v>
      </c>
      <c r="F3771" s="3" t="s">
        <v>179</v>
      </c>
      <c r="G3771" s="4">
        <v>43339</v>
      </c>
      <c r="H3771" s="1">
        <v>6594617</v>
      </c>
      <c r="I3771" s="1">
        <v>666323</v>
      </c>
      <c r="J3771" s="1" t="s">
        <v>186</v>
      </c>
      <c r="K3771" s="1" t="s">
        <v>213</v>
      </c>
      <c r="L3771" s="1" t="str">
        <f t="shared" si="201"/>
        <v>Norrviken 3</v>
      </c>
      <c r="M3771" s="29" t="s">
        <v>177</v>
      </c>
      <c r="N3771" s="1">
        <v>0.5</v>
      </c>
      <c r="O3771" s="1">
        <v>0.5</v>
      </c>
      <c r="P3771" s="1">
        <v>2.6</v>
      </c>
      <c r="Q3771" s="1">
        <v>19.2</v>
      </c>
      <c r="R3771" s="1">
        <v>6.6</v>
      </c>
      <c r="S3771" s="1">
        <v>72</v>
      </c>
      <c r="V3771" s="1">
        <v>2.5400537549000002</v>
      </c>
      <c r="W3771" s="1">
        <v>123.601</v>
      </c>
      <c r="X3771" s="1">
        <v>4.3494415028165578</v>
      </c>
      <c r="Y3771" s="1">
        <v>0.04</v>
      </c>
      <c r="Z3771" s="1">
        <v>78.290000000000006</v>
      </c>
      <c r="AA3771" s="1">
        <v>2.8</v>
      </c>
      <c r="AB3771" s="1">
        <v>5.0876999999999999</v>
      </c>
      <c r="AD3771" s="1">
        <v>18.82</v>
      </c>
      <c r="AE3771" s="1">
        <v>7.99</v>
      </c>
      <c r="AK3771" s="1">
        <v>102.735</v>
      </c>
      <c r="AL3771" s="1">
        <v>833.89</v>
      </c>
    </row>
    <row r="3772" spans="1:38" x14ac:dyDescent="0.3">
      <c r="A3772" s="1">
        <v>66369</v>
      </c>
      <c r="B3772" s="1" t="s">
        <v>258</v>
      </c>
      <c r="C3772" s="1" t="s">
        <v>231</v>
      </c>
      <c r="D3772" s="2">
        <f t="shared" si="202"/>
        <v>2018</v>
      </c>
      <c r="E3772" s="2">
        <f t="shared" si="203"/>
        <v>8</v>
      </c>
      <c r="F3772" s="3" t="s">
        <v>179</v>
      </c>
      <c r="G3772" s="4">
        <v>43339</v>
      </c>
      <c r="H3772" s="1">
        <v>6594617</v>
      </c>
      <c r="I3772" s="1">
        <v>666323</v>
      </c>
      <c r="J3772" s="1" t="s">
        <v>186</v>
      </c>
      <c r="K3772" s="1" t="s">
        <v>213</v>
      </c>
      <c r="L3772" s="1" t="str">
        <f t="shared" si="201"/>
        <v>Norrviken 3</v>
      </c>
      <c r="M3772" s="29" t="s">
        <v>211</v>
      </c>
      <c r="N3772" s="1">
        <v>1</v>
      </c>
      <c r="O3772" s="1">
        <v>1</v>
      </c>
      <c r="Q3772" s="1">
        <v>19.3</v>
      </c>
      <c r="R3772" s="1">
        <v>6.6</v>
      </c>
      <c r="S3772" s="1">
        <v>72</v>
      </c>
    </row>
    <row r="3773" spans="1:38" x14ac:dyDescent="0.3">
      <c r="A3773" s="1">
        <v>66370</v>
      </c>
      <c r="B3773" s="1" t="s">
        <v>258</v>
      </c>
      <c r="C3773" s="1" t="s">
        <v>231</v>
      </c>
      <c r="D3773" s="2">
        <f t="shared" si="202"/>
        <v>2018</v>
      </c>
      <c r="E3773" s="2">
        <f t="shared" si="203"/>
        <v>8</v>
      </c>
      <c r="F3773" s="3" t="s">
        <v>179</v>
      </c>
      <c r="G3773" s="4">
        <v>43339</v>
      </c>
      <c r="H3773" s="1">
        <v>6594617</v>
      </c>
      <c r="I3773" s="1">
        <v>666323</v>
      </c>
      <c r="J3773" s="1" t="s">
        <v>186</v>
      </c>
      <c r="K3773" s="1" t="s">
        <v>213</v>
      </c>
      <c r="L3773" s="1" t="str">
        <f t="shared" si="201"/>
        <v>Norrviken 3</v>
      </c>
      <c r="M3773" s="29" t="s">
        <v>212</v>
      </c>
      <c r="N3773" s="1">
        <v>2</v>
      </c>
      <c r="O3773" s="1">
        <v>2</v>
      </c>
      <c r="Q3773" s="1">
        <v>19.3</v>
      </c>
      <c r="R3773" s="1">
        <v>6.5</v>
      </c>
      <c r="S3773" s="1">
        <v>71</v>
      </c>
    </row>
    <row r="3774" spans="1:38" x14ac:dyDescent="0.3">
      <c r="A3774" s="1">
        <v>66371</v>
      </c>
      <c r="B3774" s="1" t="s">
        <v>258</v>
      </c>
      <c r="C3774" s="1" t="s">
        <v>231</v>
      </c>
      <c r="D3774" s="2">
        <f t="shared" si="202"/>
        <v>2018</v>
      </c>
      <c r="E3774" s="2">
        <f t="shared" si="203"/>
        <v>8</v>
      </c>
      <c r="F3774" s="3" t="s">
        <v>179</v>
      </c>
      <c r="G3774" s="4">
        <v>43339</v>
      </c>
      <c r="H3774" s="1">
        <v>6594617</v>
      </c>
      <c r="I3774" s="1">
        <v>666323</v>
      </c>
      <c r="J3774" s="1" t="s">
        <v>186</v>
      </c>
      <c r="K3774" s="1" t="s">
        <v>213</v>
      </c>
      <c r="L3774" s="1" t="str">
        <f t="shared" ref="L3774:L3837" si="204">CONCATENATE(J3774," ",K3774)</f>
        <v>Norrviken 3</v>
      </c>
      <c r="M3774" s="29" t="s">
        <v>213</v>
      </c>
      <c r="N3774" s="1">
        <v>3</v>
      </c>
      <c r="O3774" s="1">
        <v>3</v>
      </c>
      <c r="Q3774" s="1">
        <v>19.3</v>
      </c>
      <c r="R3774" s="1">
        <v>6.5</v>
      </c>
      <c r="S3774" s="1">
        <v>70</v>
      </c>
    </row>
    <row r="3775" spans="1:38" x14ac:dyDescent="0.3">
      <c r="A3775" s="1">
        <v>66372</v>
      </c>
      <c r="B3775" s="1" t="s">
        <v>258</v>
      </c>
      <c r="C3775" s="1" t="s">
        <v>231</v>
      </c>
      <c r="D3775" s="2">
        <f t="shared" si="202"/>
        <v>2018</v>
      </c>
      <c r="E3775" s="2">
        <f t="shared" si="203"/>
        <v>8</v>
      </c>
      <c r="F3775" s="3" t="s">
        <v>179</v>
      </c>
      <c r="G3775" s="4">
        <v>43339</v>
      </c>
      <c r="H3775" s="1">
        <v>6594617</v>
      </c>
      <c r="I3775" s="1">
        <v>666323</v>
      </c>
      <c r="J3775" s="1" t="s">
        <v>186</v>
      </c>
      <c r="K3775" s="1" t="s">
        <v>213</v>
      </c>
      <c r="L3775" s="1" t="str">
        <f t="shared" si="204"/>
        <v>Norrviken 3</v>
      </c>
      <c r="M3775" s="29" t="s">
        <v>214</v>
      </c>
      <c r="N3775" s="1">
        <v>4</v>
      </c>
      <c r="O3775" s="1">
        <v>4</v>
      </c>
      <c r="Q3775" s="1">
        <v>19.3</v>
      </c>
      <c r="R3775" s="1">
        <v>6.4</v>
      </c>
      <c r="S3775" s="1">
        <v>70</v>
      </c>
    </row>
    <row r="3776" spans="1:38" x14ac:dyDescent="0.3">
      <c r="A3776" s="1">
        <v>66373</v>
      </c>
      <c r="B3776" s="1" t="s">
        <v>258</v>
      </c>
      <c r="C3776" s="1" t="s">
        <v>231</v>
      </c>
      <c r="D3776" s="2">
        <f t="shared" si="202"/>
        <v>2018</v>
      </c>
      <c r="E3776" s="2">
        <f t="shared" si="203"/>
        <v>8</v>
      </c>
      <c r="F3776" s="3" t="s">
        <v>179</v>
      </c>
      <c r="G3776" s="4">
        <v>43339</v>
      </c>
      <c r="H3776" s="1">
        <v>6594617</v>
      </c>
      <c r="I3776" s="1">
        <v>666323</v>
      </c>
      <c r="J3776" s="1" t="s">
        <v>186</v>
      </c>
      <c r="K3776" s="1" t="s">
        <v>213</v>
      </c>
      <c r="L3776" s="1" t="str">
        <f t="shared" si="204"/>
        <v>Norrviken 3</v>
      </c>
      <c r="M3776" s="29" t="s">
        <v>217</v>
      </c>
      <c r="N3776" s="1">
        <v>5</v>
      </c>
      <c r="O3776" s="1">
        <v>5</v>
      </c>
      <c r="Q3776" s="1">
        <v>19.2</v>
      </c>
      <c r="R3776" s="1">
        <v>6.3</v>
      </c>
      <c r="S3776" s="1">
        <v>68</v>
      </c>
    </row>
    <row r="3777" spans="1:38" x14ac:dyDescent="0.3">
      <c r="A3777" s="1">
        <v>66374</v>
      </c>
      <c r="B3777" s="1" t="s">
        <v>258</v>
      </c>
      <c r="C3777" s="1" t="s">
        <v>231</v>
      </c>
      <c r="D3777" s="2">
        <f t="shared" si="202"/>
        <v>2018</v>
      </c>
      <c r="E3777" s="2">
        <f t="shared" si="203"/>
        <v>8</v>
      </c>
      <c r="F3777" s="3" t="s">
        <v>179</v>
      </c>
      <c r="G3777" s="4">
        <v>43339</v>
      </c>
      <c r="H3777" s="1">
        <v>6594617</v>
      </c>
      <c r="I3777" s="1">
        <v>666323</v>
      </c>
      <c r="J3777" s="1" t="s">
        <v>186</v>
      </c>
      <c r="K3777" s="1" t="s">
        <v>213</v>
      </c>
      <c r="L3777" s="1" t="str">
        <f t="shared" si="204"/>
        <v>Norrviken 3</v>
      </c>
      <c r="M3777" s="29" t="s">
        <v>218</v>
      </c>
      <c r="N3777" s="1">
        <v>6</v>
      </c>
      <c r="O3777" s="1">
        <v>6</v>
      </c>
      <c r="Q3777" s="1">
        <v>19.100000000000001</v>
      </c>
      <c r="R3777" s="1">
        <v>6</v>
      </c>
      <c r="S3777" s="1">
        <v>66</v>
      </c>
    </row>
    <row r="3778" spans="1:38" x14ac:dyDescent="0.3">
      <c r="A3778" s="1">
        <v>66375</v>
      </c>
      <c r="B3778" s="1" t="s">
        <v>258</v>
      </c>
      <c r="C3778" s="1" t="s">
        <v>231</v>
      </c>
      <c r="D3778" s="2">
        <f t="shared" si="202"/>
        <v>2018</v>
      </c>
      <c r="E3778" s="2">
        <f t="shared" si="203"/>
        <v>8</v>
      </c>
      <c r="F3778" s="3" t="s">
        <v>179</v>
      </c>
      <c r="G3778" s="4">
        <v>43339</v>
      </c>
      <c r="H3778" s="1">
        <v>6594617</v>
      </c>
      <c r="I3778" s="1">
        <v>666323</v>
      </c>
      <c r="J3778" s="1" t="s">
        <v>186</v>
      </c>
      <c r="K3778" s="1" t="s">
        <v>213</v>
      </c>
      <c r="L3778" s="1" t="str">
        <f t="shared" si="204"/>
        <v>Norrviken 3</v>
      </c>
      <c r="M3778" s="29" t="s">
        <v>219</v>
      </c>
      <c r="N3778" s="1">
        <v>7</v>
      </c>
      <c r="O3778" s="1">
        <v>7</v>
      </c>
      <c r="Q3778" s="1">
        <v>19</v>
      </c>
      <c r="R3778" s="1">
        <v>5</v>
      </c>
      <c r="S3778" s="1">
        <v>54</v>
      </c>
    </row>
    <row r="3779" spans="1:38" x14ac:dyDescent="0.3">
      <c r="A3779" s="1">
        <v>66376</v>
      </c>
      <c r="B3779" s="1" t="s">
        <v>258</v>
      </c>
      <c r="C3779" s="1" t="s">
        <v>231</v>
      </c>
      <c r="D3779" s="2">
        <f t="shared" si="202"/>
        <v>2018</v>
      </c>
      <c r="E3779" s="2">
        <f t="shared" si="203"/>
        <v>8</v>
      </c>
      <c r="F3779" s="3" t="s">
        <v>179</v>
      </c>
      <c r="G3779" s="4">
        <v>43339</v>
      </c>
      <c r="H3779" s="1">
        <v>6594617</v>
      </c>
      <c r="I3779" s="1">
        <v>666323</v>
      </c>
      <c r="J3779" s="1" t="s">
        <v>186</v>
      </c>
      <c r="K3779" s="1" t="s">
        <v>213</v>
      </c>
      <c r="L3779" s="1" t="str">
        <f t="shared" si="204"/>
        <v>Norrviken 3</v>
      </c>
      <c r="M3779" s="29" t="s">
        <v>220</v>
      </c>
      <c r="N3779" s="1">
        <v>8</v>
      </c>
      <c r="O3779" s="1">
        <v>8</v>
      </c>
      <c r="Q3779" s="1">
        <v>17.899999999999999</v>
      </c>
      <c r="R3779" s="1">
        <v>0.1</v>
      </c>
      <c r="S3779" s="1">
        <v>1</v>
      </c>
    </row>
    <row r="3780" spans="1:38" x14ac:dyDescent="0.3">
      <c r="A3780" s="1">
        <v>66377</v>
      </c>
      <c r="B3780" s="1" t="s">
        <v>258</v>
      </c>
      <c r="C3780" s="1" t="s">
        <v>231</v>
      </c>
      <c r="D3780" s="2">
        <f t="shared" si="202"/>
        <v>2018</v>
      </c>
      <c r="E3780" s="2">
        <f t="shared" si="203"/>
        <v>8</v>
      </c>
      <c r="F3780" s="3" t="s">
        <v>179</v>
      </c>
      <c r="G3780" s="4">
        <v>43339</v>
      </c>
      <c r="H3780" s="1">
        <v>6594617</v>
      </c>
      <c r="I3780" s="1">
        <v>666323</v>
      </c>
      <c r="J3780" s="1" t="s">
        <v>186</v>
      </c>
      <c r="K3780" s="1" t="s">
        <v>213</v>
      </c>
      <c r="L3780" s="1" t="str">
        <f t="shared" si="204"/>
        <v>Norrviken 3</v>
      </c>
      <c r="M3780" s="29" t="s">
        <v>221</v>
      </c>
      <c r="N3780" s="1">
        <v>9</v>
      </c>
      <c r="O3780" s="1">
        <v>9</v>
      </c>
      <c r="Q3780" s="1">
        <v>15.9</v>
      </c>
      <c r="R3780" s="1">
        <v>0.1</v>
      </c>
      <c r="S3780" s="1">
        <v>1</v>
      </c>
    </row>
    <row r="3781" spans="1:38" x14ac:dyDescent="0.3">
      <c r="A3781" s="1">
        <v>66378</v>
      </c>
      <c r="B3781" s="1" t="s">
        <v>258</v>
      </c>
      <c r="C3781" s="1" t="s">
        <v>231</v>
      </c>
      <c r="D3781" s="2">
        <f t="shared" si="202"/>
        <v>2018</v>
      </c>
      <c r="E3781" s="2">
        <f t="shared" si="203"/>
        <v>8</v>
      </c>
      <c r="F3781" s="3" t="s">
        <v>179</v>
      </c>
      <c r="G3781" s="4">
        <v>43339</v>
      </c>
      <c r="H3781" s="1">
        <v>6594617</v>
      </c>
      <c r="I3781" s="1">
        <v>666323</v>
      </c>
      <c r="J3781" s="1" t="s">
        <v>186</v>
      </c>
      <c r="K3781" s="1" t="s">
        <v>213</v>
      </c>
      <c r="L3781" s="1" t="str">
        <f t="shared" si="204"/>
        <v>Norrviken 3</v>
      </c>
      <c r="M3781" s="29" t="s">
        <v>222</v>
      </c>
      <c r="N3781" s="1">
        <v>10</v>
      </c>
      <c r="O3781" s="1">
        <v>10</v>
      </c>
      <c r="Q3781" s="1">
        <v>13.9</v>
      </c>
      <c r="R3781" s="1">
        <v>0.1</v>
      </c>
      <c r="S3781" s="1">
        <v>1</v>
      </c>
    </row>
    <row r="3782" spans="1:38" x14ac:dyDescent="0.3">
      <c r="A3782" s="1">
        <v>66379</v>
      </c>
      <c r="B3782" s="1" t="s">
        <v>258</v>
      </c>
      <c r="C3782" s="1" t="s">
        <v>231</v>
      </c>
      <c r="D3782" s="2">
        <f t="shared" ref="D3782:D3845" si="205">YEAR(G3782)</f>
        <v>2018</v>
      </c>
      <c r="E3782" s="2">
        <f t="shared" ref="E3782:E3845" si="206">MONTH(G3782)</f>
        <v>8</v>
      </c>
      <c r="F3782" s="3" t="s">
        <v>179</v>
      </c>
      <c r="G3782" s="4">
        <v>43339</v>
      </c>
      <c r="H3782" s="1">
        <v>6594617</v>
      </c>
      <c r="I3782" s="1">
        <v>666323</v>
      </c>
      <c r="J3782" s="1" t="s">
        <v>186</v>
      </c>
      <c r="K3782" s="1" t="s">
        <v>213</v>
      </c>
      <c r="L3782" s="1" t="str">
        <f t="shared" si="204"/>
        <v>Norrviken 3</v>
      </c>
      <c r="M3782" s="29" t="s">
        <v>223</v>
      </c>
      <c r="N3782" s="1">
        <v>11</v>
      </c>
      <c r="O3782" s="1">
        <v>11</v>
      </c>
      <c r="Q3782" s="1">
        <v>13.2</v>
      </c>
      <c r="R3782" s="1">
        <v>0.1</v>
      </c>
      <c r="S3782" s="1">
        <v>1</v>
      </c>
    </row>
    <row r="3783" spans="1:38" x14ac:dyDescent="0.3">
      <c r="A3783" s="1">
        <v>66380</v>
      </c>
      <c r="B3783" s="1" t="s">
        <v>258</v>
      </c>
      <c r="C3783" s="1" t="s">
        <v>231</v>
      </c>
      <c r="D3783" s="2">
        <f t="shared" si="205"/>
        <v>2018</v>
      </c>
      <c r="E3783" s="2">
        <f t="shared" si="206"/>
        <v>8</v>
      </c>
      <c r="F3783" s="3" t="s">
        <v>179</v>
      </c>
      <c r="G3783" s="4">
        <v>43339</v>
      </c>
      <c r="H3783" s="1">
        <v>6594617</v>
      </c>
      <c r="I3783" s="1">
        <v>666323</v>
      </c>
      <c r="J3783" s="1" t="s">
        <v>186</v>
      </c>
      <c r="K3783" s="1" t="s">
        <v>213</v>
      </c>
      <c r="L3783" s="1" t="str">
        <f t="shared" si="204"/>
        <v>Norrviken 3</v>
      </c>
      <c r="M3783" s="29" t="s">
        <v>184</v>
      </c>
      <c r="N3783" s="1">
        <v>11.5</v>
      </c>
      <c r="O3783" s="1">
        <v>11.5</v>
      </c>
      <c r="Q3783" s="1">
        <v>13</v>
      </c>
      <c r="R3783" s="1">
        <v>0.1</v>
      </c>
      <c r="S3783" s="1">
        <v>1</v>
      </c>
      <c r="V3783" s="1">
        <v>3.2574735177999998</v>
      </c>
      <c r="W3783" s="1">
        <v>1368.9174</v>
      </c>
      <c r="X3783" s="1">
        <v>14.501030142045607</v>
      </c>
      <c r="Y3783" s="1">
        <v>6.5000000000000002E-2</v>
      </c>
      <c r="Z3783" s="1">
        <v>804.94</v>
      </c>
      <c r="AA3783" s="1">
        <v>8</v>
      </c>
      <c r="AD3783" s="1">
        <v>1.46</v>
      </c>
      <c r="AE3783" s="1">
        <v>7.66</v>
      </c>
      <c r="AK3783" s="1">
        <v>633.15499999999997</v>
      </c>
      <c r="AL3783" s="1">
        <v>1924.9</v>
      </c>
    </row>
    <row r="3784" spans="1:38" x14ac:dyDescent="0.3">
      <c r="A3784" s="1">
        <v>66381</v>
      </c>
      <c r="B3784" s="1" t="s">
        <v>258</v>
      </c>
      <c r="C3784" s="1" t="s">
        <v>231</v>
      </c>
      <c r="D3784" s="2">
        <f t="shared" si="205"/>
        <v>2018</v>
      </c>
      <c r="E3784" s="2">
        <f t="shared" si="206"/>
        <v>8</v>
      </c>
      <c r="F3784" s="3" t="s">
        <v>179</v>
      </c>
      <c r="G3784" s="4">
        <v>43339</v>
      </c>
      <c r="J3784" s="1" t="s">
        <v>186</v>
      </c>
      <c r="K3784" s="1" t="s">
        <v>213</v>
      </c>
      <c r="L3784" s="1" t="str">
        <f t="shared" si="204"/>
        <v>Norrviken 3</v>
      </c>
      <c r="M3784" s="29" t="s">
        <v>243</v>
      </c>
      <c r="N3784" s="1">
        <v>6</v>
      </c>
      <c r="O3784" s="1">
        <v>0</v>
      </c>
    </row>
    <row r="3785" spans="1:38" x14ac:dyDescent="0.3">
      <c r="A3785" s="1">
        <v>66382</v>
      </c>
      <c r="B3785" s="1" t="s">
        <v>258</v>
      </c>
      <c r="C3785" s="1" t="s">
        <v>231</v>
      </c>
      <c r="D3785" s="2">
        <f t="shared" si="205"/>
        <v>2018</v>
      </c>
      <c r="E3785" s="2">
        <f t="shared" si="206"/>
        <v>8</v>
      </c>
      <c r="F3785" s="3" t="s">
        <v>179</v>
      </c>
      <c r="G3785" s="4">
        <v>43339</v>
      </c>
      <c r="H3785" s="1">
        <v>6597022</v>
      </c>
      <c r="I3785" s="1">
        <v>665518</v>
      </c>
      <c r="J3785" s="1" t="s">
        <v>186</v>
      </c>
      <c r="K3785" s="1" t="s">
        <v>214</v>
      </c>
      <c r="L3785" s="1" t="str">
        <f t="shared" si="204"/>
        <v>Norrviken 4</v>
      </c>
      <c r="M3785" s="1" t="s">
        <v>177</v>
      </c>
      <c r="N3785" s="1">
        <v>0.5</v>
      </c>
      <c r="O3785" s="1">
        <v>0.5</v>
      </c>
      <c r="P3785" s="1">
        <v>2</v>
      </c>
      <c r="Q3785" s="1">
        <v>19.399999999999999</v>
      </c>
      <c r="R3785" s="1">
        <v>9.6</v>
      </c>
      <c r="S3785" s="1">
        <v>105</v>
      </c>
      <c r="V3785" s="1">
        <v>2.5206640316</v>
      </c>
      <c r="W3785" s="1">
        <v>45.442599999999999</v>
      </c>
      <c r="X3785" s="1">
        <v>1.6955175437184418</v>
      </c>
      <c r="Y3785" s="1">
        <v>4.4999999999999998E-2</v>
      </c>
      <c r="Z3785" s="1">
        <v>55.35</v>
      </c>
      <c r="AA3785" s="1">
        <v>2.8</v>
      </c>
      <c r="AB3785" s="1">
        <v>10.518685714</v>
      </c>
      <c r="AD3785" s="1">
        <v>13.52</v>
      </c>
      <c r="AE3785" s="1">
        <v>8.01</v>
      </c>
      <c r="AK3785" s="1">
        <v>94.605000000000004</v>
      </c>
      <c r="AL3785" s="1">
        <v>846.83</v>
      </c>
    </row>
    <row r="3786" spans="1:38" x14ac:dyDescent="0.3">
      <c r="A3786" s="1">
        <v>66383</v>
      </c>
      <c r="B3786" s="1" t="s">
        <v>258</v>
      </c>
      <c r="C3786" s="1" t="s">
        <v>231</v>
      </c>
      <c r="D3786" s="2">
        <f t="shared" si="205"/>
        <v>2018</v>
      </c>
      <c r="E3786" s="2">
        <f t="shared" si="206"/>
        <v>8</v>
      </c>
      <c r="F3786" s="3" t="s">
        <v>179</v>
      </c>
      <c r="G3786" s="4">
        <v>43339</v>
      </c>
      <c r="H3786" s="1">
        <v>6597022</v>
      </c>
      <c r="I3786" s="1">
        <v>665518</v>
      </c>
      <c r="J3786" s="1" t="s">
        <v>186</v>
      </c>
      <c r="K3786" s="1" t="s">
        <v>214</v>
      </c>
      <c r="L3786" s="1" t="str">
        <f t="shared" si="204"/>
        <v>Norrviken 4</v>
      </c>
      <c r="M3786" s="1" t="s">
        <v>211</v>
      </c>
      <c r="N3786" s="1">
        <v>1</v>
      </c>
      <c r="O3786" s="1">
        <v>1</v>
      </c>
      <c r="Q3786" s="1">
        <v>19.399999999999999</v>
      </c>
      <c r="R3786" s="1">
        <v>9.9</v>
      </c>
      <c r="S3786" s="1">
        <v>108</v>
      </c>
    </row>
    <row r="3787" spans="1:38" x14ac:dyDescent="0.3">
      <c r="A3787" s="1">
        <v>66384</v>
      </c>
      <c r="B3787" s="1" t="s">
        <v>258</v>
      </c>
      <c r="C3787" s="1" t="s">
        <v>231</v>
      </c>
      <c r="D3787" s="2">
        <f t="shared" si="205"/>
        <v>2018</v>
      </c>
      <c r="E3787" s="2">
        <f t="shared" si="206"/>
        <v>8</v>
      </c>
      <c r="F3787" s="3" t="s">
        <v>179</v>
      </c>
      <c r="G3787" s="4">
        <v>43339</v>
      </c>
      <c r="H3787" s="1">
        <v>6597022</v>
      </c>
      <c r="I3787" s="1">
        <v>665518</v>
      </c>
      <c r="J3787" s="1" t="s">
        <v>186</v>
      </c>
      <c r="K3787" s="1" t="s">
        <v>214</v>
      </c>
      <c r="L3787" s="1" t="str">
        <f t="shared" si="204"/>
        <v>Norrviken 4</v>
      </c>
      <c r="M3787" s="1" t="s">
        <v>184</v>
      </c>
      <c r="N3787" s="1">
        <v>2</v>
      </c>
      <c r="O3787" s="1">
        <v>2</v>
      </c>
      <c r="Q3787" s="1">
        <v>18.899999999999999</v>
      </c>
      <c r="R3787" s="1">
        <v>11.2</v>
      </c>
      <c r="S3787" s="1">
        <v>121</v>
      </c>
      <c r="V3787" s="1">
        <v>2.481884585</v>
      </c>
      <c r="W3787" s="1">
        <v>24.7441</v>
      </c>
      <c r="X3787" s="1">
        <v>1.1871262055654226</v>
      </c>
      <c r="Y3787" s="1">
        <v>4.9000000000000002E-2</v>
      </c>
      <c r="Z3787" s="1">
        <v>45.65</v>
      </c>
      <c r="AA3787" s="1">
        <v>2.2000000000000002</v>
      </c>
      <c r="AD3787" s="1">
        <v>8.35</v>
      </c>
      <c r="AE3787" s="1">
        <v>8.14</v>
      </c>
      <c r="AK3787" s="1">
        <v>79.064999999999998</v>
      </c>
      <c r="AL3787" s="1">
        <v>814.1</v>
      </c>
    </row>
    <row r="3788" spans="1:38" x14ac:dyDescent="0.3">
      <c r="A3788" s="1">
        <v>66385</v>
      </c>
      <c r="B3788" s="1" t="s">
        <v>258</v>
      </c>
      <c r="C3788" s="1" t="s">
        <v>231</v>
      </c>
      <c r="D3788" s="2">
        <f t="shared" si="205"/>
        <v>2018</v>
      </c>
      <c r="E3788" s="2">
        <f t="shared" si="206"/>
        <v>8</v>
      </c>
      <c r="F3788" s="3" t="s">
        <v>179</v>
      </c>
      <c r="G3788" s="4">
        <v>43339</v>
      </c>
      <c r="J3788" s="1" t="s">
        <v>186</v>
      </c>
      <c r="K3788" s="1" t="s">
        <v>214</v>
      </c>
      <c r="L3788" s="1" t="str">
        <f t="shared" si="204"/>
        <v>Norrviken 4</v>
      </c>
      <c r="M3788" s="1" t="s">
        <v>225</v>
      </c>
      <c r="N3788" s="1">
        <v>2</v>
      </c>
      <c r="O3788" s="1">
        <v>0</v>
      </c>
    </row>
    <row r="3789" spans="1:38" x14ac:dyDescent="0.3">
      <c r="A3789" s="1">
        <v>67124</v>
      </c>
      <c r="B3789" s="1" t="s">
        <v>258</v>
      </c>
      <c r="C3789" s="1" t="s">
        <v>231</v>
      </c>
      <c r="D3789" s="2">
        <f t="shared" si="205"/>
        <v>2018</v>
      </c>
      <c r="E3789" s="2">
        <f t="shared" si="206"/>
        <v>8</v>
      </c>
      <c r="F3789" s="3" t="s">
        <v>179</v>
      </c>
      <c r="G3789" s="4">
        <v>43334</v>
      </c>
      <c r="H3789" s="1">
        <v>6595172</v>
      </c>
      <c r="I3789" s="1">
        <v>669610</v>
      </c>
      <c r="J3789" s="1" t="s">
        <v>183</v>
      </c>
      <c r="K3789" s="1"/>
      <c r="L3789" s="1" t="str">
        <f t="shared" si="204"/>
        <v xml:space="preserve">Fjäturen </v>
      </c>
      <c r="M3789" s="1" t="s">
        <v>177</v>
      </c>
      <c r="N3789" s="1">
        <v>0.5</v>
      </c>
      <c r="O3789" s="1">
        <v>0.5</v>
      </c>
      <c r="P3789" s="1">
        <v>2.6</v>
      </c>
      <c r="Q3789" s="1">
        <v>20.3</v>
      </c>
      <c r="R3789" s="1">
        <v>9</v>
      </c>
      <c r="S3789" s="1">
        <v>100</v>
      </c>
      <c r="V3789" s="1">
        <v>2.3469929411999999</v>
      </c>
      <c r="W3789" s="1">
        <v>2.8172999999999999</v>
      </c>
      <c r="X3789" s="1">
        <v>0.12505113650928751</v>
      </c>
      <c r="Y3789" s="1">
        <v>4.1000000000000002E-2</v>
      </c>
      <c r="Z3789" s="1">
        <v>0</v>
      </c>
      <c r="AA3789" s="1">
        <v>2.8</v>
      </c>
      <c r="AB3789" s="1">
        <v>8.9351099999999999</v>
      </c>
      <c r="AD3789" s="1">
        <v>1.47</v>
      </c>
      <c r="AE3789" s="1">
        <v>8.06</v>
      </c>
      <c r="AK3789" s="1">
        <v>19</v>
      </c>
      <c r="AL3789" s="1">
        <v>682.82</v>
      </c>
    </row>
    <row r="3790" spans="1:38" x14ac:dyDescent="0.3">
      <c r="A3790" s="1">
        <v>67125</v>
      </c>
      <c r="B3790" s="1" t="s">
        <v>258</v>
      </c>
      <c r="C3790" s="1" t="s">
        <v>231</v>
      </c>
      <c r="D3790" s="2">
        <f t="shared" si="205"/>
        <v>2018</v>
      </c>
      <c r="E3790" s="2">
        <f t="shared" si="206"/>
        <v>8</v>
      </c>
      <c r="F3790" s="3" t="s">
        <v>179</v>
      </c>
      <c r="G3790" s="4">
        <v>43334</v>
      </c>
      <c r="H3790" s="1">
        <v>6595172</v>
      </c>
      <c r="I3790" s="1">
        <v>669610</v>
      </c>
      <c r="J3790" s="1" t="s">
        <v>183</v>
      </c>
      <c r="K3790" s="1"/>
      <c r="L3790" s="1" t="str">
        <f t="shared" si="204"/>
        <v xml:space="preserve">Fjäturen </v>
      </c>
      <c r="M3790" s="1" t="s">
        <v>211</v>
      </c>
      <c r="N3790" s="1">
        <v>1</v>
      </c>
      <c r="O3790" s="1">
        <v>1</v>
      </c>
      <c r="Q3790" s="1">
        <v>20.2</v>
      </c>
      <c r="R3790" s="1">
        <v>8.9</v>
      </c>
      <c r="S3790" s="1">
        <v>99</v>
      </c>
    </row>
    <row r="3791" spans="1:38" x14ac:dyDescent="0.3">
      <c r="A3791" s="1">
        <v>67126</v>
      </c>
      <c r="B3791" s="1" t="s">
        <v>258</v>
      </c>
      <c r="C3791" s="1" t="s">
        <v>231</v>
      </c>
      <c r="D3791" s="2">
        <f t="shared" si="205"/>
        <v>2018</v>
      </c>
      <c r="E3791" s="2">
        <f t="shared" si="206"/>
        <v>8</v>
      </c>
      <c r="F3791" s="3" t="s">
        <v>179</v>
      </c>
      <c r="G3791" s="4">
        <v>43334</v>
      </c>
      <c r="H3791" s="1">
        <v>6595172</v>
      </c>
      <c r="I3791" s="1">
        <v>669610</v>
      </c>
      <c r="J3791" s="1" t="s">
        <v>183</v>
      </c>
      <c r="K3791" s="1"/>
      <c r="L3791" s="1" t="str">
        <f t="shared" si="204"/>
        <v xml:space="preserve">Fjäturen </v>
      </c>
      <c r="M3791" s="1" t="s">
        <v>212</v>
      </c>
      <c r="N3791" s="1">
        <v>2</v>
      </c>
      <c r="O3791" s="1">
        <v>2</v>
      </c>
      <c r="Q3791" s="1">
        <v>19.8</v>
      </c>
      <c r="R3791" s="1">
        <v>8.4</v>
      </c>
      <c r="S3791" s="1">
        <v>92</v>
      </c>
    </row>
    <row r="3792" spans="1:38" x14ac:dyDescent="0.3">
      <c r="A3792" s="1">
        <v>67127</v>
      </c>
      <c r="B3792" s="1" t="s">
        <v>258</v>
      </c>
      <c r="C3792" s="1" t="s">
        <v>231</v>
      </c>
      <c r="D3792" s="2">
        <f t="shared" si="205"/>
        <v>2018</v>
      </c>
      <c r="E3792" s="2">
        <f t="shared" si="206"/>
        <v>8</v>
      </c>
      <c r="F3792" s="3" t="s">
        <v>179</v>
      </c>
      <c r="G3792" s="4">
        <v>43334</v>
      </c>
      <c r="H3792" s="1">
        <v>6595172</v>
      </c>
      <c r="I3792" s="1">
        <v>669610</v>
      </c>
      <c r="J3792" s="1" t="s">
        <v>183</v>
      </c>
      <c r="K3792" s="1"/>
      <c r="L3792" s="1" t="str">
        <f t="shared" si="204"/>
        <v xml:space="preserve">Fjäturen </v>
      </c>
      <c r="M3792" s="1" t="s">
        <v>213</v>
      </c>
      <c r="N3792" s="1">
        <v>3</v>
      </c>
      <c r="O3792" s="1">
        <v>3</v>
      </c>
      <c r="Q3792" s="1">
        <v>19.7</v>
      </c>
      <c r="R3792" s="1">
        <v>8.3000000000000007</v>
      </c>
      <c r="S3792" s="1">
        <v>91</v>
      </c>
    </row>
    <row r="3793" spans="1:38" x14ac:dyDescent="0.3">
      <c r="A3793" s="1">
        <v>67128</v>
      </c>
      <c r="B3793" s="1" t="s">
        <v>258</v>
      </c>
      <c r="C3793" s="1" t="s">
        <v>231</v>
      </c>
      <c r="D3793" s="2">
        <f t="shared" si="205"/>
        <v>2018</v>
      </c>
      <c r="E3793" s="2">
        <f t="shared" si="206"/>
        <v>8</v>
      </c>
      <c r="F3793" s="3" t="s">
        <v>179</v>
      </c>
      <c r="G3793" s="4">
        <v>43334</v>
      </c>
      <c r="H3793" s="1">
        <v>6595172</v>
      </c>
      <c r="I3793" s="1">
        <v>669610</v>
      </c>
      <c r="J3793" s="1" t="s">
        <v>183</v>
      </c>
      <c r="K3793" s="1"/>
      <c r="L3793" s="1" t="str">
        <f t="shared" si="204"/>
        <v xml:space="preserve">Fjäturen </v>
      </c>
      <c r="M3793" s="1" t="s">
        <v>214</v>
      </c>
      <c r="N3793" s="1">
        <v>4</v>
      </c>
      <c r="O3793" s="1">
        <v>4</v>
      </c>
      <c r="Q3793" s="1">
        <v>19.7</v>
      </c>
      <c r="R3793" s="1">
        <v>8.1999999999999993</v>
      </c>
      <c r="S3793" s="1">
        <v>90</v>
      </c>
    </row>
    <row r="3794" spans="1:38" x14ac:dyDescent="0.3">
      <c r="A3794" s="1">
        <v>67129</v>
      </c>
      <c r="B3794" s="1" t="s">
        <v>258</v>
      </c>
      <c r="C3794" s="1" t="s">
        <v>231</v>
      </c>
      <c r="D3794" s="2">
        <f t="shared" si="205"/>
        <v>2018</v>
      </c>
      <c r="E3794" s="2">
        <f t="shared" si="206"/>
        <v>8</v>
      </c>
      <c r="F3794" s="3" t="s">
        <v>179</v>
      </c>
      <c r="G3794" s="4">
        <v>43334</v>
      </c>
      <c r="H3794" s="1">
        <v>6595172</v>
      </c>
      <c r="I3794" s="1">
        <v>669610</v>
      </c>
      <c r="J3794" s="1" t="s">
        <v>183</v>
      </c>
      <c r="K3794" s="1"/>
      <c r="L3794" s="1" t="str">
        <f t="shared" si="204"/>
        <v xml:space="preserve">Fjäturen </v>
      </c>
      <c r="M3794" s="1" t="s">
        <v>217</v>
      </c>
      <c r="N3794" s="1">
        <v>5</v>
      </c>
      <c r="O3794" s="1">
        <v>5</v>
      </c>
      <c r="Q3794" s="1">
        <v>19.5</v>
      </c>
      <c r="R3794" s="1">
        <v>8</v>
      </c>
      <c r="S3794" s="1">
        <v>88</v>
      </c>
    </row>
    <row r="3795" spans="1:38" x14ac:dyDescent="0.3">
      <c r="A3795" s="1">
        <v>67130</v>
      </c>
      <c r="B3795" s="1" t="s">
        <v>258</v>
      </c>
      <c r="C3795" s="1" t="s">
        <v>231</v>
      </c>
      <c r="D3795" s="2">
        <f t="shared" si="205"/>
        <v>2018</v>
      </c>
      <c r="E3795" s="2">
        <f t="shared" si="206"/>
        <v>8</v>
      </c>
      <c r="F3795" s="3" t="s">
        <v>179</v>
      </c>
      <c r="G3795" s="4">
        <v>43334</v>
      </c>
      <c r="H3795" s="1">
        <v>6595172</v>
      </c>
      <c r="I3795" s="1">
        <v>669610</v>
      </c>
      <c r="J3795" s="1" t="s">
        <v>183</v>
      </c>
      <c r="K3795" s="1"/>
      <c r="L3795" s="1" t="str">
        <f t="shared" si="204"/>
        <v xml:space="preserve">Fjäturen </v>
      </c>
      <c r="M3795" s="1" t="s">
        <v>218</v>
      </c>
      <c r="N3795" s="1">
        <v>6</v>
      </c>
      <c r="O3795" s="1">
        <v>6</v>
      </c>
      <c r="Q3795" s="1">
        <v>16.100000000000001</v>
      </c>
      <c r="R3795" s="1">
        <v>0.1</v>
      </c>
      <c r="S3795" s="1">
        <v>1</v>
      </c>
    </row>
    <row r="3796" spans="1:38" x14ac:dyDescent="0.3">
      <c r="A3796" s="1">
        <v>67131</v>
      </c>
      <c r="B3796" s="1" t="s">
        <v>258</v>
      </c>
      <c r="C3796" s="1" t="s">
        <v>231</v>
      </c>
      <c r="D3796" s="2">
        <f t="shared" si="205"/>
        <v>2018</v>
      </c>
      <c r="E3796" s="2">
        <f t="shared" si="206"/>
        <v>8</v>
      </c>
      <c r="F3796" s="3" t="s">
        <v>179</v>
      </c>
      <c r="G3796" s="4">
        <v>43334</v>
      </c>
      <c r="H3796" s="1">
        <v>6595172</v>
      </c>
      <c r="I3796" s="1">
        <v>669610</v>
      </c>
      <c r="J3796" s="1" t="s">
        <v>183</v>
      </c>
      <c r="K3796" s="1"/>
      <c r="L3796" s="1" t="str">
        <f t="shared" si="204"/>
        <v xml:space="preserve">Fjäturen </v>
      </c>
      <c r="M3796" s="1" t="s">
        <v>219</v>
      </c>
      <c r="N3796" s="1">
        <v>7</v>
      </c>
      <c r="O3796" s="1">
        <v>7</v>
      </c>
      <c r="Q3796" s="1">
        <v>13.4</v>
      </c>
      <c r="R3796" s="1">
        <v>0.1</v>
      </c>
      <c r="S3796" s="1">
        <v>1</v>
      </c>
    </row>
    <row r="3797" spans="1:38" x14ac:dyDescent="0.3">
      <c r="A3797" s="1">
        <v>67132</v>
      </c>
      <c r="B3797" s="1" t="s">
        <v>258</v>
      </c>
      <c r="C3797" s="1" t="s">
        <v>231</v>
      </c>
      <c r="D3797" s="2">
        <f t="shared" si="205"/>
        <v>2018</v>
      </c>
      <c r="E3797" s="2">
        <f t="shared" si="206"/>
        <v>8</v>
      </c>
      <c r="F3797" s="3" t="s">
        <v>179</v>
      </c>
      <c r="G3797" s="4">
        <v>43334</v>
      </c>
      <c r="H3797" s="1">
        <v>6595172</v>
      </c>
      <c r="I3797" s="1">
        <v>669610</v>
      </c>
      <c r="J3797" s="1" t="s">
        <v>183</v>
      </c>
      <c r="K3797" s="1"/>
      <c r="L3797" s="1" t="str">
        <f t="shared" si="204"/>
        <v xml:space="preserve">Fjäturen </v>
      </c>
      <c r="M3797" s="1" t="s">
        <v>220</v>
      </c>
      <c r="N3797" s="1">
        <v>8</v>
      </c>
      <c r="O3797" s="1">
        <v>8</v>
      </c>
      <c r="Q3797" s="1">
        <v>11.2</v>
      </c>
      <c r="R3797" s="1">
        <v>0.1</v>
      </c>
      <c r="S3797" s="1">
        <v>1</v>
      </c>
    </row>
    <row r="3798" spans="1:38" x14ac:dyDescent="0.3">
      <c r="A3798" s="1">
        <v>67133</v>
      </c>
      <c r="B3798" s="1" t="s">
        <v>258</v>
      </c>
      <c r="C3798" s="1" t="s">
        <v>231</v>
      </c>
      <c r="D3798" s="2">
        <f t="shared" si="205"/>
        <v>2018</v>
      </c>
      <c r="E3798" s="2">
        <f t="shared" si="206"/>
        <v>8</v>
      </c>
      <c r="F3798" s="3" t="s">
        <v>179</v>
      </c>
      <c r="G3798" s="4">
        <v>43334</v>
      </c>
      <c r="H3798" s="1">
        <v>6595172</v>
      </c>
      <c r="I3798" s="1">
        <v>669610</v>
      </c>
      <c r="J3798" s="1" t="s">
        <v>183</v>
      </c>
      <c r="K3798" s="1"/>
      <c r="L3798" s="1" t="str">
        <f t="shared" si="204"/>
        <v xml:space="preserve">Fjäturen </v>
      </c>
      <c r="M3798" s="1" t="s">
        <v>184</v>
      </c>
      <c r="N3798" s="1">
        <v>9</v>
      </c>
      <c r="O3798" s="1">
        <v>9</v>
      </c>
      <c r="Q3798" s="1">
        <v>11</v>
      </c>
      <c r="R3798" s="1">
        <v>0.1</v>
      </c>
      <c r="S3798" s="1">
        <v>1</v>
      </c>
      <c r="V3798" s="1">
        <v>3.2126870588999998</v>
      </c>
      <c r="W3798" s="1">
        <v>2175.8926000000001</v>
      </c>
      <c r="X3798" s="1">
        <v>14.695763214803929</v>
      </c>
      <c r="Y3798" s="1">
        <v>0.10100000000000001</v>
      </c>
      <c r="Z3798" s="1">
        <v>525.83000000000004</v>
      </c>
      <c r="AA3798" s="1">
        <v>14.6</v>
      </c>
      <c r="AD3798" s="1">
        <v>8.7899999999999991</v>
      </c>
      <c r="AE3798" s="1">
        <v>7.53</v>
      </c>
      <c r="AK3798" s="1">
        <v>563.59</v>
      </c>
      <c r="AL3798" s="1">
        <v>2798.3</v>
      </c>
    </row>
    <row r="3799" spans="1:38" x14ac:dyDescent="0.3">
      <c r="A3799" s="1">
        <v>67134</v>
      </c>
      <c r="B3799" s="1" t="s">
        <v>258</v>
      </c>
      <c r="C3799" s="1" t="s">
        <v>231</v>
      </c>
      <c r="D3799" s="2">
        <f t="shared" si="205"/>
        <v>2018</v>
      </c>
      <c r="E3799" s="2">
        <f t="shared" si="206"/>
        <v>8</v>
      </c>
      <c r="F3799" s="3" t="s">
        <v>179</v>
      </c>
      <c r="G3799" s="4">
        <v>43334</v>
      </c>
      <c r="J3799" s="1" t="s">
        <v>183</v>
      </c>
      <c r="K3799" s="1"/>
      <c r="L3799" s="1" t="str">
        <f t="shared" si="204"/>
        <v xml:space="preserve">Fjäturen </v>
      </c>
      <c r="M3799" s="1" t="s">
        <v>228</v>
      </c>
      <c r="N3799" s="1">
        <v>4</v>
      </c>
      <c r="O3799" s="1">
        <v>0</v>
      </c>
    </row>
    <row r="3800" spans="1:38" x14ac:dyDescent="0.3">
      <c r="A3800" s="1">
        <v>67135</v>
      </c>
      <c r="B3800" s="1" t="s">
        <v>258</v>
      </c>
      <c r="C3800" s="1" t="s">
        <v>231</v>
      </c>
      <c r="D3800" s="2">
        <f t="shared" si="205"/>
        <v>2018</v>
      </c>
      <c r="E3800" s="2">
        <f t="shared" si="206"/>
        <v>8</v>
      </c>
      <c r="F3800" s="3" t="s">
        <v>179</v>
      </c>
      <c r="G3800" s="4">
        <v>43334</v>
      </c>
      <c r="H3800" s="1">
        <v>6593536</v>
      </c>
      <c r="I3800" s="1">
        <v>664946</v>
      </c>
      <c r="J3800" s="1" t="s">
        <v>188</v>
      </c>
      <c r="K3800" s="1"/>
      <c r="L3800" s="1" t="str">
        <f t="shared" si="204"/>
        <v xml:space="preserve">Ravalen </v>
      </c>
      <c r="M3800" s="1" t="s">
        <v>177</v>
      </c>
      <c r="N3800" s="1">
        <v>0.5</v>
      </c>
      <c r="O3800" s="1">
        <v>0.5</v>
      </c>
      <c r="P3800" s="1">
        <v>1</v>
      </c>
      <c r="Q3800" s="1">
        <v>18.8</v>
      </c>
      <c r="R3800" s="1">
        <v>12.5</v>
      </c>
      <c r="S3800" s="1">
        <v>134</v>
      </c>
      <c r="V3800" s="1">
        <v>1.5450708661999999</v>
      </c>
      <c r="W3800" s="1">
        <v>15.3004</v>
      </c>
      <c r="X3800" s="1">
        <v>3.4198815231582969</v>
      </c>
      <c r="Y3800" s="1">
        <v>6.7000000000000004E-2</v>
      </c>
      <c r="Z3800" s="1">
        <v>16.440000000000001</v>
      </c>
      <c r="AA3800" s="1">
        <v>0.6</v>
      </c>
      <c r="AB3800" s="1">
        <v>1.3295699999999999</v>
      </c>
      <c r="AD3800" s="1">
        <v>0</v>
      </c>
      <c r="AE3800" s="1">
        <v>8.9</v>
      </c>
      <c r="AK3800" s="1">
        <v>15.86</v>
      </c>
      <c r="AL3800" s="1">
        <v>993.72</v>
      </c>
    </row>
    <row r="3801" spans="1:38" x14ac:dyDescent="0.3">
      <c r="A3801" s="1">
        <v>67136</v>
      </c>
      <c r="B3801" s="1" t="s">
        <v>258</v>
      </c>
      <c r="C3801" s="1" t="s">
        <v>231</v>
      </c>
      <c r="D3801" s="2">
        <f t="shared" si="205"/>
        <v>2018</v>
      </c>
      <c r="E3801" s="2">
        <f t="shared" si="206"/>
        <v>8</v>
      </c>
      <c r="F3801" s="3" t="s">
        <v>179</v>
      </c>
      <c r="G3801" s="4">
        <v>43334</v>
      </c>
      <c r="H3801" s="1">
        <v>6593536</v>
      </c>
      <c r="I3801" s="1">
        <v>664946</v>
      </c>
      <c r="J3801" s="1" t="s">
        <v>188</v>
      </c>
      <c r="K3801" s="1"/>
      <c r="L3801" s="1" t="str">
        <f t="shared" si="204"/>
        <v xml:space="preserve">Ravalen </v>
      </c>
      <c r="M3801" s="1" t="s">
        <v>211</v>
      </c>
      <c r="N3801" s="1">
        <v>1</v>
      </c>
      <c r="O3801" s="1">
        <v>1</v>
      </c>
      <c r="Q3801" s="1">
        <v>18.8</v>
      </c>
      <c r="R3801" s="1">
        <v>12.5</v>
      </c>
      <c r="S3801" s="1">
        <v>134</v>
      </c>
    </row>
    <row r="3802" spans="1:38" x14ac:dyDescent="0.3">
      <c r="A3802" s="1">
        <v>67137</v>
      </c>
      <c r="B3802" s="1" t="s">
        <v>258</v>
      </c>
      <c r="C3802" s="1" t="s">
        <v>231</v>
      </c>
      <c r="D3802" s="2">
        <f t="shared" si="205"/>
        <v>2018</v>
      </c>
      <c r="E3802" s="2">
        <f t="shared" si="206"/>
        <v>8</v>
      </c>
      <c r="F3802" s="3" t="s">
        <v>179</v>
      </c>
      <c r="G3802" s="4">
        <v>43334</v>
      </c>
      <c r="H3802" s="1">
        <v>6593536</v>
      </c>
      <c r="I3802" s="1">
        <v>664946</v>
      </c>
      <c r="J3802" s="1" t="s">
        <v>188</v>
      </c>
      <c r="K3802" s="1"/>
      <c r="L3802" s="1" t="str">
        <f t="shared" si="204"/>
        <v xml:space="preserve">Ravalen </v>
      </c>
      <c r="M3802" s="1" t="s">
        <v>184</v>
      </c>
      <c r="N3802" s="1">
        <v>2</v>
      </c>
      <c r="O3802" s="1">
        <v>2</v>
      </c>
      <c r="V3802" s="1">
        <v>1.5450708661999999</v>
      </c>
      <c r="W3802" s="1">
        <v>13.2202</v>
      </c>
      <c r="X3802" s="1">
        <v>0.884629670000042</v>
      </c>
      <c r="Y3802" s="1">
        <v>6.7000000000000004E-2</v>
      </c>
      <c r="Z3802" s="1">
        <v>3.72</v>
      </c>
      <c r="AA3802" s="1">
        <v>0.56999999999999995</v>
      </c>
      <c r="AD3802" s="1">
        <v>0</v>
      </c>
      <c r="AE3802" s="1">
        <v>8.94</v>
      </c>
      <c r="AK3802" s="1">
        <v>17.149999999999999</v>
      </c>
      <c r="AL3802" s="1">
        <v>950.23</v>
      </c>
    </row>
    <row r="3803" spans="1:38" x14ac:dyDescent="0.3">
      <c r="A3803" s="1">
        <v>67138</v>
      </c>
      <c r="B3803" s="1" t="s">
        <v>258</v>
      </c>
      <c r="C3803" s="1" t="s">
        <v>231</v>
      </c>
      <c r="D3803" s="2">
        <f t="shared" si="205"/>
        <v>2018</v>
      </c>
      <c r="E3803" s="2">
        <f t="shared" si="206"/>
        <v>8</v>
      </c>
      <c r="F3803" s="3" t="s">
        <v>179</v>
      </c>
      <c r="G3803" s="4">
        <v>43334</v>
      </c>
      <c r="J3803" s="1" t="s">
        <v>188</v>
      </c>
      <c r="K3803" s="1"/>
      <c r="L3803" s="1" t="str">
        <f t="shared" si="204"/>
        <v xml:space="preserve">Ravalen </v>
      </c>
      <c r="M3803" s="1" t="s">
        <v>242</v>
      </c>
      <c r="N3803" s="1">
        <v>1</v>
      </c>
      <c r="O3803" s="1">
        <v>0</v>
      </c>
    </row>
    <row r="3804" spans="1:38" x14ac:dyDescent="0.3">
      <c r="A3804" s="1">
        <v>67139</v>
      </c>
      <c r="B3804" s="1" t="s">
        <v>258</v>
      </c>
      <c r="C3804" s="1" t="s">
        <v>231</v>
      </c>
      <c r="D3804" s="2">
        <f t="shared" si="205"/>
        <v>2018</v>
      </c>
      <c r="E3804" s="2">
        <f t="shared" si="206"/>
        <v>8</v>
      </c>
      <c r="F3804" s="3" t="s">
        <v>179</v>
      </c>
      <c r="G3804" s="4">
        <v>43334</v>
      </c>
      <c r="H3804" s="1">
        <v>6594092</v>
      </c>
      <c r="I3804" s="1">
        <v>661375</v>
      </c>
      <c r="J3804" s="1" t="s">
        <v>193</v>
      </c>
      <c r="K3804" s="1"/>
      <c r="L3804" s="1" t="str">
        <f t="shared" si="204"/>
        <v xml:space="preserve">Översjön </v>
      </c>
      <c r="M3804" s="1" t="s">
        <v>177</v>
      </c>
      <c r="N3804" s="1">
        <v>0.5</v>
      </c>
      <c r="O3804" s="1">
        <v>0.5</v>
      </c>
      <c r="P3804" s="1">
        <v>1.3</v>
      </c>
      <c r="Q3804" s="1">
        <v>19.7</v>
      </c>
      <c r="R3804" s="1">
        <v>10.199999999999999</v>
      </c>
      <c r="S3804" s="1">
        <v>112</v>
      </c>
      <c r="V3804" s="1">
        <v>2.0858456692999998</v>
      </c>
      <c r="W3804" s="1">
        <v>6.3992000000000004</v>
      </c>
      <c r="X3804" s="1">
        <v>0.52135177381526177</v>
      </c>
      <c r="Y3804" s="1">
        <v>5.6000000000000001E-2</v>
      </c>
      <c r="Z3804" s="1">
        <v>3.56</v>
      </c>
      <c r="AA3804" s="1">
        <v>8.8000000000000007</v>
      </c>
      <c r="AB3804" s="1">
        <v>31.487220000000001</v>
      </c>
      <c r="AD3804" s="1">
        <v>0</v>
      </c>
      <c r="AE3804" s="1">
        <v>8.36</v>
      </c>
      <c r="AK3804" s="1">
        <v>54.62</v>
      </c>
      <c r="AL3804" s="1">
        <v>1243.6400000000001</v>
      </c>
    </row>
    <row r="3805" spans="1:38" x14ac:dyDescent="0.3">
      <c r="A3805" s="1">
        <v>67140</v>
      </c>
      <c r="B3805" s="1" t="s">
        <v>258</v>
      </c>
      <c r="C3805" s="1" t="s">
        <v>231</v>
      </c>
      <c r="D3805" s="2">
        <f t="shared" si="205"/>
        <v>2018</v>
      </c>
      <c r="E3805" s="2">
        <f t="shared" si="206"/>
        <v>8</v>
      </c>
      <c r="F3805" s="3" t="s">
        <v>179</v>
      </c>
      <c r="G3805" s="4">
        <v>43334</v>
      </c>
      <c r="H3805" s="1">
        <v>6594092</v>
      </c>
      <c r="I3805" s="1">
        <v>661375</v>
      </c>
      <c r="J3805" s="1" t="s">
        <v>193</v>
      </c>
      <c r="K3805" s="1"/>
      <c r="L3805" s="1" t="str">
        <f t="shared" si="204"/>
        <v xml:space="preserve">Översjön </v>
      </c>
      <c r="M3805" s="1" t="s">
        <v>211</v>
      </c>
      <c r="N3805" s="1">
        <v>1</v>
      </c>
      <c r="O3805" s="1">
        <v>1</v>
      </c>
      <c r="Q3805" s="1">
        <v>19.7</v>
      </c>
      <c r="R3805" s="1">
        <v>10.1</v>
      </c>
      <c r="S3805" s="1">
        <v>111</v>
      </c>
    </row>
    <row r="3806" spans="1:38" x14ac:dyDescent="0.3">
      <c r="A3806" s="1">
        <v>67141</v>
      </c>
      <c r="B3806" s="1" t="s">
        <v>258</v>
      </c>
      <c r="C3806" s="1" t="s">
        <v>231</v>
      </c>
      <c r="D3806" s="2">
        <f t="shared" si="205"/>
        <v>2018</v>
      </c>
      <c r="E3806" s="2">
        <f t="shared" si="206"/>
        <v>8</v>
      </c>
      <c r="F3806" s="3" t="s">
        <v>179</v>
      </c>
      <c r="G3806" s="4">
        <v>43334</v>
      </c>
      <c r="H3806" s="1">
        <v>6594092</v>
      </c>
      <c r="I3806" s="1">
        <v>661375</v>
      </c>
      <c r="J3806" s="1" t="s">
        <v>193</v>
      </c>
      <c r="K3806" s="1"/>
      <c r="L3806" s="1" t="str">
        <f t="shared" si="204"/>
        <v xml:space="preserve">Översjön </v>
      </c>
      <c r="M3806" s="1" t="s">
        <v>212</v>
      </c>
      <c r="N3806" s="1">
        <v>2</v>
      </c>
      <c r="O3806" s="1">
        <v>2</v>
      </c>
      <c r="Q3806" s="1">
        <v>19.7</v>
      </c>
      <c r="R3806" s="1">
        <v>9.9</v>
      </c>
      <c r="S3806" s="1">
        <v>109</v>
      </c>
    </row>
    <row r="3807" spans="1:38" x14ac:dyDescent="0.3">
      <c r="A3807" s="1">
        <v>67142</v>
      </c>
      <c r="B3807" s="1" t="s">
        <v>258</v>
      </c>
      <c r="C3807" s="1" t="s">
        <v>231</v>
      </c>
      <c r="D3807" s="2">
        <f t="shared" si="205"/>
        <v>2018</v>
      </c>
      <c r="E3807" s="2">
        <f t="shared" si="206"/>
        <v>8</v>
      </c>
      <c r="F3807" s="3" t="s">
        <v>179</v>
      </c>
      <c r="G3807" s="4">
        <v>43334</v>
      </c>
      <c r="H3807" s="1">
        <v>6594092</v>
      </c>
      <c r="I3807" s="1">
        <v>661375</v>
      </c>
      <c r="J3807" s="1" t="s">
        <v>193</v>
      </c>
      <c r="K3807" s="1"/>
      <c r="L3807" s="1" t="str">
        <f t="shared" si="204"/>
        <v xml:space="preserve">Översjön </v>
      </c>
      <c r="M3807" s="1" t="s">
        <v>213</v>
      </c>
      <c r="N3807" s="1">
        <v>3</v>
      </c>
      <c r="O3807" s="1">
        <v>3</v>
      </c>
      <c r="Q3807" s="1">
        <v>19.600000000000001</v>
      </c>
      <c r="R3807" s="1">
        <v>9.5</v>
      </c>
      <c r="S3807" s="1">
        <v>104</v>
      </c>
    </row>
    <row r="3808" spans="1:38" x14ac:dyDescent="0.3">
      <c r="A3808" s="1">
        <v>67143</v>
      </c>
      <c r="B3808" s="1" t="s">
        <v>258</v>
      </c>
      <c r="C3808" s="1" t="s">
        <v>231</v>
      </c>
      <c r="D3808" s="2">
        <f t="shared" si="205"/>
        <v>2018</v>
      </c>
      <c r="E3808" s="2">
        <f t="shared" si="206"/>
        <v>8</v>
      </c>
      <c r="F3808" s="3" t="s">
        <v>179</v>
      </c>
      <c r="G3808" s="4">
        <v>43334</v>
      </c>
      <c r="H3808" s="1">
        <v>6594092</v>
      </c>
      <c r="I3808" s="1">
        <v>661375</v>
      </c>
      <c r="J3808" s="1" t="s">
        <v>193</v>
      </c>
      <c r="K3808" s="1"/>
      <c r="L3808" s="1" t="str">
        <f t="shared" si="204"/>
        <v xml:space="preserve">Översjön </v>
      </c>
      <c r="M3808" s="1" t="s">
        <v>184</v>
      </c>
      <c r="N3808" s="1">
        <v>4</v>
      </c>
      <c r="O3808" s="1">
        <v>4</v>
      </c>
      <c r="Q3808" s="1">
        <v>19.600000000000001</v>
      </c>
      <c r="R3808" s="1">
        <v>9.5</v>
      </c>
      <c r="S3808" s="1">
        <v>104</v>
      </c>
      <c r="V3808" s="1">
        <v>2.1051590551000001</v>
      </c>
      <c r="W3808" s="1">
        <v>4.3273000000000001</v>
      </c>
      <c r="X3808" s="1">
        <v>5.5742763770884447E-2</v>
      </c>
      <c r="Y3808" s="1">
        <v>5.7000000000000002E-2</v>
      </c>
      <c r="Z3808" s="1">
        <v>0</v>
      </c>
      <c r="AA3808" s="1">
        <v>8.8000000000000007</v>
      </c>
      <c r="AD3808" s="1">
        <v>0</v>
      </c>
      <c r="AE3808" s="1">
        <v>8.1999999999999993</v>
      </c>
      <c r="AK3808" s="1">
        <v>61.45</v>
      </c>
      <c r="AL3808" s="1">
        <v>1314.39</v>
      </c>
    </row>
    <row r="3809" spans="1:91" x14ac:dyDescent="0.3">
      <c r="A3809" s="1">
        <v>67144</v>
      </c>
      <c r="B3809" s="1" t="s">
        <v>258</v>
      </c>
      <c r="C3809" s="1" t="s">
        <v>231</v>
      </c>
      <c r="D3809" s="2">
        <f t="shared" si="205"/>
        <v>2018</v>
      </c>
      <c r="E3809" s="2">
        <f t="shared" si="206"/>
        <v>8</v>
      </c>
      <c r="F3809" s="3" t="s">
        <v>179</v>
      </c>
      <c r="G3809" s="4">
        <v>43334</v>
      </c>
      <c r="J3809" s="1" t="s">
        <v>193</v>
      </c>
      <c r="K3809" s="1"/>
      <c r="L3809" s="1" t="str">
        <f t="shared" si="204"/>
        <v xml:space="preserve">Översjön </v>
      </c>
      <c r="M3809" s="1" t="s">
        <v>225</v>
      </c>
      <c r="N3809" s="1">
        <v>2</v>
      </c>
      <c r="O3809" s="1">
        <v>0</v>
      </c>
    </row>
    <row r="3810" spans="1:91" x14ac:dyDescent="0.3">
      <c r="A3810" s="1">
        <v>67145</v>
      </c>
      <c r="B3810" s="1" t="s">
        <v>258</v>
      </c>
      <c r="C3810" s="1" t="s">
        <v>231</v>
      </c>
      <c r="D3810" s="2">
        <f t="shared" si="205"/>
        <v>2018</v>
      </c>
      <c r="E3810" s="2">
        <f t="shared" si="206"/>
        <v>8</v>
      </c>
      <c r="F3810" s="3" t="s">
        <v>179</v>
      </c>
      <c r="G3810" s="4">
        <v>43334</v>
      </c>
      <c r="H3810" s="1">
        <v>6593594</v>
      </c>
      <c r="I3810" s="1">
        <v>669799</v>
      </c>
      <c r="J3810" s="1" t="s">
        <v>189</v>
      </c>
      <c r="K3810" s="1"/>
      <c r="L3810" s="1" t="str">
        <f t="shared" si="204"/>
        <v xml:space="preserve">Rösjön </v>
      </c>
      <c r="M3810" s="1" t="s">
        <v>177</v>
      </c>
      <c r="N3810" s="1">
        <v>0.5</v>
      </c>
      <c r="O3810" s="1">
        <v>0.5</v>
      </c>
      <c r="P3810" s="1">
        <v>3.1</v>
      </c>
      <c r="Q3810" s="1">
        <v>20.8</v>
      </c>
      <c r="R3810" s="1">
        <v>8.8000000000000007</v>
      </c>
      <c r="S3810" s="1">
        <v>99</v>
      </c>
      <c r="V3810" s="1">
        <v>1.7698635294</v>
      </c>
      <c r="W3810" s="1">
        <v>5.9870000000000001</v>
      </c>
      <c r="X3810" s="1">
        <v>0.21106611252283833</v>
      </c>
      <c r="Y3810" s="1">
        <v>3.4000000000000002E-2</v>
      </c>
      <c r="Z3810" s="1">
        <v>0.19</v>
      </c>
      <c r="AA3810" s="1">
        <v>2.5</v>
      </c>
      <c r="AB3810" s="1">
        <v>9.3837600000000005</v>
      </c>
      <c r="AD3810" s="1">
        <v>3.82</v>
      </c>
      <c r="AE3810" s="1">
        <v>7.94</v>
      </c>
      <c r="AI3810" s="1">
        <v>10.63</v>
      </c>
      <c r="AJ3810" s="1">
        <v>9.8379999999999992</v>
      </c>
      <c r="AK3810" s="1">
        <v>35.409999999999997</v>
      </c>
      <c r="AL3810" s="1">
        <v>668.85</v>
      </c>
      <c r="AR3810" s="1">
        <v>32</v>
      </c>
      <c r="AS3810" s="1">
        <v>4.87E-2</v>
      </c>
      <c r="AT3810" s="1">
        <v>2.4500000000000002</v>
      </c>
      <c r="AU3810" s="1">
        <v>4.41</v>
      </c>
      <c r="AW3810" s="1">
        <v>15.6</v>
      </c>
      <c r="AY3810" s="1">
        <v>0.36799999999999899</v>
      </c>
      <c r="AZ3810" s="1">
        <v>19.2</v>
      </c>
      <c r="BA3810" s="1">
        <v>1.3</v>
      </c>
      <c r="BB3810" s="1">
        <v>19.7</v>
      </c>
      <c r="BC3810" s="1">
        <v>1E-3</v>
      </c>
      <c r="BD3810" s="1">
        <v>3.0800000000000001E-2</v>
      </c>
      <c r="BE3810" s="1">
        <v>4.5900000000000003E-2</v>
      </c>
      <c r="BF3810" s="1">
        <v>0.55900000000000005</v>
      </c>
      <c r="BG3810" s="1">
        <v>1E-3</v>
      </c>
      <c r="BH3810" s="1">
        <v>27.1</v>
      </c>
      <c r="BI3810" s="1">
        <v>0.749</v>
      </c>
      <c r="BJ3810" s="1">
        <v>0.495</v>
      </c>
      <c r="BK3810" s="1">
        <v>21.2</v>
      </c>
      <c r="BL3810" s="1">
        <v>9.2600000000000002E-2</v>
      </c>
      <c r="BM3810" s="1">
        <v>79.099999999999895</v>
      </c>
      <c r="BN3810" s="1">
        <v>0.41699999999999898</v>
      </c>
      <c r="BO3810" s="1">
        <v>0.63900000000000001</v>
      </c>
      <c r="BQ3810" s="1">
        <v>2.62</v>
      </c>
      <c r="BR3810" s="1">
        <v>3.3999999999999898E-3</v>
      </c>
      <c r="BS3810" s="1">
        <v>1.46E-2</v>
      </c>
      <c r="BT3810" s="1">
        <v>2.2499999999999899E-2</v>
      </c>
      <c r="BU3810" s="1">
        <v>0.58799999999999897</v>
      </c>
      <c r="BV3810" s="1">
        <v>0.31</v>
      </c>
      <c r="BW3810" s="1">
        <v>0.40600000000000003</v>
      </c>
      <c r="BX3810" s="1">
        <v>1.3100000000000001E-2</v>
      </c>
      <c r="BY3810" s="1">
        <v>0.66700000000000004</v>
      </c>
      <c r="BZ3810" s="1">
        <v>32.4</v>
      </c>
      <c r="CA3810" s="1">
        <v>4.4400000000000004</v>
      </c>
      <c r="CC3810" s="1">
        <v>6.3299999999999901E-3</v>
      </c>
      <c r="CD3810" s="1">
        <v>2.46</v>
      </c>
      <c r="CE3810" s="1">
        <v>15.9</v>
      </c>
      <c r="CF3810" s="1">
        <v>0.34499999999999897</v>
      </c>
      <c r="CG3810" s="1">
        <v>1.26</v>
      </c>
      <c r="CH3810" s="1">
        <v>19</v>
      </c>
      <c r="CI3810" s="1">
        <v>1E-3</v>
      </c>
      <c r="CJ3810" s="1">
        <v>0.752</v>
      </c>
      <c r="CK3810" s="1">
        <v>11.8</v>
      </c>
      <c r="CL3810" s="1">
        <v>0.34100000000000003</v>
      </c>
      <c r="CM3810" s="1">
        <v>78.7</v>
      </c>
    </row>
    <row r="3811" spans="1:91" x14ac:dyDescent="0.3">
      <c r="A3811" s="1">
        <v>67146</v>
      </c>
      <c r="B3811" s="1" t="s">
        <v>258</v>
      </c>
      <c r="C3811" s="1" t="s">
        <v>231</v>
      </c>
      <c r="D3811" s="2">
        <f t="shared" si="205"/>
        <v>2018</v>
      </c>
      <c r="E3811" s="2">
        <f t="shared" si="206"/>
        <v>8</v>
      </c>
      <c r="F3811" s="3" t="s">
        <v>179</v>
      </c>
      <c r="G3811" s="4">
        <v>43334</v>
      </c>
      <c r="H3811" s="1">
        <v>6593594</v>
      </c>
      <c r="I3811" s="1">
        <v>669799</v>
      </c>
      <c r="J3811" s="1" t="s">
        <v>189</v>
      </c>
      <c r="K3811" s="1"/>
      <c r="L3811" s="1" t="str">
        <f t="shared" si="204"/>
        <v xml:space="preserve">Rösjön </v>
      </c>
      <c r="M3811" s="1" t="s">
        <v>211</v>
      </c>
      <c r="N3811" s="1">
        <v>1</v>
      </c>
      <c r="O3811" s="1">
        <v>1</v>
      </c>
      <c r="Q3811" s="1">
        <v>20.7</v>
      </c>
      <c r="R3811" s="1">
        <v>8.8000000000000007</v>
      </c>
      <c r="S3811" s="1">
        <v>98</v>
      </c>
    </row>
    <row r="3812" spans="1:91" x14ac:dyDescent="0.3">
      <c r="A3812" s="1">
        <v>67147</v>
      </c>
      <c r="B3812" s="1" t="s">
        <v>258</v>
      </c>
      <c r="C3812" s="1" t="s">
        <v>231</v>
      </c>
      <c r="D3812" s="2">
        <f t="shared" si="205"/>
        <v>2018</v>
      </c>
      <c r="E3812" s="2">
        <f t="shared" si="206"/>
        <v>8</v>
      </c>
      <c r="F3812" s="3" t="s">
        <v>179</v>
      </c>
      <c r="G3812" s="4">
        <v>43334</v>
      </c>
      <c r="H3812" s="1">
        <v>6593594</v>
      </c>
      <c r="I3812" s="1">
        <v>669799</v>
      </c>
      <c r="J3812" s="1" t="s">
        <v>189</v>
      </c>
      <c r="K3812" s="1"/>
      <c r="L3812" s="1" t="str">
        <f t="shared" si="204"/>
        <v xml:space="preserve">Rösjön </v>
      </c>
      <c r="M3812" s="1" t="s">
        <v>212</v>
      </c>
      <c r="N3812" s="1">
        <v>2</v>
      </c>
      <c r="O3812" s="1">
        <v>2</v>
      </c>
      <c r="Q3812" s="1">
        <v>20.2</v>
      </c>
      <c r="R3812" s="1">
        <v>8.4</v>
      </c>
      <c r="S3812" s="1">
        <v>93</v>
      </c>
    </row>
    <row r="3813" spans="1:91" x14ac:dyDescent="0.3">
      <c r="A3813" s="1">
        <v>67148</v>
      </c>
      <c r="B3813" s="1" t="s">
        <v>258</v>
      </c>
      <c r="C3813" s="1" t="s">
        <v>231</v>
      </c>
      <c r="D3813" s="2">
        <f t="shared" si="205"/>
        <v>2018</v>
      </c>
      <c r="E3813" s="2">
        <f t="shared" si="206"/>
        <v>8</v>
      </c>
      <c r="F3813" s="3" t="s">
        <v>179</v>
      </c>
      <c r="G3813" s="4">
        <v>43334</v>
      </c>
      <c r="H3813" s="1">
        <v>6593594</v>
      </c>
      <c r="I3813" s="1">
        <v>669799</v>
      </c>
      <c r="J3813" s="1" t="s">
        <v>189</v>
      </c>
      <c r="K3813" s="1"/>
      <c r="L3813" s="1" t="str">
        <f t="shared" si="204"/>
        <v xml:space="preserve">Rösjön </v>
      </c>
      <c r="M3813" s="1" t="s">
        <v>213</v>
      </c>
      <c r="N3813" s="1">
        <v>3</v>
      </c>
      <c r="O3813" s="1">
        <v>3</v>
      </c>
      <c r="Q3813" s="1">
        <v>20.100000000000001</v>
      </c>
      <c r="R3813" s="1">
        <v>8.1999999999999993</v>
      </c>
      <c r="S3813" s="1">
        <v>91</v>
      </c>
    </row>
    <row r="3814" spans="1:91" x14ac:dyDescent="0.3">
      <c r="A3814" s="1">
        <v>67149</v>
      </c>
      <c r="B3814" s="1" t="s">
        <v>258</v>
      </c>
      <c r="C3814" s="1" t="s">
        <v>231</v>
      </c>
      <c r="D3814" s="2">
        <f t="shared" si="205"/>
        <v>2018</v>
      </c>
      <c r="E3814" s="2">
        <f t="shared" si="206"/>
        <v>8</v>
      </c>
      <c r="F3814" s="3" t="s">
        <v>179</v>
      </c>
      <c r="G3814" s="4">
        <v>43334</v>
      </c>
      <c r="H3814" s="1">
        <v>6593594</v>
      </c>
      <c r="I3814" s="1">
        <v>669799</v>
      </c>
      <c r="J3814" s="1" t="s">
        <v>189</v>
      </c>
      <c r="K3814" s="1"/>
      <c r="L3814" s="1" t="str">
        <f t="shared" si="204"/>
        <v xml:space="preserve">Rösjön </v>
      </c>
      <c r="M3814" s="1" t="s">
        <v>214</v>
      </c>
      <c r="N3814" s="1">
        <v>4</v>
      </c>
      <c r="O3814" s="1">
        <v>4</v>
      </c>
      <c r="Q3814" s="1">
        <v>20.100000000000001</v>
      </c>
      <c r="R3814" s="1">
        <v>8.1999999999999993</v>
      </c>
      <c r="S3814" s="1">
        <v>91</v>
      </c>
    </row>
    <row r="3815" spans="1:91" x14ac:dyDescent="0.3">
      <c r="A3815" s="1">
        <v>67150</v>
      </c>
      <c r="B3815" s="1" t="s">
        <v>258</v>
      </c>
      <c r="C3815" s="1" t="s">
        <v>231</v>
      </c>
      <c r="D3815" s="2">
        <f t="shared" si="205"/>
        <v>2018</v>
      </c>
      <c r="E3815" s="2">
        <f t="shared" si="206"/>
        <v>8</v>
      </c>
      <c r="F3815" s="3" t="s">
        <v>179</v>
      </c>
      <c r="G3815" s="4">
        <v>43334</v>
      </c>
      <c r="H3815" s="1">
        <v>6593594</v>
      </c>
      <c r="I3815" s="1">
        <v>669799</v>
      </c>
      <c r="J3815" s="1" t="s">
        <v>189</v>
      </c>
      <c r="K3815" s="1"/>
      <c r="L3815" s="1" t="str">
        <f t="shared" si="204"/>
        <v xml:space="preserve">Rösjön </v>
      </c>
      <c r="M3815" s="1" t="s">
        <v>217</v>
      </c>
      <c r="N3815" s="1">
        <v>5</v>
      </c>
      <c r="O3815" s="1">
        <v>5</v>
      </c>
      <c r="Q3815" s="1">
        <v>20.100000000000001</v>
      </c>
      <c r="R3815" s="1">
        <v>8</v>
      </c>
      <c r="S3815" s="1">
        <v>89</v>
      </c>
    </row>
    <row r="3816" spans="1:91" x14ac:dyDescent="0.3">
      <c r="A3816" s="1">
        <v>67151</v>
      </c>
      <c r="B3816" s="1" t="s">
        <v>258</v>
      </c>
      <c r="C3816" s="1" t="s">
        <v>231</v>
      </c>
      <c r="D3816" s="2">
        <f t="shared" si="205"/>
        <v>2018</v>
      </c>
      <c r="E3816" s="2">
        <f t="shared" si="206"/>
        <v>8</v>
      </c>
      <c r="F3816" s="3" t="s">
        <v>179</v>
      </c>
      <c r="G3816" s="4">
        <v>43334</v>
      </c>
      <c r="H3816" s="1">
        <v>6593594</v>
      </c>
      <c r="I3816" s="1">
        <v>669799</v>
      </c>
      <c r="J3816" s="1" t="s">
        <v>189</v>
      </c>
      <c r="K3816" s="1"/>
      <c r="L3816" s="1" t="str">
        <f t="shared" si="204"/>
        <v xml:space="preserve">Rösjön </v>
      </c>
      <c r="M3816" s="1" t="s">
        <v>218</v>
      </c>
      <c r="N3816" s="1">
        <v>6</v>
      </c>
      <c r="O3816" s="1">
        <v>6</v>
      </c>
      <c r="Q3816" s="1">
        <v>20.100000000000001</v>
      </c>
      <c r="R3816" s="1">
        <v>7.8</v>
      </c>
      <c r="S3816" s="1">
        <v>87</v>
      </c>
    </row>
    <row r="3817" spans="1:91" x14ac:dyDescent="0.3">
      <c r="A3817" s="1">
        <v>67152</v>
      </c>
      <c r="B3817" s="1" t="s">
        <v>258</v>
      </c>
      <c r="C3817" s="1" t="s">
        <v>231</v>
      </c>
      <c r="D3817" s="2">
        <f t="shared" si="205"/>
        <v>2018</v>
      </c>
      <c r="E3817" s="2">
        <f t="shared" si="206"/>
        <v>8</v>
      </c>
      <c r="F3817" s="3" t="s">
        <v>179</v>
      </c>
      <c r="G3817" s="4">
        <v>43334</v>
      </c>
      <c r="H3817" s="1">
        <v>6593594</v>
      </c>
      <c r="I3817" s="1">
        <v>669799</v>
      </c>
      <c r="J3817" s="1" t="s">
        <v>189</v>
      </c>
      <c r="K3817" s="1"/>
      <c r="L3817" s="1" t="str">
        <f t="shared" si="204"/>
        <v xml:space="preserve">Rösjön </v>
      </c>
      <c r="M3817" s="1" t="s">
        <v>184</v>
      </c>
      <c r="N3817" s="1">
        <v>7</v>
      </c>
      <c r="O3817" s="1">
        <v>7</v>
      </c>
      <c r="Q3817" s="1">
        <v>20.100000000000001</v>
      </c>
      <c r="R3817" s="1">
        <v>7.7</v>
      </c>
      <c r="S3817" s="1">
        <v>85</v>
      </c>
      <c r="V3817" s="1">
        <v>1.7698635294</v>
      </c>
      <c r="W3817" s="1">
        <v>12.200200000000001</v>
      </c>
      <c r="X3817" s="1">
        <v>0.43765227242542287</v>
      </c>
      <c r="Y3817" s="1">
        <v>3.2000000000000001E-2</v>
      </c>
      <c r="Z3817" s="1">
        <v>1.61</v>
      </c>
      <c r="AA3817" s="1">
        <v>3.8</v>
      </c>
      <c r="AD3817" s="1">
        <v>3.66</v>
      </c>
      <c r="AE3817" s="1">
        <v>7.97</v>
      </c>
      <c r="AK3817" s="1">
        <v>32.299999999999997</v>
      </c>
      <c r="AL3817" s="1">
        <v>612.64</v>
      </c>
    </row>
    <row r="3818" spans="1:91" x14ac:dyDescent="0.3">
      <c r="A3818" s="1">
        <v>67153</v>
      </c>
      <c r="B3818" s="1" t="s">
        <v>258</v>
      </c>
      <c r="C3818" s="1" t="s">
        <v>231</v>
      </c>
      <c r="D3818" s="2">
        <f t="shared" si="205"/>
        <v>2018</v>
      </c>
      <c r="E3818" s="2">
        <f t="shared" si="206"/>
        <v>8</v>
      </c>
      <c r="F3818" s="3" t="s">
        <v>179</v>
      </c>
      <c r="G3818" s="4">
        <v>43334</v>
      </c>
      <c r="J3818" s="1" t="s">
        <v>189</v>
      </c>
      <c r="K3818" s="1"/>
      <c r="L3818" s="1" t="str">
        <f t="shared" si="204"/>
        <v xml:space="preserve">Rösjön </v>
      </c>
      <c r="M3818" s="1" t="s">
        <v>225</v>
      </c>
      <c r="N3818" s="1">
        <v>2</v>
      </c>
      <c r="O3818" s="1">
        <v>0</v>
      </c>
    </row>
    <row r="3819" spans="1:91" x14ac:dyDescent="0.3">
      <c r="A3819" s="1">
        <v>67154</v>
      </c>
      <c r="B3819" s="1" t="s">
        <v>258</v>
      </c>
      <c r="C3819" s="1" t="s">
        <v>231</v>
      </c>
      <c r="D3819" s="2">
        <f t="shared" si="205"/>
        <v>2018</v>
      </c>
      <c r="E3819" s="2">
        <f t="shared" si="206"/>
        <v>8</v>
      </c>
      <c r="F3819" s="3" t="s">
        <v>179</v>
      </c>
      <c r="G3819" s="4">
        <v>43334</v>
      </c>
      <c r="H3819" s="1">
        <v>6594739</v>
      </c>
      <c r="I3819" s="1">
        <v>668531</v>
      </c>
      <c r="J3819" s="1" t="s">
        <v>192</v>
      </c>
      <c r="K3819" s="1"/>
      <c r="L3819" s="1" t="str">
        <f t="shared" si="204"/>
        <v xml:space="preserve">Väsjön </v>
      </c>
      <c r="M3819" s="1" t="s">
        <v>177</v>
      </c>
      <c r="N3819" s="1">
        <v>0.5</v>
      </c>
      <c r="O3819" s="1">
        <v>0.5</v>
      </c>
      <c r="P3819" s="1">
        <v>2.2999999999999998</v>
      </c>
      <c r="Q3819" s="1">
        <v>19.399999999999999</v>
      </c>
      <c r="R3819" s="1">
        <v>8.5</v>
      </c>
      <c r="S3819" s="1">
        <v>93</v>
      </c>
      <c r="V3819" s="1">
        <v>3.5012517647000001</v>
      </c>
      <c r="W3819" s="1">
        <v>4.8436000000000003</v>
      </c>
      <c r="X3819" s="1">
        <v>0.14146477324492152</v>
      </c>
      <c r="Y3819" s="1">
        <v>6.3E-2</v>
      </c>
      <c r="Z3819" s="1">
        <v>0</v>
      </c>
      <c r="AA3819" s="1">
        <v>1.2</v>
      </c>
      <c r="AB3819" s="1">
        <v>7.9226099999999997</v>
      </c>
      <c r="AD3819" s="1">
        <v>2.81</v>
      </c>
      <c r="AE3819" s="1">
        <v>7.9</v>
      </c>
      <c r="AI3819" s="1">
        <v>15.82</v>
      </c>
      <c r="AJ3819" s="1">
        <v>14.66</v>
      </c>
      <c r="AK3819" s="1">
        <v>24.13</v>
      </c>
      <c r="AL3819" s="1">
        <v>752.04</v>
      </c>
      <c r="AR3819" s="1">
        <v>62.8</v>
      </c>
      <c r="AS3819" s="1">
        <v>6.7000000000000002E-3</v>
      </c>
      <c r="AT3819" s="1">
        <v>4.58</v>
      </c>
      <c r="AU3819" s="1">
        <v>9.0500000000000007</v>
      </c>
      <c r="AW3819" s="1">
        <v>42.5</v>
      </c>
      <c r="AY3819" s="1">
        <v>1.63</v>
      </c>
      <c r="AZ3819" s="1">
        <v>2.95</v>
      </c>
      <c r="BA3819" s="1">
        <v>1.01</v>
      </c>
      <c r="BB3819" s="1">
        <v>37.5</v>
      </c>
      <c r="BC3819" s="1">
        <v>1E-3</v>
      </c>
      <c r="BD3819" s="1">
        <v>3.47999999999999E-2</v>
      </c>
      <c r="BE3819" s="1">
        <v>3.5099999999999902E-2</v>
      </c>
      <c r="BF3819" s="1">
        <v>0.17599999999999899</v>
      </c>
      <c r="BG3819" s="1">
        <v>1E-3</v>
      </c>
      <c r="BH3819" s="1">
        <v>14.1</v>
      </c>
      <c r="BI3819" s="1">
        <v>1.44</v>
      </c>
      <c r="BJ3819" s="1">
        <v>0.308</v>
      </c>
      <c r="BK3819" s="1">
        <v>15.3</v>
      </c>
      <c r="BL3819" s="1">
        <v>3.1099999999999899E-2</v>
      </c>
      <c r="BM3819" s="1">
        <v>161</v>
      </c>
      <c r="BN3819" s="1">
        <v>0.44700000000000001</v>
      </c>
      <c r="BO3819" s="1">
        <v>0.626</v>
      </c>
      <c r="BQ3819" s="1">
        <v>0.98</v>
      </c>
      <c r="BR3819" s="1">
        <v>1E-3</v>
      </c>
      <c r="BS3819" s="1">
        <v>2.5600000000000001E-2</v>
      </c>
      <c r="BT3819" s="1">
        <v>2.76E-2</v>
      </c>
      <c r="BU3819" s="1">
        <v>0.186</v>
      </c>
      <c r="BV3819" s="1">
        <v>0.35599999999999898</v>
      </c>
      <c r="BW3819" s="1">
        <v>0.318</v>
      </c>
      <c r="BX3819" s="1">
        <v>5.0000000000000001E-3</v>
      </c>
      <c r="BY3819" s="1">
        <v>1.27</v>
      </c>
      <c r="BZ3819" s="1">
        <v>63.8</v>
      </c>
      <c r="CA3819" s="1">
        <v>9.15</v>
      </c>
      <c r="CC3819" s="1">
        <v>2.31E-3</v>
      </c>
      <c r="CD3819" s="1">
        <v>4.63</v>
      </c>
      <c r="CE3819" s="1">
        <v>42.7</v>
      </c>
      <c r="CF3819" s="1">
        <v>1.63</v>
      </c>
      <c r="CG3819" s="1">
        <v>1.02</v>
      </c>
      <c r="CH3819" s="1">
        <v>37.700000000000003</v>
      </c>
      <c r="CI3819" s="1">
        <v>1E-3</v>
      </c>
      <c r="CJ3819" s="1">
        <v>1.7</v>
      </c>
      <c r="CK3819" s="1">
        <v>10.8</v>
      </c>
      <c r="CL3819" s="1">
        <v>0.44400000000000001</v>
      </c>
      <c r="CM3819" s="1">
        <v>163</v>
      </c>
    </row>
    <row r="3820" spans="1:91" x14ac:dyDescent="0.3">
      <c r="A3820" s="1">
        <v>67155</v>
      </c>
      <c r="B3820" s="1" t="s">
        <v>258</v>
      </c>
      <c r="C3820" s="1" t="s">
        <v>231</v>
      </c>
      <c r="D3820" s="2">
        <f t="shared" si="205"/>
        <v>2018</v>
      </c>
      <c r="E3820" s="2">
        <f t="shared" si="206"/>
        <v>8</v>
      </c>
      <c r="F3820" s="3" t="s">
        <v>179</v>
      </c>
      <c r="G3820" s="4">
        <v>43334</v>
      </c>
      <c r="H3820" s="1">
        <v>6594739</v>
      </c>
      <c r="I3820" s="1">
        <v>668531</v>
      </c>
      <c r="J3820" s="1" t="s">
        <v>192</v>
      </c>
      <c r="K3820" s="1"/>
      <c r="L3820" s="1" t="str">
        <f t="shared" si="204"/>
        <v xml:space="preserve">Väsjön </v>
      </c>
      <c r="M3820" s="1" t="s">
        <v>211</v>
      </c>
      <c r="N3820" s="1">
        <v>1</v>
      </c>
      <c r="O3820" s="1">
        <v>1</v>
      </c>
      <c r="Q3820" s="1">
        <v>19.2</v>
      </c>
      <c r="R3820" s="1">
        <v>8.8000000000000007</v>
      </c>
      <c r="S3820" s="1">
        <v>95</v>
      </c>
    </row>
    <row r="3821" spans="1:91" x14ac:dyDescent="0.3">
      <c r="A3821" s="1">
        <v>67156</v>
      </c>
      <c r="B3821" s="1" t="s">
        <v>258</v>
      </c>
      <c r="C3821" s="1" t="s">
        <v>231</v>
      </c>
      <c r="D3821" s="2">
        <f t="shared" si="205"/>
        <v>2018</v>
      </c>
      <c r="E3821" s="2">
        <f t="shared" si="206"/>
        <v>8</v>
      </c>
      <c r="F3821" s="3" t="s">
        <v>179</v>
      </c>
      <c r="G3821" s="4">
        <v>43334</v>
      </c>
      <c r="H3821" s="1">
        <v>6594739</v>
      </c>
      <c r="I3821" s="1">
        <v>668531</v>
      </c>
      <c r="J3821" s="1" t="s">
        <v>192</v>
      </c>
      <c r="K3821" s="1"/>
      <c r="L3821" s="1" t="str">
        <f t="shared" si="204"/>
        <v xml:space="preserve">Väsjön </v>
      </c>
      <c r="M3821" s="1" t="s">
        <v>212</v>
      </c>
      <c r="N3821" s="1">
        <v>2</v>
      </c>
      <c r="O3821" s="1">
        <v>2</v>
      </c>
      <c r="Q3821" s="1">
        <v>19</v>
      </c>
      <c r="R3821" s="1">
        <v>9.3000000000000007</v>
      </c>
      <c r="S3821" s="1">
        <v>101</v>
      </c>
    </row>
    <row r="3822" spans="1:91" x14ac:dyDescent="0.3">
      <c r="A3822" s="1">
        <v>67157</v>
      </c>
      <c r="B3822" s="1" t="s">
        <v>258</v>
      </c>
      <c r="C3822" s="1" t="s">
        <v>231</v>
      </c>
      <c r="D3822" s="2">
        <f t="shared" si="205"/>
        <v>2018</v>
      </c>
      <c r="E3822" s="2">
        <f t="shared" si="206"/>
        <v>8</v>
      </c>
      <c r="F3822" s="3" t="s">
        <v>179</v>
      </c>
      <c r="G3822" s="4">
        <v>43334</v>
      </c>
      <c r="H3822" s="1">
        <v>6594739</v>
      </c>
      <c r="I3822" s="1">
        <v>668531</v>
      </c>
      <c r="J3822" s="1" t="s">
        <v>192</v>
      </c>
      <c r="K3822" s="1"/>
      <c r="L3822" s="1" t="str">
        <f t="shared" si="204"/>
        <v xml:space="preserve">Väsjön </v>
      </c>
      <c r="M3822" s="1" t="s">
        <v>184</v>
      </c>
      <c r="N3822" s="1">
        <v>2.5</v>
      </c>
      <c r="O3822" s="1">
        <v>2.5</v>
      </c>
      <c r="Q3822" s="1">
        <v>18.899999999999999</v>
      </c>
      <c r="R3822" s="1">
        <v>9.1999999999999993</v>
      </c>
      <c r="S3822" s="1">
        <v>100</v>
      </c>
      <c r="V3822" s="1">
        <v>3.5974400000000002</v>
      </c>
      <c r="W3822" s="1">
        <v>3.9510000000000001</v>
      </c>
      <c r="X3822" s="1">
        <v>0.12730930504381563</v>
      </c>
      <c r="Y3822" s="1">
        <v>6.5000000000000002E-2</v>
      </c>
      <c r="Z3822" s="1">
        <v>0</v>
      </c>
      <c r="AA3822" s="1">
        <v>1.35</v>
      </c>
      <c r="AD3822" s="1">
        <v>2.58</v>
      </c>
      <c r="AE3822" s="1">
        <v>7.96</v>
      </c>
      <c r="AK3822" s="1">
        <v>26.12</v>
      </c>
      <c r="AL3822" s="1">
        <v>775.26</v>
      </c>
    </row>
    <row r="3823" spans="1:91" x14ac:dyDescent="0.3">
      <c r="A3823" s="1">
        <v>67158</v>
      </c>
      <c r="B3823" s="1" t="s">
        <v>258</v>
      </c>
      <c r="C3823" s="1" t="s">
        <v>231</v>
      </c>
      <c r="D3823" s="2">
        <f t="shared" si="205"/>
        <v>2018</v>
      </c>
      <c r="E3823" s="2">
        <f t="shared" si="206"/>
        <v>8</v>
      </c>
      <c r="F3823" s="3" t="s">
        <v>179</v>
      </c>
      <c r="G3823" s="4">
        <v>43334</v>
      </c>
      <c r="J3823" s="1" t="s">
        <v>192</v>
      </c>
      <c r="K3823" s="1"/>
      <c r="L3823" s="1" t="str">
        <f t="shared" si="204"/>
        <v xml:space="preserve">Väsjön </v>
      </c>
      <c r="M3823" s="1" t="s">
        <v>242</v>
      </c>
      <c r="N3823" s="1">
        <v>1</v>
      </c>
      <c r="O3823" s="1">
        <v>0</v>
      </c>
    </row>
    <row r="3824" spans="1:91" x14ac:dyDescent="0.3">
      <c r="A3824" s="1">
        <v>67159</v>
      </c>
      <c r="B3824" s="1" t="s">
        <v>258</v>
      </c>
      <c r="C3824" s="1" t="s">
        <v>231</v>
      </c>
      <c r="D3824" s="2">
        <f t="shared" si="205"/>
        <v>2018</v>
      </c>
      <c r="E3824" s="2">
        <f t="shared" si="206"/>
        <v>8</v>
      </c>
      <c r="F3824" s="3" t="s">
        <v>179</v>
      </c>
      <c r="G3824" s="4">
        <v>43334</v>
      </c>
      <c r="H3824" s="1">
        <v>6599384</v>
      </c>
      <c r="I3824" s="1">
        <v>662805</v>
      </c>
      <c r="J3824" s="1" t="s">
        <v>182</v>
      </c>
      <c r="K3824" s="1"/>
      <c r="L3824" s="1" t="str">
        <f t="shared" si="204"/>
        <v xml:space="preserve">Edssjön </v>
      </c>
      <c r="M3824" s="1" t="s">
        <v>177</v>
      </c>
      <c r="N3824" s="1">
        <v>0.5</v>
      </c>
      <c r="O3824" s="1">
        <v>0.5</v>
      </c>
      <c r="P3824" s="1">
        <v>0.8</v>
      </c>
      <c r="Q3824" s="1">
        <v>19.100000000000001</v>
      </c>
      <c r="R3824" s="1">
        <v>11.1</v>
      </c>
      <c r="S3824" s="1">
        <v>121</v>
      </c>
      <c r="V3824" s="1">
        <v>2.1353788235</v>
      </c>
      <c r="W3824" s="1">
        <v>4.6295999999999999</v>
      </c>
      <c r="X3824" s="1">
        <v>0.42866697894441685</v>
      </c>
      <c r="Y3824" s="1">
        <v>5.7000000000000002E-2</v>
      </c>
      <c r="Z3824" s="1">
        <v>0.87</v>
      </c>
      <c r="AA3824" s="1">
        <v>20</v>
      </c>
      <c r="AB3824" s="1">
        <v>69.372</v>
      </c>
      <c r="AD3824" s="1">
        <v>1.76</v>
      </c>
      <c r="AE3824" s="1">
        <v>8.44</v>
      </c>
      <c r="AK3824" s="1">
        <v>97.29</v>
      </c>
      <c r="AL3824" s="1">
        <v>1404.97</v>
      </c>
    </row>
    <row r="3825" spans="1:50" x14ac:dyDescent="0.3">
      <c r="A3825" s="1">
        <v>67160</v>
      </c>
      <c r="B3825" s="1" t="s">
        <v>258</v>
      </c>
      <c r="C3825" s="1" t="s">
        <v>231</v>
      </c>
      <c r="D3825" s="2">
        <f t="shared" si="205"/>
        <v>2018</v>
      </c>
      <c r="E3825" s="2">
        <f t="shared" si="206"/>
        <v>8</v>
      </c>
      <c r="F3825" s="3" t="s">
        <v>179</v>
      </c>
      <c r="G3825" s="4">
        <v>43334</v>
      </c>
      <c r="H3825" s="1">
        <v>6599384</v>
      </c>
      <c r="I3825" s="1">
        <v>662805</v>
      </c>
      <c r="J3825" s="1" t="s">
        <v>182</v>
      </c>
      <c r="K3825" s="1"/>
      <c r="L3825" s="1" t="str">
        <f t="shared" si="204"/>
        <v xml:space="preserve">Edssjön </v>
      </c>
      <c r="M3825" s="1" t="s">
        <v>211</v>
      </c>
      <c r="N3825" s="1">
        <v>1</v>
      </c>
      <c r="O3825" s="1">
        <v>1</v>
      </c>
      <c r="Q3825" s="1">
        <v>19.100000000000001</v>
      </c>
      <c r="R3825" s="1">
        <v>11.1</v>
      </c>
      <c r="S3825" s="1">
        <v>120</v>
      </c>
    </row>
    <row r="3826" spans="1:50" x14ac:dyDescent="0.3">
      <c r="A3826" s="1">
        <v>67161</v>
      </c>
      <c r="B3826" s="1" t="s">
        <v>258</v>
      </c>
      <c r="C3826" s="1" t="s">
        <v>231</v>
      </c>
      <c r="D3826" s="2">
        <f t="shared" si="205"/>
        <v>2018</v>
      </c>
      <c r="E3826" s="2">
        <f t="shared" si="206"/>
        <v>8</v>
      </c>
      <c r="F3826" s="3" t="s">
        <v>179</v>
      </c>
      <c r="G3826" s="4">
        <v>43334</v>
      </c>
      <c r="H3826" s="1">
        <v>6599384</v>
      </c>
      <c r="I3826" s="1">
        <v>662805</v>
      </c>
      <c r="J3826" s="1" t="s">
        <v>182</v>
      </c>
      <c r="K3826" s="1"/>
      <c r="L3826" s="1" t="str">
        <f t="shared" si="204"/>
        <v xml:space="preserve">Edssjön </v>
      </c>
      <c r="M3826" s="1" t="s">
        <v>212</v>
      </c>
      <c r="N3826" s="1">
        <v>2</v>
      </c>
      <c r="O3826" s="1">
        <v>2</v>
      </c>
      <c r="Q3826" s="1">
        <v>19.100000000000001</v>
      </c>
      <c r="R3826" s="1">
        <v>10.9</v>
      </c>
      <c r="S3826" s="1">
        <v>118</v>
      </c>
    </row>
    <row r="3827" spans="1:50" x14ac:dyDescent="0.3">
      <c r="A3827" s="1">
        <v>67162</v>
      </c>
      <c r="B3827" s="1" t="s">
        <v>258</v>
      </c>
      <c r="C3827" s="1" t="s">
        <v>231</v>
      </c>
      <c r="D3827" s="2">
        <f t="shared" si="205"/>
        <v>2018</v>
      </c>
      <c r="E3827" s="2">
        <f t="shared" si="206"/>
        <v>8</v>
      </c>
      <c r="F3827" s="3" t="s">
        <v>179</v>
      </c>
      <c r="G3827" s="4">
        <v>43334</v>
      </c>
      <c r="H3827" s="1">
        <v>6599384</v>
      </c>
      <c r="I3827" s="1">
        <v>662805</v>
      </c>
      <c r="J3827" s="1" t="s">
        <v>182</v>
      </c>
      <c r="K3827" s="1"/>
      <c r="L3827" s="1" t="str">
        <f t="shared" si="204"/>
        <v xml:space="preserve">Edssjön </v>
      </c>
      <c r="M3827" s="1" t="s">
        <v>213</v>
      </c>
      <c r="N3827" s="1">
        <v>3</v>
      </c>
      <c r="O3827" s="1">
        <v>3</v>
      </c>
      <c r="Q3827" s="1">
        <v>19.100000000000001</v>
      </c>
      <c r="R3827" s="1">
        <v>10.7</v>
      </c>
      <c r="S3827" s="1">
        <v>115</v>
      </c>
    </row>
    <row r="3828" spans="1:50" x14ac:dyDescent="0.3">
      <c r="A3828" s="1">
        <v>67163</v>
      </c>
      <c r="B3828" s="1" t="s">
        <v>258</v>
      </c>
      <c r="C3828" s="1" t="s">
        <v>231</v>
      </c>
      <c r="D3828" s="2">
        <f t="shared" si="205"/>
        <v>2018</v>
      </c>
      <c r="E3828" s="2">
        <f t="shared" si="206"/>
        <v>8</v>
      </c>
      <c r="F3828" s="3" t="s">
        <v>179</v>
      </c>
      <c r="G3828" s="4">
        <v>43334</v>
      </c>
      <c r="H3828" s="1">
        <v>6599384</v>
      </c>
      <c r="I3828" s="1">
        <v>662805</v>
      </c>
      <c r="J3828" s="1" t="s">
        <v>182</v>
      </c>
      <c r="K3828" s="1"/>
      <c r="L3828" s="1" t="str">
        <f t="shared" si="204"/>
        <v xml:space="preserve">Edssjön </v>
      </c>
      <c r="M3828" s="1" t="s">
        <v>214</v>
      </c>
      <c r="N3828" s="1">
        <v>4</v>
      </c>
      <c r="O3828" s="1">
        <v>4</v>
      </c>
      <c r="Q3828" s="1">
        <v>19.100000000000001</v>
      </c>
      <c r="R3828" s="1">
        <v>10.6</v>
      </c>
      <c r="S3828" s="1">
        <v>115</v>
      </c>
    </row>
    <row r="3829" spans="1:50" x14ac:dyDescent="0.3">
      <c r="A3829" s="1">
        <v>67164</v>
      </c>
      <c r="B3829" s="1" t="s">
        <v>258</v>
      </c>
      <c r="C3829" s="1" t="s">
        <v>231</v>
      </c>
      <c r="D3829" s="2">
        <f t="shared" si="205"/>
        <v>2018</v>
      </c>
      <c r="E3829" s="2">
        <f t="shared" si="206"/>
        <v>8</v>
      </c>
      <c r="F3829" s="3" t="s">
        <v>179</v>
      </c>
      <c r="G3829" s="4">
        <v>43334</v>
      </c>
      <c r="H3829" s="1">
        <v>6599384</v>
      </c>
      <c r="I3829" s="1">
        <v>662805</v>
      </c>
      <c r="J3829" s="1" t="s">
        <v>182</v>
      </c>
      <c r="K3829" s="1"/>
      <c r="L3829" s="1" t="str">
        <f t="shared" si="204"/>
        <v xml:space="preserve">Edssjön </v>
      </c>
      <c r="M3829" s="1" t="s">
        <v>184</v>
      </c>
      <c r="N3829" s="1">
        <v>4.5</v>
      </c>
      <c r="O3829" s="1">
        <v>4.5</v>
      </c>
      <c r="Q3829" s="1">
        <v>19.100000000000001</v>
      </c>
      <c r="R3829" s="1">
        <v>10.199999999999999</v>
      </c>
      <c r="S3829" s="1">
        <v>111</v>
      </c>
      <c r="V3829" s="1">
        <v>2.2123294117999999</v>
      </c>
      <c r="W3829" s="1">
        <v>4.4532999999999996</v>
      </c>
      <c r="X3829" s="1">
        <v>0.47674021611984979</v>
      </c>
      <c r="Y3829" s="1">
        <v>6.3E-2</v>
      </c>
      <c r="Z3829" s="1">
        <v>1.77</v>
      </c>
      <c r="AA3829" s="1">
        <v>25</v>
      </c>
      <c r="AD3829" s="1">
        <v>6.71</v>
      </c>
      <c r="AE3829" s="1">
        <v>8.51</v>
      </c>
      <c r="AK3829" s="1">
        <v>104.53</v>
      </c>
      <c r="AL3829" s="1">
        <v>1488.2</v>
      </c>
    </row>
    <row r="3830" spans="1:50" x14ac:dyDescent="0.3">
      <c r="A3830" s="1">
        <v>67165</v>
      </c>
      <c r="B3830" s="1" t="s">
        <v>258</v>
      </c>
      <c r="C3830" s="1" t="s">
        <v>231</v>
      </c>
      <c r="D3830" s="2">
        <f t="shared" si="205"/>
        <v>2018</v>
      </c>
      <c r="E3830" s="2">
        <f t="shared" si="206"/>
        <v>8</v>
      </c>
      <c r="F3830" s="3" t="s">
        <v>179</v>
      </c>
      <c r="G3830" s="4">
        <v>43334</v>
      </c>
      <c r="J3830" s="1" t="s">
        <v>182</v>
      </c>
      <c r="K3830" s="1"/>
      <c r="L3830" s="1" t="str">
        <f t="shared" si="204"/>
        <v xml:space="preserve">Edssjön </v>
      </c>
      <c r="M3830" s="1" t="s">
        <v>225</v>
      </c>
      <c r="N3830" s="1">
        <v>2</v>
      </c>
      <c r="O3830" s="1">
        <v>0</v>
      </c>
      <c r="AB3830" s="1">
        <v>69.372</v>
      </c>
    </row>
    <row r="3831" spans="1:50" x14ac:dyDescent="0.3">
      <c r="A3831" s="1">
        <v>67166</v>
      </c>
      <c r="B3831" s="1" t="s">
        <v>258</v>
      </c>
      <c r="C3831" s="1" t="s">
        <v>231</v>
      </c>
      <c r="D3831" s="2">
        <f t="shared" si="205"/>
        <v>2018</v>
      </c>
      <c r="E3831" s="2">
        <f t="shared" si="206"/>
        <v>8</v>
      </c>
      <c r="F3831" s="3" t="s">
        <v>179</v>
      </c>
      <c r="G3831" s="4">
        <v>43334</v>
      </c>
      <c r="H3831" s="1">
        <v>6605701</v>
      </c>
      <c r="I3831" s="1">
        <v>661059</v>
      </c>
      <c r="J3831" s="1" t="s">
        <v>187</v>
      </c>
      <c r="K3831" s="1"/>
      <c r="L3831" s="1" t="str">
        <f t="shared" si="204"/>
        <v xml:space="preserve">Oxundasjön </v>
      </c>
      <c r="M3831" s="1" t="s">
        <v>177</v>
      </c>
      <c r="N3831" s="1">
        <v>0.5</v>
      </c>
      <c r="O3831" s="1">
        <v>0.5</v>
      </c>
      <c r="P3831" s="1">
        <v>1.9</v>
      </c>
      <c r="Q3831" s="1">
        <v>19.7</v>
      </c>
      <c r="R3831" s="1">
        <v>7.9</v>
      </c>
      <c r="S3831" s="1">
        <v>87</v>
      </c>
      <c r="V3831" s="1">
        <v>2.6547952940999999</v>
      </c>
      <c r="W3831" s="1">
        <v>27.657599999999999</v>
      </c>
      <c r="X3831" s="1">
        <v>1.5647127632758056</v>
      </c>
      <c r="Y3831" s="1">
        <v>4.9000000000000002E-2</v>
      </c>
      <c r="Z3831" s="1">
        <v>53.47</v>
      </c>
      <c r="AA3831" s="1">
        <v>23</v>
      </c>
      <c r="AB3831" s="1">
        <v>10.461959999999999</v>
      </c>
      <c r="AD3831" s="1">
        <v>3.71</v>
      </c>
      <c r="AE3831" s="1">
        <v>8.19</v>
      </c>
      <c r="AK3831" s="1">
        <v>85.29</v>
      </c>
      <c r="AL3831" s="1">
        <v>763.11</v>
      </c>
    </row>
    <row r="3832" spans="1:50" x14ac:dyDescent="0.3">
      <c r="A3832" s="1">
        <v>67167</v>
      </c>
      <c r="B3832" s="1" t="s">
        <v>258</v>
      </c>
      <c r="C3832" s="1" t="s">
        <v>231</v>
      </c>
      <c r="D3832" s="2">
        <f t="shared" si="205"/>
        <v>2018</v>
      </c>
      <c r="E3832" s="2">
        <f t="shared" si="206"/>
        <v>8</v>
      </c>
      <c r="F3832" s="3" t="s">
        <v>179</v>
      </c>
      <c r="G3832" s="4">
        <v>43334</v>
      </c>
      <c r="H3832" s="1">
        <v>6605701</v>
      </c>
      <c r="I3832" s="1">
        <v>661059</v>
      </c>
      <c r="J3832" s="1" t="s">
        <v>187</v>
      </c>
      <c r="K3832" s="1"/>
      <c r="L3832" s="1" t="str">
        <f t="shared" si="204"/>
        <v xml:space="preserve">Oxundasjön </v>
      </c>
      <c r="M3832" s="1" t="s">
        <v>211</v>
      </c>
      <c r="N3832" s="1">
        <v>1</v>
      </c>
      <c r="O3832" s="1">
        <v>1</v>
      </c>
      <c r="Q3832" s="1">
        <v>19.8</v>
      </c>
      <c r="R3832" s="1">
        <v>0.9</v>
      </c>
      <c r="S3832" s="1">
        <v>87</v>
      </c>
    </row>
    <row r="3833" spans="1:50" x14ac:dyDescent="0.3">
      <c r="A3833" s="1">
        <v>67168</v>
      </c>
      <c r="B3833" s="1" t="s">
        <v>258</v>
      </c>
      <c r="C3833" s="1" t="s">
        <v>231</v>
      </c>
      <c r="D3833" s="2">
        <f t="shared" si="205"/>
        <v>2018</v>
      </c>
      <c r="E3833" s="2">
        <f t="shared" si="206"/>
        <v>8</v>
      </c>
      <c r="F3833" s="3" t="s">
        <v>179</v>
      </c>
      <c r="G3833" s="4">
        <v>43334</v>
      </c>
      <c r="H3833" s="1">
        <v>6605701</v>
      </c>
      <c r="I3833" s="1">
        <v>661059</v>
      </c>
      <c r="J3833" s="1" t="s">
        <v>187</v>
      </c>
      <c r="K3833" s="1"/>
      <c r="L3833" s="1" t="str">
        <f t="shared" si="204"/>
        <v xml:space="preserve">Oxundasjön </v>
      </c>
      <c r="M3833" s="1" t="s">
        <v>212</v>
      </c>
      <c r="N3833" s="1">
        <v>2</v>
      </c>
      <c r="O3833" s="1">
        <v>2</v>
      </c>
      <c r="Q3833" s="1">
        <v>19.8</v>
      </c>
      <c r="R3833" s="1">
        <v>7.8</v>
      </c>
      <c r="S3833" s="1">
        <v>86</v>
      </c>
    </row>
    <row r="3834" spans="1:50" x14ac:dyDescent="0.3">
      <c r="A3834" s="1">
        <v>67169</v>
      </c>
      <c r="B3834" s="1" t="s">
        <v>258</v>
      </c>
      <c r="C3834" s="1" t="s">
        <v>231</v>
      </c>
      <c r="D3834" s="2">
        <f t="shared" si="205"/>
        <v>2018</v>
      </c>
      <c r="E3834" s="2">
        <f t="shared" si="206"/>
        <v>8</v>
      </c>
      <c r="F3834" s="3" t="s">
        <v>179</v>
      </c>
      <c r="G3834" s="4">
        <v>43334</v>
      </c>
      <c r="H3834" s="1">
        <v>6605701</v>
      </c>
      <c r="I3834" s="1">
        <v>661059</v>
      </c>
      <c r="J3834" s="1" t="s">
        <v>187</v>
      </c>
      <c r="K3834" s="1"/>
      <c r="L3834" s="1" t="str">
        <f t="shared" si="204"/>
        <v xml:space="preserve">Oxundasjön </v>
      </c>
      <c r="M3834" s="1" t="s">
        <v>213</v>
      </c>
      <c r="N3834" s="1">
        <v>3</v>
      </c>
      <c r="O3834" s="1">
        <v>3</v>
      </c>
      <c r="Q3834" s="1">
        <v>19.8</v>
      </c>
      <c r="R3834" s="1">
        <v>7.8</v>
      </c>
      <c r="S3834" s="1">
        <v>86</v>
      </c>
    </row>
    <row r="3835" spans="1:50" x14ac:dyDescent="0.3">
      <c r="A3835" s="1">
        <v>67170</v>
      </c>
      <c r="B3835" s="1" t="s">
        <v>258</v>
      </c>
      <c r="C3835" s="1" t="s">
        <v>231</v>
      </c>
      <c r="D3835" s="2">
        <f t="shared" si="205"/>
        <v>2018</v>
      </c>
      <c r="E3835" s="2">
        <f t="shared" si="206"/>
        <v>8</v>
      </c>
      <c r="F3835" s="3" t="s">
        <v>179</v>
      </c>
      <c r="G3835" s="4">
        <v>43334</v>
      </c>
      <c r="H3835" s="1">
        <v>6605701</v>
      </c>
      <c r="I3835" s="1">
        <v>661059</v>
      </c>
      <c r="J3835" s="1" t="s">
        <v>187</v>
      </c>
      <c r="K3835" s="1"/>
      <c r="L3835" s="1" t="str">
        <f t="shared" si="204"/>
        <v xml:space="preserve">Oxundasjön </v>
      </c>
      <c r="M3835" s="1" t="s">
        <v>214</v>
      </c>
      <c r="N3835" s="1">
        <v>4</v>
      </c>
      <c r="O3835" s="1">
        <v>4</v>
      </c>
      <c r="Q3835" s="1">
        <v>19.8</v>
      </c>
      <c r="R3835" s="1">
        <v>7.7</v>
      </c>
      <c r="S3835" s="1">
        <v>85</v>
      </c>
    </row>
    <row r="3836" spans="1:50" x14ac:dyDescent="0.3">
      <c r="A3836" s="1">
        <v>67171</v>
      </c>
      <c r="B3836" s="1" t="s">
        <v>258</v>
      </c>
      <c r="C3836" s="1" t="s">
        <v>231</v>
      </c>
      <c r="D3836" s="2">
        <f t="shared" si="205"/>
        <v>2018</v>
      </c>
      <c r="E3836" s="2">
        <f t="shared" si="206"/>
        <v>8</v>
      </c>
      <c r="F3836" s="3" t="s">
        <v>179</v>
      </c>
      <c r="G3836" s="4">
        <v>43334</v>
      </c>
      <c r="H3836" s="1">
        <v>6605701</v>
      </c>
      <c r="I3836" s="1">
        <v>661059</v>
      </c>
      <c r="J3836" s="1" t="s">
        <v>187</v>
      </c>
      <c r="K3836" s="1"/>
      <c r="L3836" s="1" t="str">
        <f t="shared" si="204"/>
        <v xml:space="preserve">Oxundasjön </v>
      </c>
      <c r="M3836" s="1" t="s">
        <v>217</v>
      </c>
      <c r="N3836" s="1">
        <v>5</v>
      </c>
      <c r="O3836" s="1">
        <v>5</v>
      </c>
      <c r="Q3836" s="1">
        <v>19.899999999999999</v>
      </c>
      <c r="R3836" s="1">
        <v>7.7</v>
      </c>
      <c r="S3836" s="1">
        <v>85</v>
      </c>
    </row>
    <row r="3837" spans="1:50" x14ac:dyDescent="0.3">
      <c r="A3837" s="1">
        <v>67172</v>
      </c>
      <c r="B3837" s="1" t="s">
        <v>258</v>
      </c>
      <c r="C3837" s="1" t="s">
        <v>231</v>
      </c>
      <c r="D3837" s="2">
        <f t="shared" si="205"/>
        <v>2018</v>
      </c>
      <c r="E3837" s="2">
        <f t="shared" si="206"/>
        <v>8</v>
      </c>
      <c r="F3837" s="3" t="s">
        <v>179</v>
      </c>
      <c r="G3837" s="4">
        <v>43334</v>
      </c>
      <c r="H3837" s="1">
        <v>6605701</v>
      </c>
      <c r="I3837" s="1">
        <v>661059</v>
      </c>
      <c r="J3837" s="1" t="s">
        <v>187</v>
      </c>
      <c r="K3837" s="1"/>
      <c r="L3837" s="1" t="str">
        <f t="shared" si="204"/>
        <v xml:space="preserve">Oxundasjön </v>
      </c>
      <c r="M3837" s="1" t="s">
        <v>184</v>
      </c>
      <c r="N3837" s="1">
        <v>5.5</v>
      </c>
      <c r="O3837" s="1">
        <v>5.5</v>
      </c>
      <c r="Q3837" s="1">
        <v>19.899999999999999</v>
      </c>
      <c r="R3837" s="1">
        <v>7.7</v>
      </c>
      <c r="S3837" s="1">
        <v>85</v>
      </c>
      <c r="V3837" s="1">
        <v>2.5778447059</v>
      </c>
      <c r="W3837" s="1">
        <v>28.107800000000001</v>
      </c>
      <c r="X3837" s="1">
        <v>1.2959870396838715</v>
      </c>
      <c r="Y3837" s="1">
        <v>4.8000000000000001E-2</v>
      </c>
      <c r="Z3837" s="1">
        <v>54.42</v>
      </c>
      <c r="AA3837" s="1">
        <v>4.3</v>
      </c>
      <c r="AD3837" s="1">
        <v>3.04</v>
      </c>
      <c r="AE3837" s="1">
        <v>8.09</v>
      </c>
      <c r="AK3837" s="1">
        <v>93.88</v>
      </c>
      <c r="AL3837" s="1">
        <v>733.81</v>
      </c>
    </row>
    <row r="3838" spans="1:50" x14ac:dyDescent="0.3">
      <c r="A3838" s="1">
        <v>67173</v>
      </c>
      <c r="B3838" s="1" t="s">
        <v>258</v>
      </c>
      <c r="C3838" s="1" t="s">
        <v>231</v>
      </c>
      <c r="D3838" s="2">
        <f t="shared" si="205"/>
        <v>2018</v>
      </c>
      <c r="E3838" s="2">
        <f t="shared" si="206"/>
        <v>8</v>
      </c>
      <c r="F3838" s="3" t="s">
        <v>179</v>
      </c>
      <c r="G3838" s="4">
        <v>43334</v>
      </c>
      <c r="J3838" s="1" t="s">
        <v>187</v>
      </c>
      <c r="K3838" s="1"/>
      <c r="L3838" s="1" t="str">
        <f t="shared" ref="L3838:L3901" si="207">CONCATENATE(J3838," ",K3838)</f>
        <v xml:space="preserve">Oxundasjön </v>
      </c>
      <c r="M3838" s="1" t="s">
        <v>255</v>
      </c>
      <c r="N3838" s="1">
        <v>2</v>
      </c>
      <c r="O3838" s="1">
        <v>0</v>
      </c>
    </row>
    <row r="3839" spans="1:50" x14ac:dyDescent="0.3">
      <c r="A3839" s="1">
        <v>67174</v>
      </c>
      <c r="B3839" s="1" t="s">
        <v>258</v>
      </c>
      <c r="C3839" s="1" t="s">
        <v>231</v>
      </c>
      <c r="D3839" s="2">
        <f t="shared" si="205"/>
        <v>2018</v>
      </c>
      <c r="E3839" s="2">
        <f t="shared" si="206"/>
        <v>8</v>
      </c>
      <c r="F3839" s="3" t="s">
        <v>179</v>
      </c>
      <c r="G3839" s="4">
        <v>43334</v>
      </c>
      <c r="H3839" s="1">
        <v>6595222</v>
      </c>
      <c r="I3839" s="1">
        <v>667935</v>
      </c>
      <c r="J3839" s="1" t="s">
        <v>190</v>
      </c>
      <c r="K3839" s="1"/>
      <c r="L3839" s="1" t="str">
        <f t="shared" si="207"/>
        <v xml:space="preserve">Snuggan </v>
      </c>
      <c r="M3839" s="1" t="s">
        <v>177</v>
      </c>
      <c r="N3839" s="1">
        <v>0.5</v>
      </c>
      <c r="O3839" s="1">
        <v>0.5</v>
      </c>
      <c r="P3839" s="1">
        <v>1</v>
      </c>
      <c r="Q3839" s="1">
        <v>19.5</v>
      </c>
      <c r="R3839" s="1">
        <v>8.1999999999999993</v>
      </c>
      <c r="S3839" s="1">
        <v>89</v>
      </c>
      <c r="V3839" s="1">
        <v>3.8626771653999997E-2</v>
      </c>
      <c r="W3839" s="1">
        <v>152.68459999999999</v>
      </c>
      <c r="X3839" s="1">
        <v>0.33449110348481548</v>
      </c>
      <c r="Y3839" s="1">
        <v>0.63100000000000001</v>
      </c>
      <c r="Z3839" s="1">
        <v>0.21</v>
      </c>
      <c r="AA3839" s="1">
        <v>1.2</v>
      </c>
      <c r="AB3839" s="1">
        <v>38.499119999999998</v>
      </c>
      <c r="AD3839" s="1">
        <v>6.81</v>
      </c>
      <c r="AE3839" s="1">
        <v>6.76</v>
      </c>
      <c r="AK3839" s="1">
        <v>19.91</v>
      </c>
      <c r="AL3839" s="1">
        <v>1069.46</v>
      </c>
      <c r="AR3839" s="1">
        <v>3.58</v>
      </c>
      <c r="AT3839" s="1">
        <v>0.6</v>
      </c>
      <c r="AU3839" s="1">
        <v>0.82399999999999896</v>
      </c>
      <c r="AV3839" s="1">
        <v>6.94</v>
      </c>
      <c r="AW3839" s="1">
        <v>5.9</v>
      </c>
      <c r="AX3839" s="1">
        <v>2.5</v>
      </c>
    </row>
    <row r="3840" spans="1:50" x14ac:dyDescent="0.3">
      <c r="A3840" s="1">
        <v>67175</v>
      </c>
      <c r="B3840" s="1" t="s">
        <v>258</v>
      </c>
      <c r="C3840" s="1" t="s">
        <v>231</v>
      </c>
      <c r="D3840" s="2">
        <f t="shared" si="205"/>
        <v>2018</v>
      </c>
      <c r="E3840" s="2">
        <f t="shared" si="206"/>
        <v>8</v>
      </c>
      <c r="F3840" s="3" t="s">
        <v>179</v>
      </c>
      <c r="G3840" s="4">
        <v>43334</v>
      </c>
      <c r="H3840" s="1">
        <v>6595222</v>
      </c>
      <c r="I3840" s="1">
        <v>667935</v>
      </c>
      <c r="J3840" s="1" t="s">
        <v>190</v>
      </c>
      <c r="K3840" s="1"/>
      <c r="L3840" s="1" t="str">
        <f t="shared" si="207"/>
        <v xml:space="preserve">Snuggan </v>
      </c>
      <c r="M3840" s="1" t="s">
        <v>211</v>
      </c>
      <c r="N3840" s="1">
        <v>1</v>
      </c>
      <c r="O3840" s="1">
        <v>1</v>
      </c>
      <c r="Q3840" s="1">
        <v>18</v>
      </c>
      <c r="R3840" s="1">
        <v>6.9</v>
      </c>
      <c r="S3840" s="1">
        <v>73</v>
      </c>
    </row>
    <row r="3841" spans="1:50" x14ac:dyDescent="0.3">
      <c r="A3841" s="1">
        <v>67176</v>
      </c>
      <c r="B3841" s="1" t="s">
        <v>258</v>
      </c>
      <c r="C3841" s="1" t="s">
        <v>231</v>
      </c>
      <c r="D3841" s="2">
        <f t="shared" si="205"/>
        <v>2018</v>
      </c>
      <c r="E3841" s="2">
        <f t="shared" si="206"/>
        <v>8</v>
      </c>
      <c r="F3841" s="3" t="s">
        <v>179</v>
      </c>
      <c r="G3841" s="4">
        <v>43334</v>
      </c>
      <c r="H3841" s="1">
        <v>6595222</v>
      </c>
      <c r="I3841" s="1">
        <v>667935</v>
      </c>
      <c r="J3841" s="1" t="s">
        <v>190</v>
      </c>
      <c r="K3841" s="1"/>
      <c r="L3841" s="1" t="str">
        <f t="shared" si="207"/>
        <v xml:space="preserve">Snuggan </v>
      </c>
      <c r="M3841" s="1" t="s">
        <v>212</v>
      </c>
      <c r="N3841" s="1">
        <v>2</v>
      </c>
      <c r="O3841" s="1">
        <v>2</v>
      </c>
      <c r="Q3841" s="1">
        <v>15.2</v>
      </c>
      <c r="R3841" s="1">
        <v>0.1</v>
      </c>
      <c r="S3841" s="1">
        <v>1</v>
      </c>
    </row>
    <row r="3842" spans="1:50" x14ac:dyDescent="0.3">
      <c r="A3842" s="1">
        <v>67177</v>
      </c>
      <c r="B3842" s="1" t="s">
        <v>258</v>
      </c>
      <c r="C3842" s="1" t="s">
        <v>231</v>
      </c>
      <c r="D3842" s="2">
        <f t="shared" si="205"/>
        <v>2018</v>
      </c>
      <c r="E3842" s="2">
        <f t="shared" si="206"/>
        <v>8</v>
      </c>
      <c r="F3842" s="3" t="s">
        <v>179</v>
      </c>
      <c r="G3842" s="4">
        <v>43334</v>
      </c>
      <c r="H3842" s="1">
        <v>6595222</v>
      </c>
      <c r="I3842" s="1">
        <v>667935</v>
      </c>
      <c r="J3842" s="1" t="s">
        <v>190</v>
      </c>
      <c r="K3842" s="1"/>
      <c r="L3842" s="1" t="str">
        <f t="shared" si="207"/>
        <v xml:space="preserve">Snuggan </v>
      </c>
      <c r="M3842" s="1" t="s">
        <v>184</v>
      </c>
      <c r="N3842" s="1">
        <v>3</v>
      </c>
      <c r="O3842" s="1">
        <v>3</v>
      </c>
      <c r="Q3842" s="1">
        <v>13.5</v>
      </c>
      <c r="R3842" s="1">
        <v>0.1</v>
      </c>
      <c r="S3842" s="1">
        <v>1</v>
      </c>
      <c r="V3842" s="1">
        <v>0.13905637795</v>
      </c>
      <c r="W3842" s="1">
        <v>575.69200000000001</v>
      </c>
      <c r="X3842" s="1">
        <v>0.3063701670934183</v>
      </c>
      <c r="Y3842" s="1">
        <v>0.78900000000000003</v>
      </c>
      <c r="Z3842" s="1">
        <v>3.39</v>
      </c>
      <c r="AA3842" s="1">
        <v>3.1</v>
      </c>
      <c r="AD3842" s="1">
        <v>3.55</v>
      </c>
      <c r="AE3842" s="1">
        <v>6.34</v>
      </c>
      <c r="AK3842" s="1">
        <v>23.28</v>
      </c>
      <c r="AL3842" s="1">
        <v>1553.58</v>
      </c>
      <c r="AR3842" s="1">
        <v>5.31</v>
      </c>
      <c r="AT3842" s="1">
        <v>0.62</v>
      </c>
      <c r="AU3842" s="1">
        <v>0.85</v>
      </c>
      <c r="AV3842" s="1">
        <v>6.49</v>
      </c>
      <c r="AW3842" s="1">
        <v>5.72</v>
      </c>
      <c r="AX3842" s="1">
        <v>2.5</v>
      </c>
    </row>
    <row r="3843" spans="1:50" x14ac:dyDescent="0.3">
      <c r="A3843" s="1">
        <v>67178</v>
      </c>
      <c r="B3843" s="1" t="s">
        <v>258</v>
      </c>
      <c r="C3843" s="1" t="s">
        <v>231</v>
      </c>
      <c r="D3843" s="2">
        <f t="shared" si="205"/>
        <v>2018</v>
      </c>
      <c r="E3843" s="2">
        <f t="shared" si="206"/>
        <v>8</v>
      </c>
      <c r="F3843" s="3" t="s">
        <v>179</v>
      </c>
      <c r="G3843" s="4">
        <v>43334</v>
      </c>
      <c r="J3843" s="1" t="s">
        <v>190</v>
      </c>
      <c r="K3843" s="1"/>
      <c r="L3843" s="1" t="str">
        <f t="shared" si="207"/>
        <v xml:space="preserve">Snuggan </v>
      </c>
      <c r="M3843" s="1" t="s">
        <v>225</v>
      </c>
      <c r="N3843" s="1">
        <v>2</v>
      </c>
      <c r="O3843" s="1">
        <v>0</v>
      </c>
    </row>
    <row r="3844" spans="1:50" x14ac:dyDescent="0.3">
      <c r="A3844" s="1">
        <v>67179</v>
      </c>
      <c r="B3844" s="1" t="s">
        <v>258</v>
      </c>
      <c r="C3844" s="1" t="s">
        <v>231</v>
      </c>
      <c r="D3844" s="2">
        <f t="shared" si="205"/>
        <v>2018</v>
      </c>
      <c r="E3844" s="2">
        <f t="shared" si="206"/>
        <v>8</v>
      </c>
      <c r="F3844" s="3" t="s">
        <v>179</v>
      </c>
      <c r="G3844" s="4">
        <v>43334</v>
      </c>
      <c r="H3844" s="1">
        <v>6597388</v>
      </c>
      <c r="I3844" s="1">
        <v>674663</v>
      </c>
      <c r="J3844" s="1" t="s">
        <v>185</v>
      </c>
      <c r="K3844" s="1"/>
      <c r="L3844" s="1" t="str">
        <f t="shared" si="207"/>
        <v xml:space="preserve">Gullsjön </v>
      </c>
      <c r="M3844" s="1" t="s">
        <v>177</v>
      </c>
      <c r="N3844" s="1">
        <v>0.5</v>
      </c>
      <c r="O3844" s="1">
        <v>0.5</v>
      </c>
      <c r="P3844" s="1">
        <v>1.8</v>
      </c>
      <c r="Q3844" s="1">
        <v>18.5</v>
      </c>
      <c r="R3844" s="1">
        <v>4.0999999999999996</v>
      </c>
      <c r="S3844" s="1">
        <v>44</v>
      </c>
      <c r="V3844" s="1">
        <v>1.6544376471</v>
      </c>
      <c r="W3844" s="1">
        <v>4.8612000000000002</v>
      </c>
      <c r="X3844" s="1">
        <v>4.0059644300691373E-2</v>
      </c>
      <c r="Y3844" s="1">
        <v>0.13200000000000001</v>
      </c>
      <c r="Z3844" s="1">
        <v>0</v>
      </c>
      <c r="AA3844" s="1">
        <v>0.69</v>
      </c>
      <c r="AB3844" s="1">
        <v>3.78783</v>
      </c>
      <c r="AD3844" s="1">
        <v>2.42</v>
      </c>
      <c r="AE3844" s="1">
        <v>7.37</v>
      </c>
      <c r="AK3844" s="1">
        <v>15.34</v>
      </c>
      <c r="AL3844" s="1">
        <v>723.86</v>
      </c>
    </row>
    <row r="3845" spans="1:50" x14ac:dyDescent="0.3">
      <c r="A3845" s="1">
        <v>67180</v>
      </c>
      <c r="B3845" s="1" t="s">
        <v>258</v>
      </c>
      <c r="C3845" s="1" t="s">
        <v>231</v>
      </c>
      <c r="D3845" s="2">
        <f t="shared" si="205"/>
        <v>2018</v>
      </c>
      <c r="E3845" s="2">
        <f t="shared" si="206"/>
        <v>8</v>
      </c>
      <c r="F3845" s="3" t="s">
        <v>179</v>
      </c>
      <c r="G3845" s="4">
        <v>43334</v>
      </c>
      <c r="H3845" s="1">
        <v>6597388</v>
      </c>
      <c r="I3845" s="1">
        <v>674663</v>
      </c>
      <c r="J3845" s="1" t="s">
        <v>185</v>
      </c>
      <c r="K3845" s="1"/>
      <c r="L3845" s="1" t="str">
        <f t="shared" si="207"/>
        <v xml:space="preserve">Gullsjön </v>
      </c>
      <c r="M3845" s="1" t="s">
        <v>211</v>
      </c>
      <c r="N3845" s="1">
        <v>1</v>
      </c>
      <c r="O3845" s="1">
        <v>1</v>
      </c>
      <c r="Q3845" s="1">
        <v>17.899999999999999</v>
      </c>
      <c r="R3845" s="1">
        <v>3.5</v>
      </c>
      <c r="S3845" s="1">
        <v>37</v>
      </c>
    </row>
    <row r="3846" spans="1:50" x14ac:dyDescent="0.3">
      <c r="A3846" s="1">
        <v>67181</v>
      </c>
      <c r="B3846" s="1" t="s">
        <v>258</v>
      </c>
      <c r="C3846" s="1" t="s">
        <v>231</v>
      </c>
      <c r="D3846" s="2">
        <f t="shared" ref="D3846:D3909" si="208">YEAR(G3846)</f>
        <v>2018</v>
      </c>
      <c r="E3846" s="2">
        <f t="shared" ref="E3846:E3909" si="209">MONTH(G3846)</f>
        <v>8</v>
      </c>
      <c r="F3846" s="3" t="s">
        <v>179</v>
      </c>
      <c r="G3846" s="4">
        <v>43334</v>
      </c>
      <c r="H3846" s="1">
        <v>6597388</v>
      </c>
      <c r="I3846" s="1">
        <v>674663</v>
      </c>
      <c r="J3846" s="1" t="s">
        <v>185</v>
      </c>
      <c r="K3846" s="1"/>
      <c r="L3846" s="1" t="str">
        <f t="shared" si="207"/>
        <v xml:space="preserve">Gullsjön </v>
      </c>
      <c r="M3846" s="1" t="s">
        <v>184</v>
      </c>
      <c r="N3846" s="1">
        <v>2</v>
      </c>
      <c r="O3846" s="1">
        <v>2</v>
      </c>
      <c r="Q3846" s="1">
        <v>17.899999999999999</v>
      </c>
      <c r="R3846" s="1">
        <v>3.4</v>
      </c>
      <c r="S3846" s="1">
        <v>36</v>
      </c>
      <c r="V3846" s="1">
        <v>1.6352</v>
      </c>
      <c r="W3846" s="1">
        <v>22.207100000000001</v>
      </c>
      <c r="X3846" s="1">
        <v>0.18329619614650952</v>
      </c>
      <c r="Y3846" s="1">
        <v>0.13200000000000001</v>
      </c>
      <c r="Z3846" s="1">
        <v>0</v>
      </c>
      <c r="AA3846" s="1">
        <v>1.87</v>
      </c>
      <c r="AD3846" s="1">
        <v>2.87</v>
      </c>
      <c r="AE3846" s="1">
        <v>7.39</v>
      </c>
      <c r="AK3846" s="1">
        <v>22.36</v>
      </c>
      <c r="AL3846" s="1">
        <v>837.29</v>
      </c>
    </row>
    <row r="3847" spans="1:50" x14ac:dyDescent="0.3">
      <c r="A3847" s="1">
        <v>67182</v>
      </c>
      <c r="B3847" s="1" t="s">
        <v>258</v>
      </c>
      <c r="C3847" s="1" t="s">
        <v>231</v>
      </c>
      <c r="D3847" s="2">
        <f t="shared" si="208"/>
        <v>2018</v>
      </c>
      <c r="E3847" s="2">
        <f t="shared" si="209"/>
        <v>8</v>
      </c>
      <c r="F3847" s="3" t="s">
        <v>179</v>
      </c>
      <c r="G3847" s="4">
        <v>43334</v>
      </c>
      <c r="J3847" s="1" t="s">
        <v>185</v>
      </c>
      <c r="K3847" s="1"/>
      <c r="L3847" s="1" t="str">
        <f t="shared" si="207"/>
        <v xml:space="preserve">Gullsjön </v>
      </c>
      <c r="M3847" s="1" t="s">
        <v>242</v>
      </c>
      <c r="N3847" s="1">
        <v>1</v>
      </c>
      <c r="O3847" s="1">
        <v>0</v>
      </c>
    </row>
    <row r="3848" spans="1:50" x14ac:dyDescent="0.3">
      <c r="A3848" s="1">
        <v>67183</v>
      </c>
      <c r="B3848" s="1" t="s">
        <v>258</v>
      </c>
      <c r="C3848" s="1" t="s">
        <v>231</v>
      </c>
      <c r="D3848" s="2">
        <f t="shared" si="208"/>
        <v>2018</v>
      </c>
      <c r="E3848" s="2">
        <f t="shared" si="209"/>
        <v>8</v>
      </c>
      <c r="F3848" s="3" t="s">
        <v>179</v>
      </c>
      <c r="G3848" s="4">
        <v>43334</v>
      </c>
      <c r="H3848" s="1">
        <v>6595294</v>
      </c>
      <c r="I3848" s="1">
        <v>670194</v>
      </c>
      <c r="J3848" s="1" t="s">
        <v>207</v>
      </c>
      <c r="K3848" s="1"/>
      <c r="L3848" s="1" t="str">
        <f t="shared" si="207"/>
        <v xml:space="preserve">Käringsjön </v>
      </c>
      <c r="M3848" s="1" t="s">
        <v>177</v>
      </c>
      <c r="N3848" s="1">
        <v>0.5</v>
      </c>
      <c r="O3848" s="1">
        <v>1</v>
      </c>
      <c r="P3848" s="1">
        <v>1.3</v>
      </c>
      <c r="Q3848" s="1">
        <v>20.3</v>
      </c>
      <c r="R3848" s="1">
        <v>9.8000000000000007</v>
      </c>
      <c r="S3848" s="1">
        <v>109</v>
      </c>
      <c r="V3848" s="1">
        <v>0.76950588235999995</v>
      </c>
      <c r="W3848" s="1">
        <v>0.81720000000000004</v>
      </c>
      <c r="X3848" s="1">
        <v>1.8591162739195179E-2</v>
      </c>
      <c r="Y3848" s="1">
        <v>0.499</v>
      </c>
      <c r="Z3848" s="1">
        <v>1.46</v>
      </c>
      <c r="AA3848" s="1">
        <v>2.4</v>
      </c>
      <c r="AB3848" s="1">
        <v>87.041052632000003</v>
      </c>
      <c r="AD3848" s="1">
        <v>0.75</v>
      </c>
      <c r="AE3848" s="1">
        <v>7.76</v>
      </c>
      <c r="AK3848" s="1">
        <v>68.62</v>
      </c>
      <c r="AL3848" s="1">
        <v>1301.83</v>
      </c>
    </row>
    <row r="3849" spans="1:50" x14ac:dyDescent="0.3">
      <c r="A3849" s="1">
        <v>67184</v>
      </c>
      <c r="B3849" s="1" t="s">
        <v>258</v>
      </c>
      <c r="C3849" s="1" t="s">
        <v>231</v>
      </c>
      <c r="D3849" s="2">
        <f t="shared" si="208"/>
        <v>2018</v>
      </c>
      <c r="E3849" s="2">
        <f t="shared" si="209"/>
        <v>8</v>
      </c>
      <c r="F3849" s="3" t="s">
        <v>179</v>
      </c>
      <c r="G3849" s="4">
        <v>43334</v>
      </c>
      <c r="H3849" s="1">
        <v>6595294</v>
      </c>
      <c r="I3849" s="1">
        <v>670194</v>
      </c>
      <c r="J3849" s="1" t="s">
        <v>207</v>
      </c>
      <c r="K3849" s="1"/>
      <c r="L3849" s="1" t="str">
        <f t="shared" si="207"/>
        <v xml:space="preserve">Käringsjön </v>
      </c>
      <c r="M3849" s="1" t="s">
        <v>211</v>
      </c>
      <c r="N3849" s="1">
        <v>1</v>
      </c>
      <c r="O3849" s="1">
        <v>1</v>
      </c>
      <c r="Q3849" s="1">
        <v>18.5</v>
      </c>
      <c r="R3849" s="1">
        <v>7.5</v>
      </c>
      <c r="S3849" s="1">
        <v>81</v>
      </c>
    </row>
    <row r="3850" spans="1:50" x14ac:dyDescent="0.3">
      <c r="A3850" s="1">
        <v>67185</v>
      </c>
      <c r="B3850" s="1" t="s">
        <v>258</v>
      </c>
      <c r="C3850" s="1" t="s">
        <v>231</v>
      </c>
      <c r="D3850" s="2">
        <f t="shared" si="208"/>
        <v>2018</v>
      </c>
      <c r="E3850" s="2">
        <f t="shared" si="209"/>
        <v>8</v>
      </c>
      <c r="F3850" s="3" t="s">
        <v>179</v>
      </c>
      <c r="G3850" s="4">
        <v>43334</v>
      </c>
      <c r="H3850" s="1">
        <v>6595294</v>
      </c>
      <c r="I3850" s="1">
        <v>670194</v>
      </c>
      <c r="J3850" s="1" t="s">
        <v>207</v>
      </c>
      <c r="K3850" s="1"/>
      <c r="L3850" s="1" t="str">
        <f t="shared" si="207"/>
        <v xml:space="preserve">Käringsjön </v>
      </c>
      <c r="M3850" s="1" t="s">
        <v>212</v>
      </c>
      <c r="N3850" s="1">
        <v>2</v>
      </c>
      <c r="O3850" s="1">
        <v>2</v>
      </c>
      <c r="Q3850" s="1">
        <v>15.4</v>
      </c>
      <c r="R3850" s="1">
        <v>0.1</v>
      </c>
      <c r="S3850" s="1">
        <v>1</v>
      </c>
    </row>
    <row r="3851" spans="1:50" x14ac:dyDescent="0.3">
      <c r="A3851" s="1">
        <v>67186</v>
      </c>
      <c r="B3851" s="1" t="s">
        <v>258</v>
      </c>
      <c r="C3851" s="1" t="s">
        <v>231</v>
      </c>
      <c r="D3851" s="2">
        <f t="shared" si="208"/>
        <v>2018</v>
      </c>
      <c r="E3851" s="2">
        <f t="shared" si="209"/>
        <v>8</v>
      </c>
      <c r="F3851" s="3" t="s">
        <v>179</v>
      </c>
      <c r="G3851" s="4">
        <v>43334</v>
      </c>
      <c r="H3851" s="1">
        <v>6595294</v>
      </c>
      <c r="I3851" s="1">
        <v>670194</v>
      </c>
      <c r="J3851" s="1" t="s">
        <v>207</v>
      </c>
      <c r="K3851" s="1"/>
      <c r="L3851" s="1" t="str">
        <f t="shared" si="207"/>
        <v xml:space="preserve">Käringsjön </v>
      </c>
      <c r="M3851" s="1" t="s">
        <v>213</v>
      </c>
      <c r="N3851" s="1">
        <v>3</v>
      </c>
      <c r="O3851" s="1">
        <v>3</v>
      </c>
      <c r="Q3851" s="1">
        <v>10</v>
      </c>
      <c r="R3851" s="1">
        <v>0.1</v>
      </c>
      <c r="S3851" s="1">
        <v>1</v>
      </c>
    </row>
    <row r="3852" spans="1:50" x14ac:dyDescent="0.3">
      <c r="A3852" s="1">
        <v>67187</v>
      </c>
      <c r="B3852" s="1" t="s">
        <v>258</v>
      </c>
      <c r="C3852" s="1" t="s">
        <v>231</v>
      </c>
      <c r="D3852" s="2">
        <f t="shared" si="208"/>
        <v>2018</v>
      </c>
      <c r="E3852" s="2">
        <f t="shared" si="209"/>
        <v>8</v>
      </c>
      <c r="F3852" s="3" t="s">
        <v>179</v>
      </c>
      <c r="G3852" s="4">
        <v>43334</v>
      </c>
      <c r="H3852" s="1">
        <v>6595294</v>
      </c>
      <c r="I3852" s="1">
        <v>670194</v>
      </c>
      <c r="J3852" s="1" t="s">
        <v>207</v>
      </c>
      <c r="K3852" s="1"/>
      <c r="L3852" s="1" t="str">
        <f t="shared" si="207"/>
        <v xml:space="preserve">Käringsjön </v>
      </c>
      <c r="M3852" s="1" t="s">
        <v>184</v>
      </c>
      <c r="N3852" s="1">
        <v>4</v>
      </c>
      <c r="O3852" s="1">
        <v>4</v>
      </c>
      <c r="Q3852" s="1">
        <v>8.3000000000000007</v>
      </c>
      <c r="R3852" s="1">
        <v>0.1</v>
      </c>
      <c r="S3852" s="1">
        <v>1</v>
      </c>
      <c r="V3852" s="1">
        <v>0.92340705882999996</v>
      </c>
      <c r="W3852" s="1">
        <v>0</v>
      </c>
      <c r="X3852" s="1">
        <v>0</v>
      </c>
      <c r="Y3852" s="1">
        <v>0.88400000000000001</v>
      </c>
      <c r="Z3852" s="1">
        <v>0</v>
      </c>
      <c r="AA3852" s="1">
        <v>4.5999999999999996</v>
      </c>
      <c r="AD3852" s="1">
        <v>8.7200000000000006</v>
      </c>
      <c r="AE3852" s="1">
        <v>6.59</v>
      </c>
      <c r="AK3852" s="1">
        <v>51.17</v>
      </c>
      <c r="AL3852" s="1">
        <v>1426.51</v>
      </c>
    </row>
    <row r="3853" spans="1:50" x14ac:dyDescent="0.3">
      <c r="A3853" s="1">
        <v>67188</v>
      </c>
      <c r="B3853" s="1" t="s">
        <v>258</v>
      </c>
      <c r="C3853" s="1" t="s">
        <v>231</v>
      </c>
      <c r="D3853" s="2">
        <f t="shared" si="208"/>
        <v>2018</v>
      </c>
      <c r="E3853" s="2">
        <f t="shared" si="209"/>
        <v>8</v>
      </c>
      <c r="F3853" s="3" t="s">
        <v>179</v>
      </c>
      <c r="G3853" s="4">
        <v>43334</v>
      </c>
      <c r="J3853" s="1" t="s">
        <v>207</v>
      </c>
      <c r="K3853" s="1"/>
      <c r="L3853" s="1" t="str">
        <f t="shared" si="207"/>
        <v xml:space="preserve">Käringsjön </v>
      </c>
      <c r="M3853" s="1" t="s">
        <v>225</v>
      </c>
      <c r="N3853" s="1">
        <v>2</v>
      </c>
      <c r="O3853" s="1">
        <v>0</v>
      </c>
    </row>
    <row r="3854" spans="1:50" x14ac:dyDescent="0.3">
      <c r="A3854" s="1">
        <v>67189</v>
      </c>
      <c r="B3854" s="1" t="s">
        <v>258</v>
      </c>
      <c r="C3854" s="1" t="s">
        <v>231</v>
      </c>
      <c r="D3854" s="2">
        <f t="shared" si="208"/>
        <v>2018</v>
      </c>
      <c r="E3854" s="2">
        <f t="shared" si="209"/>
        <v>8</v>
      </c>
      <c r="F3854" s="3" t="s">
        <v>179</v>
      </c>
      <c r="G3854" s="4">
        <v>43334</v>
      </c>
      <c r="H3854" s="1">
        <v>6594218</v>
      </c>
      <c r="I3854" s="1">
        <v>670947</v>
      </c>
      <c r="J3854" s="1" t="s">
        <v>201</v>
      </c>
      <c r="K3854" s="1"/>
      <c r="L3854" s="1" t="str">
        <f t="shared" si="207"/>
        <v xml:space="preserve">Mörtsjön </v>
      </c>
      <c r="M3854" s="1" t="s">
        <v>177</v>
      </c>
      <c r="N3854" s="1">
        <v>0.5</v>
      </c>
      <c r="O3854" s="1">
        <v>0.5</v>
      </c>
      <c r="P3854" s="1">
        <v>1.7</v>
      </c>
      <c r="Q3854" s="1">
        <v>18.899999999999999</v>
      </c>
      <c r="R3854" s="1">
        <v>7.8</v>
      </c>
      <c r="S3854" s="1">
        <v>85</v>
      </c>
      <c r="V3854" s="1">
        <v>2.4237154150000002</v>
      </c>
      <c r="W3854" s="1">
        <v>0.49080000000000001</v>
      </c>
      <c r="X3854" s="1">
        <v>1.236517250927863E-2</v>
      </c>
      <c r="Y3854" s="1">
        <v>0.115</v>
      </c>
      <c r="Z3854" s="1">
        <v>1.91</v>
      </c>
      <c r="AA3854" s="1">
        <v>3.4</v>
      </c>
      <c r="AB3854" s="1">
        <v>14.658300000000001</v>
      </c>
      <c r="AD3854" s="1">
        <v>0</v>
      </c>
      <c r="AE3854" s="1">
        <v>7.85</v>
      </c>
      <c r="AK3854" s="1">
        <v>36.765000000000001</v>
      </c>
      <c r="AL3854" s="1">
        <v>832.55</v>
      </c>
    </row>
    <row r="3855" spans="1:50" x14ac:dyDescent="0.3">
      <c r="A3855" s="1">
        <v>67190</v>
      </c>
      <c r="B3855" s="1" t="s">
        <v>258</v>
      </c>
      <c r="C3855" s="1" t="s">
        <v>231</v>
      </c>
      <c r="D3855" s="2">
        <f t="shared" si="208"/>
        <v>2018</v>
      </c>
      <c r="E3855" s="2">
        <f t="shared" si="209"/>
        <v>8</v>
      </c>
      <c r="F3855" s="3" t="s">
        <v>179</v>
      </c>
      <c r="G3855" s="4">
        <v>43334</v>
      </c>
      <c r="H3855" s="1">
        <v>6594218</v>
      </c>
      <c r="I3855" s="1">
        <v>670947</v>
      </c>
      <c r="J3855" s="1" t="s">
        <v>201</v>
      </c>
      <c r="K3855" s="1"/>
      <c r="L3855" s="1" t="str">
        <f t="shared" si="207"/>
        <v xml:space="preserve">Mörtsjön </v>
      </c>
      <c r="M3855" s="1" t="s">
        <v>211</v>
      </c>
      <c r="N3855" s="1">
        <v>1</v>
      </c>
      <c r="O3855" s="1">
        <v>1</v>
      </c>
      <c r="Q3855" s="1">
        <v>18.899999999999999</v>
      </c>
      <c r="R3855" s="1">
        <v>7.7</v>
      </c>
      <c r="S3855" s="1">
        <v>83</v>
      </c>
    </row>
    <row r="3856" spans="1:50" x14ac:dyDescent="0.3">
      <c r="A3856" s="1">
        <v>67191</v>
      </c>
      <c r="B3856" s="1" t="s">
        <v>258</v>
      </c>
      <c r="C3856" s="1" t="s">
        <v>231</v>
      </c>
      <c r="D3856" s="2">
        <f t="shared" si="208"/>
        <v>2018</v>
      </c>
      <c r="E3856" s="2">
        <f t="shared" si="209"/>
        <v>8</v>
      </c>
      <c r="F3856" s="3" t="s">
        <v>179</v>
      </c>
      <c r="G3856" s="4">
        <v>43334</v>
      </c>
      <c r="H3856" s="1">
        <v>6594218</v>
      </c>
      <c r="I3856" s="1">
        <v>670947</v>
      </c>
      <c r="J3856" s="1" t="s">
        <v>201</v>
      </c>
      <c r="K3856" s="1"/>
      <c r="L3856" s="1" t="str">
        <f t="shared" si="207"/>
        <v xml:space="preserve">Mörtsjön </v>
      </c>
      <c r="M3856" s="1" t="s">
        <v>212</v>
      </c>
      <c r="N3856" s="1">
        <v>2</v>
      </c>
      <c r="O3856" s="1">
        <v>2</v>
      </c>
      <c r="Q3856" s="1">
        <v>18.600000000000001</v>
      </c>
      <c r="R3856" s="1">
        <v>6.3</v>
      </c>
      <c r="S3856" s="1">
        <v>68</v>
      </c>
    </row>
    <row r="3857" spans="1:38" x14ac:dyDescent="0.3">
      <c r="A3857" s="1">
        <v>67192</v>
      </c>
      <c r="B3857" s="1" t="s">
        <v>258</v>
      </c>
      <c r="C3857" s="1" t="s">
        <v>231</v>
      </c>
      <c r="D3857" s="2">
        <f t="shared" si="208"/>
        <v>2018</v>
      </c>
      <c r="E3857" s="2">
        <f t="shared" si="209"/>
        <v>8</v>
      </c>
      <c r="F3857" s="3" t="s">
        <v>179</v>
      </c>
      <c r="G3857" s="4">
        <v>43334</v>
      </c>
      <c r="H3857" s="1">
        <v>6594218</v>
      </c>
      <c r="I3857" s="1">
        <v>670947</v>
      </c>
      <c r="J3857" s="1" t="s">
        <v>201</v>
      </c>
      <c r="K3857" s="1"/>
      <c r="L3857" s="1" t="str">
        <f t="shared" si="207"/>
        <v xml:space="preserve">Mörtsjön </v>
      </c>
      <c r="M3857" s="1" t="s">
        <v>213</v>
      </c>
      <c r="N3857" s="1">
        <v>3</v>
      </c>
      <c r="O3857" s="1">
        <v>3</v>
      </c>
      <c r="Q3857" s="1">
        <v>18.399999999999999</v>
      </c>
      <c r="R3857" s="1">
        <v>4.5</v>
      </c>
      <c r="S3857" s="1">
        <v>48</v>
      </c>
    </row>
    <row r="3858" spans="1:38" x14ac:dyDescent="0.3">
      <c r="A3858" s="1">
        <v>67193</v>
      </c>
      <c r="B3858" s="1" t="s">
        <v>258</v>
      </c>
      <c r="C3858" s="1" t="s">
        <v>231</v>
      </c>
      <c r="D3858" s="2">
        <f t="shared" si="208"/>
        <v>2018</v>
      </c>
      <c r="E3858" s="2">
        <f t="shared" si="209"/>
        <v>8</v>
      </c>
      <c r="F3858" s="3" t="s">
        <v>179</v>
      </c>
      <c r="G3858" s="4">
        <v>43334</v>
      </c>
      <c r="H3858" s="1">
        <v>6594218</v>
      </c>
      <c r="I3858" s="1">
        <v>670947</v>
      </c>
      <c r="J3858" s="1" t="s">
        <v>201</v>
      </c>
      <c r="K3858" s="1"/>
      <c r="L3858" s="1" t="str">
        <f t="shared" si="207"/>
        <v xml:space="preserve">Mörtsjön </v>
      </c>
      <c r="M3858" s="1" t="s">
        <v>184</v>
      </c>
      <c r="N3858" s="1">
        <v>4</v>
      </c>
      <c r="O3858" s="1">
        <v>4</v>
      </c>
      <c r="Q3858" s="1">
        <v>17.100000000000001</v>
      </c>
      <c r="R3858" s="1">
        <v>0.1</v>
      </c>
      <c r="S3858" s="1">
        <v>1</v>
      </c>
      <c r="V3858" s="1">
        <v>2.3849359684000002</v>
      </c>
      <c r="W3858" s="1">
        <v>8.2949000000000002</v>
      </c>
      <c r="X3858" s="1">
        <v>0.14638190815039259</v>
      </c>
      <c r="Y3858" s="1">
        <v>0.114</v>
      </c>
      <c r="Z3858" s="1">
        <v>0</v>
      </c>
      <c r="AA3858" s="1">
        <v>5.4</v>
      </c>
      <c r="AD3858" s="1">
        <v>0</v>
      </c>
      <c r="AE3858" s="1">
        <v>7.75</v>
      </c>
      <c r="AK3858" s="1">
        <v>51.045000000000002</v>
      </c>
      <c r="AL3858" s="1">
        <v>923.05</v>
      </c>
    </row>
    <row r="3859" spans="1:38" x14ac:dyDescent="0.3">
      <c r="A3859" s="1">
        <v>67194</v>
      </c>
      <c r="B3859" s="1" t="s">
        <v>258</v>
      </c>
      <c r="C3859" s="1" t="s">
        <v>231</v>
      </c>
      <c r="D3859" s="2">
        <f t="shared" si="208"/>
        <v>2018</v>
      </c>
      <c r="E3859" s="2">
        <f t="shared" si="209"/>
        <v>8</v>
      </c>
      <c r="F3859" s="3" t="s">
        <v>179</v>
      </c>
      <c r="G3859" s="4">
        <v>43334</v>
      </c>
      <c r="J3859" s="1" t="s">
        <v>201</v>
      </c>
      <c r="K3859" s="1"/>
      <c r="L3859" s="1" t="str">
        <f t="shared" si="207"/>
        <v xml:space="preserve">Mörtsjön </v>
      </c>
      <c r="M3859" s="1" t="s">
        <v>225</v>
      </c>
      <c r="N3859" s="1">
        <v>2</v>
      </c>
      <c r="O3859" s="1">
        <v>0</v>
      </c>
    </row>
    <row r="3860" spans="1:38" x14ac:dyDescent="0.3">
      <c r="A3860" s="1">
        <v>62291</v>
      </c>
      <c r="B3860" s="1" t="s">
        <v>252</v>
      </c>
      <c r="C3860" s="1" t="s">
        <v>209</v>
      </c>
      <c r="D3860" s="2">
        <f t="shared" si="208"/>
        <v>2018</v>
      </c>
      <c r="E3860" s="2">
        <f t="shared" si="209"/>
        <v>1</v>
      </c>
      <c r="F3860" s="3" t="s">
        <v>175</v>
      </c>
      <c r="G3860" s="4">
        <v>43123</v>
      </c>
      <c r="H3860" s="1">
        <v>6600738</v>
      </c>
      <c r="I3860" s="1">
        <v>672261</v>
      </c>
      <c r="J3860" s="1" t="s">
        <v>191</v>
      </c>
      <c r="K3860" s="1" t="s">
        <v>210</v>
      </c>
      <c r="L3860" s="1" t="str">
        <f t="shared" si="207"/>
        <v>Vallentunasjön Va2</v>
      </c>
      <c r="M3860" s="1" t="s">
        <v>177</v>
      </c>
      <c r="N3860" s="1">
        <v>0.5</v>
      </c>
      <c r="O3860" s="1">
        <v>0.5</v>
      </c>
      <c r="P3860" s="1">
        <v>2.2999999999999998</v>
      </c>
      <c r="Q3860" s="1">
        <v>1</v>
      </c>
      <c r="R3860" s="1">
        <v>15.5</v>
      </c>
      <c r="S3860" s="1">
        <v>108</v>
      </c>
    </row>
    <row r="3861" spans="1:38" x14ac:dyDescent="0.3">
      <c r="A3861" s="1">
        <v>62292</v>
      </c>
      <c r="B3861" s="1" t="s">
        <v>252</v>
      </c>
      <c r="C3861" s="1" t="s">
        <v>209</v>
      </c>
      <c r="D3861" s="2">
        <f t="shared" si="208"/>
        <v>2018</v>
      </c>
      <c r="E3861" s="2">
        <f t="shared" si="209"/>
        <v>1</v>
      </c>
      <c r="F3861" s="3" t="s">
        <v>175</v>
      </c>
      <c r="G3861" s="4">
        <v>43123</v>
      </c>
      <c r="H3861" s="1">
        <v>6600738</v>
      </c>
      <c r="I3861" s="1">
        <v>672261</v>
      </c>
      <c r="J3861" s="1" t="s">
        <v>191</v>
      </c>
      <c r="K3861" s="1" t="s">
        <v>210</v>
      </c>
      <c r="L3861" s="1" t="str">
        <f t="shared" si="207"/>
        <v>Vallentunasjön Va2</v>
      </c>
      <c r="M3861" s="1" t="s">
        <v>211</v>
      </c>
      <c r="N3861" s="1">
        <v>1</v>
      </c>
      <c r="O3861" s="1">
        <v>1</v>
      </c>
      <c r="Q3861" s="1">
        <v>1.8</v>
      </c>
      <c r="R3861" s="1">
        <v>15.2</v>
      </c>
      <c r="S3861" s="1">
        <v>106</v>
      </c>
    </row>
    <row r="3862" spans="1:38" x14ac:dyDescent="0.3">
      <c r="A3862" s="1">
        <v>62293</v>
      </c>
      <c r="B3862" s="1" t="s">
        <v>252</v>
      </c>
      <c r="C3862" s="1" t="s">
        <v>209</v>
      </c>
      <c r="D3862" s="2">
        <f t="shared" si="208"/>
        <v>2018</v>
      </c>
      <c r="E3862" s="2">
        <f t="shared" si="209"/>
        <v>1</v>
      </c>
      <c r="F3862" s="3" t="s">
        <v>175</v>
      </c>
      <c r="G3862" s="4">
        <v>43123</v>
      </c>
      <c r="H3862" s="1">
        <v>6600738</v>
      </c>
      <c r="I3862" s="1">
        <v>672261</v>
      </c>
      <c r="J3862" s="1" t="s">
        <v>191</v>
      </c>
      <c r="K3862" s="1" t="s">
        <v>210</v>
      </c>
      <c r="L3862" s="1" t="str">
        <f t="shared" si="207"/>
        <v>Vallentunasjön Va2</v>
      </c>
      <c r="M3862" s="1" t="s">
        <v>212</v>
      </c>
      <c r="N3862" s="1">
        <v>2</v>
      </c>
      <c r="O3862" s="1">
        <v>2</v>
      </c>
      <c r="Q3862" s="1">
        <v>1.8</v>
      </c>
      <c r="R3862" s="1">
        <v>12.1</v>
      </c>
      <c r="S3862" s="1">
        <v>86</v>
      </c>
    </row>
    <row r="3863" spans="1:38" x14ac:dyDescent="0.3">
      <c r="A3863" s="1">
        <v>62294</v>
      </c>
      <c r="B3863" s="1" t="s">
        <v>252</v>
      </c>
      <c r="C3863" s="1" t="s">
        <v>209</v>
      </c>
      <c r="D3863" s="2">
        <f t="shared" si="208"/>
        <v>2018</v>
      </c>
      <c r="E3863" s="2">
        <f t="shared" si="209"/>
        <v>1</v>
      </c>
      <c r="F3863" s="3" t="s">
        <v>175</v>
      </c>
      <c r="G3863" s="4">
        <v>43123</v>
      </c>
      <c r="H3863" s="1">
        <v>6600738</v>
      </c>
      <c r="I3863" s="1">
        <v>672261</v>
      </c>
      <c r="J3863" s="1" t="s">
        <v>191</v>
      </c>
      <c r="K3863" s="1" t="s">
        <v>210</v>
      </c>
      <c r="L3863" s="1" t="str">
        <f t="shared" si="207"/>
        <v>Vallentunasjön Va2</v>
      </c>
      <c r="M3863" s="1" t="s">
        <v>213</v>
      </c>
      <c r="N3863" s="1">
        <v>3</v>
      </c>
      <c r="O3863" s="1">
        <v>3</v>
      </c>
      <c r="Q3863" s="1">
        <v>3.1</v>
      </c>
      <c r="R3863" s="1">
        <v>4.3</v>
      </c>
      <c r="S3863" s="1">
        <v>31</v>
      </c>
    </row>
    <row r="3864" spans="1:38" x14ac:dyDescent="0.3">
      <c r="A3864" s="1">
        <v>62295</v>
      </c>
      <c r="B3864" s="1" t="s">
        <v>252</v>
      </c>
      <c r="C3864" s="1" t="s">
        <v>209</v>
      </c>
      <c r="D3864" s="2">
        <f t="shared" si="208"/>
        <v>2018</v>
      </c>
      <c r="E3864" s="2">
        <f t="shared" si="209"/>
        <v>1</v>
      </c>
      <c r="F3864" s="3" t="s">
        <v>175</v>
      </c>
      <c r="G3864" s="4">
        <v>43123</v>
      </c>
      <c r="H3864" s="1">
        <v>6600738</v>
      </c>
      <c r="I3864" s="1">
        <v>672261</v>
      </c>
      <c r="J3864" s="1" t="s">
        <v>191</v>
      </c>
      <c r="K3864" s="1" t="s">
        <v>210</v>
      </c>
      <c r="L3864" s="1" t="str">
        <f t="shared" si="207"/>
        <v>Vallentunasjön Va2</v>
      </c>
      <c r="M3864" s="1" t="s">
        <v>214</v>
      </c>
      <c r="N3864" s="1">
        <v>4</v>
      </c>
      <c r="O3864" s="1">
        <v>4</v>
      </c>
      <c r="Q3864" s="1">
        <v>3.7</v>
      </c>
      <c r="R3864" s="1">
        <v>1.4</v>
      </c>
      <c r="S3864" s="1">
        <v>11</v>
      </c>
    </row>
    <row r="3865" spans="1:38" x14ac:dyDescent="0.3">
      <c r="A3865" s="1">
        <v>62296</v>
      </c>
      <c r="B3865" s="1" t="s">
        <v>252</v>
      </c>
      <c r="C3865" s="1" t="s">
        <v>209</v>
      </c>
      <c r="D3865" s="2">
        <f t="shared" si="208"/>
        <v>2018</v>
      </c>
      <c r="E3865" s="2">
        <f t="shared" si="209"/>
        <v>1</v>
      </c>
      <c r="F3865" s="3" t="s">
        <v>175</v>
      </c>
      <c r="G3865" s="4">
        <v>43123</v>
      </c>
      <c r="H3865" s="1">
        <v>6600738</v>
      </c>
      <c r="I3865" s="1">
        <v>672261</v>
      </c>
      <c r="J3865" s="1" t="s">
        <v>191</v>
      </c>
      <c r="K3865" s="1" t="s">
        <v>210</v>
      </c>
      <c r="L3865" s="1" t="str">
        <f t="shared" si="207"/>
        <v>Vallentunasjön Va2</v>
      </c>
      <c r="M3865" s="1" t="s">
        <v>184</v>
      </c>
      <c r="N3865" s="1">
        <v>4.5</v>
      </c>
      <c r="O3865" s="1">
        <v>4.5</v>
      </c>
      <c r="Q3865" s="1">
        <v>3.8</v>
      </c>
      <c r="R3865" s="1">
        <v>1.7</v>
      </c>
      <c r="S3865" s="1">
        <v>13</v>
      </c>
    </row>
    <row r="3866" spans="1:38" x14ac:dyDescent="0.3">
      <c r="A3866" s="1">
        <v>62297</v>
      </c>
      <c r="B3866" s="1" t="s">
        <v>252</v>
      </c>
      <c r="C3866" s="1" t="s">
        <v>209</v>
      </c>
      <c r="D3866" s="2">
        <f t="shared" si="208"/>
        <v>2018</v>
      </c>
      <c r="E3866" s="2">
        <f t="shared" si="209"/>
        <v>1</v>
      </c>
      <c r="F3866" s="3" t="s">
        <v>175</v>
      </c>
      <c r="G3866" s="4">
        <v>43123</v>
      </c>
      <c r="J3866" s="1" t="s">
        <v>191</v>
      </c>
      <c r="K3866" s="1" t="s">
        <v>206</v>
      </c>
      <c r="L3866" s="1" t="str">
        <f t="shared" si="207"/>
        <v>Vallentunasjön Blandprov</v>
      </c>
      <c r="M3866" s="1" t="s">
        <v>177</v>
      </c>
      <c r="N3866" s="1">
        <v>4</v>
      </c>
      <c r="O3866" s="1">
        <v>0</v>
      </c>
      <c r="Q3866" s="1">
        <v>2</v>
      </c>
      <c r="W3866" s="1">
        <v>225.15190000000001</v>
      </c>
      <c r="X3866" s="1">
        <v>0.99723069395308239</v>
      </c>
      <c r="Y3866" s="1">
        <v>7.1999999999999995E-2</v>
      </c>
      <c r="Z3866" s="1">
        <v>1.56</v>
      </c>
      <c r="AB3866" s="1">
        <v>19.142399999999999</v>
      </c>
      <c r="AD3866" s="1">
        <v>230.16</v>
      </c>
      <c r="AE3866" s="1">
        <v>7.66</v>
      </c>
      <c r="AG3866" s="1">
        <v>16.333333332999999</v>
      </c>
      <c r="AK3866" s="1">
        <v>45.7</v>
      </c>
      <c r="AL3866" s="1">
        <v>1340.7</v>
      </c>
    </row>
    <row r="3867" spans="1:38" x14ac:dyDescent="0.3">
      <c r="A3867" s="1">
        <v>62954</v>
      </c>
      <c r="B3867" s="1" t="s">
        <v>259</v>
      </c>
      <c r="C3867" s="1" t="s">
        <v>209</v>
      </c>
      <c r="D3867" s="2">
        <f t="shared" si="208"/>
        <v>2018</v>
      </c>
      <c r="E3867" s="2">
        <f t="shared" si="209"/>
        <v>3</v>
      </c>
      <c r="F3867" s="3" t="s">
        <v>175</v>
      </c>
      <c r="G3867" s="4">
        <v>43165</v>
      </c>
      <c r="H3867" s="1">
        <v>6600738</v>
      </c>
      <c r="I3867" s="1">
        <v>672261</v>
      </c>
      <c r="J3867" s="1" t="s">
        <v>191</v>
      </c>
      <c r="K3867" s="1" t="s">
        <v>210</v>
      </c>
      <c r="L3867" s="1" t="str">
        <f t="shared" si="207"/>
        <v>Vallentunasjön Va2</v>
      </c>
      <c r="M3867" s="1" t="s">
        <v>177</v>
      </c>
      <c r="N3867" s="1">
        <v>0.5</v>
      </c>
      <c r="O3867" s="1">
        <v>0.5</v>
      </c>
      <c r="P3867" s="1">
        <v>1.6</v>
      </c>
      <c r="Q3867" s="1">
        <v>1</v>
      </c>
      <c r="R3867" s="1">
        <v>16.899999999999999</v>
      </c>
      <c r="S3867" s="1">
        <v>120</v>
      </c>
    </row>
    <row r="3868" spans="1:38" x14ac:dyDescent="0.3">
      <c r="A3868" s="1">
        <v>62955</v>
      </c>
      <c r="B3868" s="1" t="s">
        <v>259</v>
      </c>
      <c r="C3868" s="1" t="s">
        <v>209</v>
      </c>
      <c r="D3868" s="2">
        <f t="shared" si="208"/>
        <v>2018</v>
      </c>
      <c r="E3868" s="2">
        <f t="shared" si="209"/>
        <v>3</v>
      </c>
      <c r="F3868" s="3" t="s">
        <v>175</v>
      </c>
      <c r="G3868" s="4">
        <v>43165</v>
      </c>
      <c r="H3868" s="1">
        <v>6600738</v>
      </c>
      <c r="I3868" s="1">
        <v>672261</v>
      </c>
      <c r="J3868" s="1" t="s">
        <v>191</v>
      </c>
      <c r="K3868" s="1" t="s">
        <v>210</v>
      </c>
      <c r="L3868" s="1" t="str">
        <f t="shared" si="207"/>
        <v>Vallentunasjön Va2</v>
      </c>
      <c r="M3868" s="1" t="s">
        <v>211</v>
      </c>
      <c r="N3868" s="1">
        <v>1</v>
      </c>
      <c r="O3868" s="1">
        <v>1</v>
      </c>
      <c r="Q3868" s="1">
        <v>2.2000000000000002</v>
      </c>
      <c r="R3868" s="1">
        <v>13.2</v>
      </c>
      <c r="S3868" s="1">
        <v>97</v>
      </c>
    </row>
    <row r="3869" spans="1:38" x14ac:dyDescent="0.3">
      <c r="A3869" s="1">
        <v>62956</v>
      </c>
      <c r="B3869" s="1" t="s">
        <v>259</v>
      </c>
      <c r="C3869" s="1" t="s">
        <v>209</v>
      </c>
      <c r="D3869" s="2">
        <f t="shared" si="208"/>
        <v>2018</v>
      </c>
      <c r="E3869" s="2">
        <f t="shared" si="209"/>
        <v>3</v>
      </c>
      <c r="F3869" s="3" t="s">
        <v>175</v>
      </c>
      <c r="G3869" s="4">
        <v>43165</v>
      </c>
      <c r="H3869" s="1">
        <v>6600738</v>
      </c>
      <c r="I3869" s="1">
        <v>672261</v>
      </c>
      <c r="J3869" s="1" t="s">
        <v>191</v>
      </c>
      <c r="K3869" s="1" t="s">
        <v>210</v>
      </c>
      <c r="L3869" s="1" t="str">
        <f t="shared" si="207"/>
        <v>Vallentunasjön Va2</v>
      </c>
      <c r="M3869" s="1" t="s">
        <v>212</v>
      </c>
      <c r="N3869" s="1">
        <v>2</v>
      </c>
      <c r="O3869" s="1">
        <v>2</v>
      </c>
      <c r="Q3869" s="1">
        <v>3.4</v>
      </c>
      <c r="R3869" s="1">
        <v>4.0999999999999996</v>
      </c>
      <c r="S3869" s="1">
        <v>31</v>
      </c>
    </row>
    <row r="3870" spans="1:38" x14ac:dyDescent="0.3">
      <c r="A3870" s="1">
        <v>62957</v>
      </c>
      <c r="B3870" s="1" t="s">
        <v>259</v>
      </c>
      <c r="C3870" s="1" t="s">
        <v>209</v>
      </c>
      <c r="D3870" s="2">
        <f t="shared" si="208"/>
        <v>2018</v>
      </c>
      <c r="E3870" s="2">
        <f t="shared" si="209"/>
        <v>3</v>
      </c>
      <c r="F3870" s="3" t="s">
        <v>175</v>
      </c>
      <c r="G3870" s="4">
        <v>43165</v>
      </c>
      <c r="H3870" s="1">
        <v>6600738</v>
      </c>
      <c r="I3870" s="1">
        <v>672261</v>
      </c>
      <c r="J3870" s="1" t="s">
        <v>191</v>
      </c>
      <c r="K3870" s="1" t="s">
        <v>210</v>
      </c>
      <c r="L3870" s="1" t="str">
        <f t="shared" si="207"/>
        <v>Vallentunasjön Va2</v>
      </c>
      <c r="M3870" s="1" t="s">
        <v>213</v>
      </c>
      <c r="N3870" s="1">
        <v>3</v>
      </c>
      <c r="O3870" s="1">
        <v>3</v>
      </c>
      <c r="Q3870" s="1">
        <v>4</v>
      </c>
      <c r="R3870" s="1">
        <v>0.7</v>
      </c>
      <c r="S3870" s="1">
        <v>5</v>
      </c>
    </row>
    <row r="3871" spans="1:38" x14ac:dyDescent="0.3">
      <c r="A3871" s="1">
        <v>62958</v>
      </c>
      <c r="B3871" s="1" t="s">
        <v>259</v>
      </c>
      <c r="C3871" s="1" t="s">
        <v>209</v>
      </c>
      <c r="D3871" s="2">
        <f t="shared" si="208"/>
        <v>2018</v>
      </c>
      <c r="E3871" s="2">
        <f t="shared" si="209"/>
        <v>3</v>
      </c>
      <c r="F3871" s="3" t="s">
        <v>175</v>
      </c>
      <c r="G3871" s="4">
        <v>43165</v>
      </c>
      <c r="H3871" s="1">
        <v>6600738</v>
      </c>
      <c r="I3871" s="1">
        <v>672261</v>
      </c>
      <c r="J3871" s="1" t="s">
        <v>191</v>
      </c>
      <c r="K3871" s="1" t="s">
        <v>210</v>
      </c>
      <c r="L3871" s="1" t="str">
        <f t="shared" si="207"/>
        <v>Vallentunasjön Va2</v>
      </c>
      <c r="M3871" s="1" t="s">
        <v>214</v>
      </c>
      <c r="N3871" s="1">
        <v>4</v>
      </c>
      <c r="O3871" s="1">
        <v>4</v>
      </c>
      <c r="Q3871" s="1">
        <v>4.5</v>
      </c>
      <c r="R3871" s="1">
        <v>0.3</v>
      </c>
      <c r="S3871" s="1">
        <v>3</v>
      </c>
    </row>
    <row r="3872" spans="1:38" x14ac:dyDescent="0.3">
      <c r="A3872" s="1">
        <v>62959</v>
      </c>
      <c r="B3872" s="1" t="s">
        <v>259</v>
      </c>
      <c r="C3872" s="1" t="s">
        <v>209</v>
      </c>
      <c r="D3872" s="2">
        <f t="shared" si="208"/>
        <v>2018</v>
      </c>
      <c r="E3872" s="2">
        <f t="shared" si="209"/>
        <v>3</v>
      </c>
      <c r="F3872" s="3" t="s">
        <v>175</v>
      </c>
      <c r="G3872" s="4">
        <v>43165</v>
      </c>
      <c r="H3872" s="1">
        <v>6600738</v>
      </c>
      <c r="I3872" s="1">
        <v>672261</v>
      </c>
      <c r="J3872" s="1" t="s">
        <v>191</v>
      </c>
      <c r="K3872" s="1" t="s">
        <v>210</v>
      </c>
      <c r="L3872" s="1" t="str">
        <f t="shared" si="207"/>
        <v>Vallentunasjön Va2</v>
      </c>
      <c r="M3872" s="1" t="s">
        <v>184</v>
      </c>
      <c r="N3872" s="1">
        <v>4.5</v>
      </c>
      <c r="O3872" s="1">
        <v>4.5</v>
      </c>
      <c r="Q3872" s="1">
        <v>4.7</v>
      </c>
      <c r="R3872" s="1">
        <v>0.2</v>
      </c>
      <c r="S3872" s="1">
        <v>2</v>
      </c>
    </row>
    <row r="3873" spans="1:38" x14ac:dyDescent="0.3">
      <c r="A3873" s="1">
        <v>62960</v>
      </c>
      <c r="B3873" s="1" t="s">
        <v>259</v>
      </c>
      <c r="C3873" s="1" t="s">
        <v>209</v>
      </c>
      <c r="D3873" s="2">
        <f t="shared" si="208"/>
        <v>2018</v>
      </c>
      <c r="E3873" s="2">
        <f t="shared" si="209"/>
        <v>3</v>
      </c>
      <c r="F3873" s="3" t="s">
        <v>175</v>
      </c>
      <c r="G3873" s="4">
        <v>43165</v>
      </c>
      <c r="J3873" s="1" t="s">
        <v>191</v>
      </c>
      <c r="K3873" s="1" t="s">
        <v>206</v>
      </c>
      <c r="L3873" s="1" t="str">
        <f t="shared" si="207"/>
        <v>Vallentunasjön Blandprov</v>
      </c>
      <c r="M3873" s="1" t="s">
        <v>177</v>
      </c>
      <c r="N3873" s="1">
        <v>4</v>
      </c>
      <c r="O3873" s="1">
        <v>0</v>
      </c>
      <c r="Q3873" s="1">
        <v>3</v>
      </c>
      <c r="W3873" s="1">
        <v>429.35149999999999</v>
      </c>
      <c r="X3873" s="1">
        <v>1.5326252623581635</v>
      </c>
      <c r="Y3873" s="1">
        <v>7.6999999999999999E-2</v>
      </c>
      <c r="Z3873" s="1">
        <v>1.9</v>
      </c>
      <c r="AB3873" s="1">
        <v>14.802899999999999</v>
      </c>
      <c r="AD3873" s="1">
        <v>276.56</v>
      </c>
      <c r="AE3873" s="1">
        <v>7.53</v>
      </c>
      <c r="AG3873" s="1">
        <v>4.3333333332999997</v>
      </c>
      <c r="AK3873" s="1">
        <v>35.520000000000003</v>
      </c>
      <c r="AL3873" s="1">
        <v>1435.42</v>
      </c>
    </row>
    <row r="3874" spans="1:38" x14ac:dyDescent="0.3">
      <c r="A3874" s="1">
        <v>63179</v>
      </c>
      <c r="B3874" s="1" t="s">
        <v>259</v>
      </c>
      <c r="C3874" s="1" t="s">
        <v>209</v>
      </c>
      <c r="D3874" s="2">
        <f t="shared" si="208"/>
        <v>2018</v>
      </c>
      <c r="E3874" s="2">
        <f t="shared" si="209"/>
        <v>3</v>
      </c>
      <c r="F3874" s="3" t="s">
        <v>175</v>
      </c>
      <c r="G3874" s="4">
        <v>43181</v>
      </c>
      <c r="H3874" s="1">
        <v>6600738</v>
      </c>
      <c r="I3874" s="1">
        <v>672261</v>
      </c>
      <c r="J3874" s="1" t="s">
        <v>191</v>
      </c>
      <c r="K3874" s="1" t="s">
        <v>210</v>
      </c>
      <c r="L3874" s="1" t="str">
        <f t="shared" si="207"/>
        <v>Vallentunasjön Va2</v>
      </c>
      <c r="M3874" s="1" t="s">
        <v>177</v>
      </c>
      <c r="N3874" s="1">
        <v>0.5</v>
      </c>
      <c r="O3874" s="1">
        <v>0.5</v>
      </c>
      <c r="P3874" s="1">
        <v>1.9</v>
      </c>
      <c r="Q3874" s="1">
        <v>0.8</v>
      </c>
      <c r="R3874" s="1">
        <v>15</v>
      </c>
      <c r="S3874" s="1">
        <v>105</v>
      </c>
    </row>
    <row r="3875" spans="1:38" x14ac:dyDescent="0.3">
      <c r="A3875" s="1">
        <v>63180</v>
      </c>
      <c r="B3875" s="1" t="s">
        <v>259</v>
      </c>
      <c r="C3875" s="1" t="s">
        <v>209</v>
      </c>
      <c r="D3875" s="2">
        <f t="shared" si="208"/>
        <v>2018</v>
      </c>
      <c r="E3875" s="2">
        <f t="shared" si="209"/>
        <v>3</v>
      </c>
      <c r="F3875" s="3" t="s">
        <v>175</v>
      </c>
      <c r="G3875" s="4">
        <v>43181</v>
      </c>
      <c r="H3875" s="1">
        <v>6600738</v>
      </c>
      <c r="I3875" s="1">
        <v>672261</v>
      </c>
      <c r="J3875" s="1" t="s">
        <v>191</v>
      </c>
      <c r="K3875" s="1" t="s">
        <v>210</v>
      </c>
      <c r="L3875" s="1" t="str">
        <f t="shared" si="207"/>
        <v>Vallentunasjön Va2</v>
      </c>
      <c r="M3875" s="1" t="s">
        <v>211</v>
      </c>
      <c r="N3875" s="1">
        <v>1</v>
      </c>
      <c r="O3875" s="1">
        <v>1</v>
      </c>
      <c r="Q3875" s="1">
        <v>2.1</v>
      </c>
      <c r="R3875" s="1">
        <v>13.5</v>
      </c>
      <c r="S3875" s="1">
        <v>98</v>
      </c>
    </row>
    <row r="3876" spans="1:38" x14ac:dyDescent="0.3">
      <c r="A3876" s="1">
        <v>63181</v>
      </c>
      <c r="B3876" s="1" t="s">
        <v>259</v>
      </c>
      <c r="C3876" s="1" t="s">
        <v>209</v>
      </c>
      <c r="D3876" s="2">
        <f t="shared" si="208"/>
        <v>2018</v>
      </c>
      <c r="E3876" s="2">
        <f t="shared" si="209"/>
        <v>3</v>
      </c>
      <c r="F3876" s="3" t="s">
        <v>175</v>
      </c>
      <c r="G3876" s="4">
        <v>43181</v>
      </c>
      <c r="H3876" s="1">
        <v>6600738</v>
      </c>
      <c r="I3876" s="1">
        <v>672261</v>
      </c>
      <c r="J3876" s="1" t="s">
        <v>191</v>
      </c>
      <c r="K3876" s="1" t="s">
        <v>210</v>
      </c>
      <c r="L3876" s="1" t="str">
        <f t="shared" si="207"/>
        <v>Vallentunasjön Va2</v>
      </c>
      <c r="M3876" s="1" t="s">
        <v>212</v>
      </c>
      <c r="N3876" s="1">
        <v>2</v>
      </c>
      <c r="O3876" s="1">
        <v>2</v>
      </c>
      <c r="Q3876" s="1">
        <v>3.5</v>
      </c>
      <c r="R3876" s="1">
        <v>2.7</v>
      </c>
      <c r="S3876" s="1">
        <v>20</v>
      </c>
    </row>
    <row r="3877" spans="1:38" x14ac:dyDescent="0.3">
      <c r="A3877" s="1">
        <v>63182</v>
      </c>
      <c r="B3877" s="1" t="s">
        <v>259</v>
      </c>
      <c r="C3877" s="1" t="s">
        <v>209</v>
      </c>
      <c r="D3877" s="2">
        <f t="shared" si="208"/>
        <v>2018</v>
      </c>
      <c r="E3877" s="2">
        <f t="shared" si="209"/>
        <v>3</v>
      </c>
      <c r="F3877" s="3" t="s">
        <v>175</v>
      </c>
      <c r="G3877" s="4">
        <v>43181</v>
      </c>
      <c r="H3877" s="1">
        <v>6600738</v>
      </c>
      <c r="I3877" s="1">
        <v>672261</v>
      </c>
      <c r="J3877" s="1" t="s">
        <v>191</v>
      </c>
      <c r="K3877" s="1" t="s">
        <v>210</v>
      </c>
      <c r="L3877" s="1" t="str">
        <f t="shared" si="207"/>
        <v>Vallentunasjön Va2</v>
      </c>
      <c r="M3877" s="1" t="s">
        <v>213</v>
      </c>
      <c r="N3877" s="1">
        <v>3</v>
      </c>
      <c r="O3877" s="1">
        <v>3</v>
      </c>
      <c r="Q3877" s="1">
        <v>4.0999999999999996</v>
      </c>
      <c r="R3877" s="1">
        <v>0.5</v>
      </c>
      <c r="S3877" s="1">
        <v>4</v>
      </c>
    </row>
    <row r="3878" spans="1:38" x14ac:dyDescent="0.3">
      <c r="A3878" s="1">
        <v>63183</v>
      </c>
      <c r="B3878" s="1" t="s">
        <v>259</v>
      </c>
      <c r="C3878" s="1" t="s">
        <v>209</v>
      </c>
      <c r="D3878" s="2">
        <f t="shared" si="208"/>
        <v>2018</v>
      </c>
      <c r="E3878" s="2">
        <f t="shared" si="209"/>
        <v>3</v>
      </c>
      <c r="F3878" s="3" t="s">
        <v>175</v>
      </c>
      <c r="G3878" s="4">
        <v>43181</v>
      </c>
      <c r="H3878" s="1">
        <v>6600738</v>
      </c>
      <c r="I3878" s="1">
        <v>672261</v>
      </c>
      <c r="J3878" s="1" t="s">
        <v>191</v>
      </c>
      <c r="K3878" s="1" t="s">
        <v>210</v>
      </c>
      <c r="L3878" s="1" t="str">
        <f t="shared" si="207"/>
        <v>Vallentunasjön Va2</v>
      </c>
      <c r="M3878" s="1" t="s">
        <v>214</v>
      </c>
      <c r="N3878" s="1">
        <v>4</v>
      </c>
      <c r="O3878" s="1">
        <v>4</v>
      </c>
      <c r="Q3878" s="1">
        <v>4.5</v>
      </c>
      <c r="R3878" s="1">
        <v>0.1</v>
      </c>
      <c r="S3878" s="1">
        <v>1</v>
      </c>
    </row>
    <row r="3879" spans="1:38" x14ac:dyDescent="0.3">
      <c r="A3879" s="1">
        <v>63184</v>
      </c>
      <c r="B3879" s="1" t="s">
        <v>259</v>
      </c>
      <c r="C3879" s="1" t="s">
        <v>209</v>
      </c>
      <c r="D3879" s="2">
        <f t="shared" si="208"/>
        <v>2018</v>
      </c>
      <c r="E3879" s="2">
        <f t="shared" si="209"/>
        <v>3</v>
      </c>
      <c r="F3879" s="3" t="s">
        <v>175</v>
      </c>
      <c r="G3879" s="4">
        <v>43181</v>
      </c>
      <c r="H3879" s="1">
        <v>6600738</v>
      </c>
      <c r="I3879" s="1">
        <v>672261</v>
      </c>
      <c r="J3879" s="1" t="s">
        <v>191</v>
      </c>
      <c r="K3879" s="1" t="s">
        <v>210</v>
      </c>
      <c r="L3879" s="1" t="str">
        <f t="shared" si="207"/>
        <v>Vallentunasjön Va2</v>
      </c>
      <c r="M3879" s="1" t="s">
        <v>184</v>
      </c>
      <c r="N3879" s="1">
        <v>4.5</v>
      </c>
      <c r="O3879" s="1">
        <v>4.5</v>
      </c>
      <c r="Q3879" s="1">
        <v>4.5999999999999996</v>
      </c>
      <c r="R3879" s="1">
        <v>0.1</v>
      </c>
      <c r="S3879" s="1">
        <v>1</v>
      </c>
    </row>
    <row r="3880" spans="1:38" x14ac:dyDescent="0.3">
      <c r="A3880" s="1">
        <v>63185</v>
      </c>
      <c r="B3880" s="1" t="s">
        <v>259</v>
      </c>
      <c r="C3880" s="1" t="s">
        <v>209</v>
      </c>
      <c r="D3880" s="2">
        <f t="shared" si="208"/>
        <v>2018</v>
      </c>
      <c r="E3880" s="2">
        <f t="shared" si="209"/>
        <v>3</v>
      </c>
      <c r="F3880" s="3" t="s">
        <v>175</v>
      </c>
      <c r="G3880" s="4">
        <v>43181</v>
      </c>
      <c r="J3880" s="1" t="s">
        <v>191</v>
      </c>
      <c r="K3880" s="1" t="s">
        <v>206</v>
      </c>
      <c r="L3880" s="1" t="str">
        <f t="shared" si="207"/>
        <v>Vallentunasjön Blandprov</v>
      </c>
      <c r="M3880" s="1" t="s">
        <v>177</v>
      </c>
      <c r="N3880" s="1">
        <v>4</v>
      </c>
      <c r="O3880" s="1">
        <v>0</v>
      </c>
      <c r="Q3880" s="1">
        <v>4</v>
      </c>
      <c r="W3880" s="1">
        <v>460.08969999999999</v>
      </c>
      <c r="X3880" s="1">
        <v>1.9536171511391411</v>
      </c>
      <c r="Y3880" s="1">
        <v>0.08</v>
      </c>
      <c r="Z3880" s="1">
        <v>0</v>
      </c>
      <c r="AB3880" s="1">
        <v>9.9894857143000007</v>
      </c>
      <c r="AD3880" s="1">
        <v>297.60000000000002</v>
      </c>
      <c r="AE3880" s="1">
        <v>7.57</v>
      </c>
      <c r="AG3880" s="1">
        <v>4.5714285714000003</v>
      </c>
      <c r="AK3880" s="1">
        <v>30.61</v>
      </c>
      <c r="AL3880" s="1">
        <v>1477.42</v>
      </c>
    </row>
    <row r="3881" spans="1:38" x14ac:dyDescent="0.3">
      <c r="A3881" s="1">
        <v>63497</v>
      </c>
      <c r="B3881" s="1" t="s">
        <v>259</v>
      </c>
      <c r="C3881" s="1" t="s">
        <v>209</v>
      </c>
      <c r="D3881" s="2">
        <f t="shared" si="208"/>
        <v>2018</v>
      </c>
      <c r="E3881" s="2">
        <f t="shared" si="209"/>
        <v>4</v>
      </c>
      <c r="F3881" s="1" t="s">
        <v>178</v>
      </c>
      <c r="G3881" s="4">
        <v>43214</v>
      </c>
      <c r="H3881" s="1">
        <v>6600738</v>
      </c>
      <c r="I3881" s="1">
        <v>672261</v>
      </c>
      <c r="J3881" s="1" t="s">
        <v>191</v>
      </c>
      <c r="K3881" s="1" t="s">
        <v>210</v>
      </c>
      <c r="L3881" s="1" t="str">
        <f t="shared" si="207"/>
        <v>Vallentunasjön Va2</v>
      </c>
      <c r="M3881" s="1" t="s">
        <v>177</v>
      </c>
      <c r="N3881" s="1">
        <v>0.5</v>
      </c>
      <c r="O3881" s="1">
        <v>0.5</v>
      </c>
      <c r="P3881" s="1">
        <v>1.6</v>
      </c>
      <c r="Q3881" s="1">
        <v>10</v>
      </c>
      <c r="R3881" s="1">
        <v>11.7</v>
      </c>
      <c r="S3881" s="1">
        <v>105</v>
      </c>
    </row>
    <row r="3882" spans="1:38" x14ac:dyDescent="0.3">
      <c r="A3882" s="1">
        <v>63498</v>
      </c>
      <c r="B3882" s="1" t="s">
        <v>259</v>
      </c>
      <c r="C3882" s="1" t="s">
        <v>209</v>
      </c>
      <c r="D3882" s="2">
        <f t="shared" si="208"/>
        <v>2018</v>
      </c>
      <c r="E3882" s="2">
        <f t="shared" si="209"/>
        <v>4</v>
      </c>
      <c r="F3882" s="1" t="s">
        <v>178</v>
      </c>
      <c r="G3882" s="4">
        <v>43214</v>
      </c>
      <c r="H3882" s="1">
        <v>6600738</v>
      </c>
      <c r="I3882" s="1">
        <v>672261</v>
      </c>
      <c r="J3882" s="1" t="s">
        <v>191</v>
      </c>
      <c r="K3882" s="1" t="s">
        <v>210</v>
      </c>
      <c r="L3882" s="1" t="str">
        <f t="shared" si="207"/>
        <v>Vallentunasjön Va2</v>
      </c>
      <c r="M3882" s="1" t="s">
        <v>211</v>
      </c>
      <c r="N3882" s="1">
        <v>1</v>
      </c>
      <c r="O3882" s="1">
        <v>1</v>
      </c>
      <c r="Q3882" s="1">
        <v>10</v>
      </c>
      <c r="R3882" s="1">
        <v>11.7</v>
      </c>
      <c r="S3882" s="1">
        <v>105</v>
      </c>
    </row>
    <row r="3883" spans="1:38" x14ac:dyDescent="0.3">
      <c r="A3883" s="1">
        <v>63499</v>
      </c>
      <c r="B3883" s="1" t="s">
        <v>259</v>
      </c>
      <c r="C3883" s="1" t="s">
        <v>209</v>
      </c>
      <c r="D3883" s="2">
        <f t="shared" si="208"/>
        <v>2018</v>
      </c>
      <c r="E3883" s="2">
        <f t="shared" si="209"/>
        <v>4</v>
      </c>
      <c r="F3883" s="1" t="s">
        <v>178</v>
      </c>
      <c r="G3883" s="4">
        <v>43214</v>
      </c>
      <c r="H3883" s="1">
        <v>6600738</v>
      </c>
      <c r="I3883" s="1">
        <v>672261</v>
      </c>
      <c r="J3883" s="1" t="s">
        <v>191</v>
      </c>
      <c r="K3883" s="1" t="s">
        <v>210</v>
      </c>
      <c r="L3883" s="1" t="str">
        <f t="shared" si="207"/>
        <v>Vallentunasjön Va2</v>
      </c>
      <c r="M3883" s="1" t="s">
        <v>212</v>
      </c>
      <c r="N3883" s="1">
        <v>2</v>
      </c>
      <c r="O3883" s="1">
        <v>2</v>
      </c>
      <c r="Q3883" s="1">
        <v>10</v>
      </c>
      <c r="R3883" s="1">
        <v>11.7</v>
      </c>
      <c r="S3883" s="1">
        <v>105</v>
      </c>
    </row>
    <row r="3884" spans="1:38" x14ac:dyDescent="0.3">
      <c r="A3884" s="1">
        <v>63500</v>
      </c>
      <c r="B3884" s="1" t="s">
        <v>259</v>
      </c>
      <c r="C3884" s="1" t="s">
        <v>209</v>
      </c>
      <c r="D3884" s="2">
        <f t="shared" si="208"/>
        <v>2018</v>
      </c>
      <c r="E3884" s="2">
        <f t="shared" si="209"/>
        <v>4</v>
      </c>
      <c r="F3884" s="1" t="s">
        <v>178</v>
      </c>
      <c r="G3884" s="4">
        <v>43214</v>
      </c>
      <c r="H3884" s="1">
        <v>6600738</v>
      </c>
      <c r="I3884" s="1">
        <v>672261</v>
      </c>
      <c r="J3884" s="1" t="s">
        <v>191</v>
      </c>
      <c r="K3884" s="1" t="s">
        <v>210</v>
      </c>
      <c r="L3884" s="1" t="str">
        <f t="shared" si="207"/>
        <v>Vallentunasjön Va2</v>
      </c>
      <c r="M3884" s="1" t="s">
        <v>213</v>
      </c>
      <c r="N3884" s="1">
        <v>3</v>
      </c>
      <c r="O3884" s="1">
        <v>3</v>
      </c>
      <c r="Q3884" s="1">
        <v>10</v>
      </c>
      <c r="R3884" s="1">
        <v>11.7</v>
      </c>
      <c r="S3884" s="1">
        <v>105</v>
      </c>
    </row>
    <row r="3885" spans="1:38" x14ac:dyDescent="0.3">
      <c r="A3885" s="1">
        <v>63501</v>
      </c>
      <c r="B3885" s="1" t="s">
        <v>259</v>
      </c>
      <c r="C3885" s="1" t="s">
        <v>209</v>
      </c>
      <c r="D3885" s="2">
        <f t="shared" si="208"/>
        <v>2018</v>
      </c>
      <c r="E3885" s="2">
        <f t="shared" si="209"/>
        <v>4</v>
      </c>
      <c r="F3885" s="1" t="s">
        <v>178</v>
      </c>
      <c r="G3885" s="4">
        <v>43214</v>
      </c>
      <c r="H3885" s="1">
        <v>6600738</v>
      </c>
      <c r="I3885" s="1">
        <v>672261</v>
      </c>
      <c r="J3885" s="1" t="s">
        <v>191</v>
      </c>
      <c r="K3885" s="1" t="s">
        <v>210</v>
      </c>
      <c r="L3885" s="1" t="str">
        <f t="shared" si="207"/>
        <v>Vallentunasjön Va2</v>
      </c>
      <c r="M3885" s="1" t="s">
        <v>214</v>
      </c>
      <c r="N3885" s="1">
        <v>4</v>
      </c>
      <c r="O3885" s="1">
        <v>4</v>
      </c>
      <c r="Q3885" s="1">
        <v>10</v>
      </c>
      <c r="R3885" s="1">
        <v>11.7</v>
      </c>
      <c r="S3885" s="1">
        <v>105</v>
      </c>
    </row>
    <row r="3886" spans="1:38" x14ac:dyDescent="0.3">
      <c r="A3886" s="1">
        <v>63502</v>
      </c>
      <c r="B3886" s="1" t="s">
        <v>259</v>
      </c>
      <c r="C3886" s="1" t="s">
        <v>209</v>
      </c>
      <c r="D3886" s="2">
        <f t="shared" si="208"/>
        <v>2018</v>
      </c>
      <c r="E3886" s="2">
        <f t="shared" si="209"/>
        <v>4</v>
      </c>
      <c r="F3886" s="1" t="s">
        <v>178</v>
      </c>
      <c r="G3886" s="4">
        <v>43214</v>
      </c>
      <c r="H3886" s="1">
        <v>6600738</v>
      </c>
      <c r="I3886" s="1">
        <v>672261</v>
      </c>
      <c r="J3886" s="1" t="s">
        <v>191</v>
      </c>
      <c r="K3886" s="1" t="s">
        <v>210</v>
      </c>
      <c r="L3886" s="1" t="str">
        <f t="shared" si="207"/>
        <v>Vallentunasjön Va2</v>
      </c>
      <c r="M3886" s="1" t="s">
        <v>184</v>
      </c>
      <c r="N3886" s="1">
        <v>4.5</v>
      </c>
      <c r="O3886" s="1">
        <v>4.5</v>
      </c>
      <c r="Q3886" s="1">
        <v>10</v>
      </c>
      <c r="R3886" s="1">
        <v>11.7</v>
      </c>
      <c r="S3886" s="1">
        <v>105</v>
      </c>
    </row>
    <row r="3887" spans="1:38" x14ac:dyDescent="0.3">
      <c r="A3887" s="1">
        <v>63503</v>
      </c>
      <c r="B3887" s="1" t="s">
        <v>259</v>
      </c>
      <c r="C3887" s="1" t="s">
        <v>209</v>
      </c>
      <c r="D3887" s="2">
        <f t="shared" si="208"/>
        <v>2018</v>
      </c>
      <c r="E3887" s="2">
        <f t="shared" si="209"/>
        <v>4</v>
      </c>
      <c r="F3887" s="1" t="s">
        <v>178</v>
      </c>
      <c r="G3887" s="4">
        <v>43214</v>
      </c>
      <c r="J3887" s="1" t="s">
        <v>191</v>
      </c>
      <c r="K3887" s="1" t="s">
        <v>206</v>
      </c>
      <c r="L3887" s="1" t="str">
        <f t="shared" si="207"/>
        <v>Vallentunasjön Blandprov</v>
      </c>
      <c r="M3887" s="1" t="s">
        <v>177</v>
      </c>
      <c r="N3887" s="1">
        <v>4</v>
      </c>
      <c r="O3887" s="1">
        <v>0</v>
      </c>
      <c r="Q3887" s="1">
        <v>10</v>
      </c>
      <c r="W3887" s="1">
        <v>181.65940000000001</v>
      </c>
      <c r="X3887" s="1">
        <v>2.4654210080906021</v>
      </c>
      <c r="Y3887" s="1">
        <v>6.3E-2</v>
      </c>
      <c r="Z3887" s="1">
        <v>0</v>
      </c>
      <c r="AB3887" s="1">
        <v>22.679742857000001</v>
      </c>
      <c r="AD3887" s="1">
        <v>191.51</v>
      </c>
      <c r="AE3887" s="1">
        <v>7.87</v>
      </c>
      <c r="AG3887" s="1">
        <v>9.6</v>
      </c>
      <c r="AK3887" s="1">
        <v>41.94</v>
      </c>
      <c r="AL3887" s="1">
        <v>1363.19</v>
      </c>
    </row>
    <row r="3888" spans="1:38" x14ac:dyDescent="0.3">
      <c r="A3888" s="1">
        <v>63560</v>
      </c>
      <c r="B3888" s="1" t="s">
        <v>259</v>
      </c>
      <c r="C3888" s="1" t="s">
        <v>209</v>
      </c>
      <c r="D3888" s="2">
        <f t="shared" si="208"/>
        <v>2018</v>
      </c>
      <c r="E3888" s="2">
        <f t="shared" si="209"/>
        <v>5</v>
      </c>
      <c r="F3888" s="1" t="s">
        <v>178</v>
      </c>
      <c r="G3888" s="4">
        <v>43222</v>
      </c>
      <c r="H3888" s="1">
        <v>6600738</v>
      </c>
      <c r="I3888" s="1">
        <v>672261</v>
      </c>
      <c r="J3888" s="1" t="s">
        <v>191</v>
      </c>
      <c r="K3888" s="1" t="s">
        <v>210</v>
      </c>
      <c r="L3888" s="1" t="str">
        <f t="shared" si="207"/>
        <v>Vallentunasjön Va2</v>
      </c>
      <c r="M3888" s="1" t="s">
        <v>177</v>
      </c>
      <c r="N3888" s="1">
        <v>0.5</v>
      </c>
      <c r="O3888" s="1">
        <v>0.5</v>
      </c>
      <c r="P3888" s="1">
        <v>1.5</v>
      </c>
      <c r="Q3888" s="1">
        <v>11</v>
      </c>
      <c r="R3888" s="1">
        <v>12.1</v>
      </c>
      <c r="S3888" s="1">
        <v>110</v>
      </c>
    </row>
    <row r="3889" spans="1:38" x14ac:dyDescent="0.3">
      <c r="A3889" s="1">
        <v>63561</v>
      </c>
      <c r="B3889" s="1" t="s">
        <v>259</v>
      </c>
      <c r="C3889" s="1" t="s">
        <v>209</v>
      </c>
      <c r="D3889" s="2">
        <f t="shared" si="208"/>
        <v>2018</v>
      </c>
      <c r="E3889" s="2">
        <f t="shared" si="209"/>
        <v>5</v>
      </c>
      <c r="F3889" s="1" t="s">
        <v>178</v>
      </c>
      <c r="G3889" s="4">
        <v>43222</v>
      </c>
      <c r="H3889" s="1">
        <v>6600738</v>
      </c>
      <c r="I3889" s="1">
        <v>672261</v>
      </c>
      <c r="J3889" s="1" t="s">
        <v>191</v>
      </c>
      <c r="K3889" s="1" t="s">
        <v>210</v>
      </c>
      <c r="L3889" s="1" t="str">
        <f t="shared" si="207"/>
        <v>Vallentunasjön Va2</v>
      </c>
      <c r="M3889" s="1" t="s">
        <v>211</v>
      </c>
      <c r="N3889" s="1">
        <v>1</v>
      </c>
      <c r="O3889" s="1">
        <v>1</v>
      </c>
      <c r="Q3889" s="1">
        <v>11</v>
      </c>
      <c r="R3889" s="1">
        <v>12.1</v>
      </c>
      <c r="S3889" s="1">
        <v>110</v>
      </c>
    </row>
    <row r="3890" spans="1:38" x14ac:dyDescent="0.3">
      <c r="A3890" s="1">
        <v>63562</v>
      </c>
      <c r="B3890" s="1" t="s">
        <v>259</v>
      </c>
      <c r="C3890" s="1" t="s">
        <v>209</v>
      </c>
      <c r="D3890" s="2">
        <f t="shared" si="208"/>
        <v>2018</v>
      </c>
      <c r="E3890" s="2">
        <f t="shared" si="209"/>
        <v>5</v>
      </c>
      <c r="F3890" s="1" t="s">
        <v>178</v>
      </c>
      <c r="G3890" s="4">
        <v>43222</v>
      </c>
      <c r="H3890" s="1">
        <v>6600738</v>
      </c>
      <c r="I3890" s="1">
        <v>672261</v>
      </c>
      <c r="J3890" s="1" t="s">
        <v>191</v>
      </c>
      <c r="K3890" s="1" t="s">
        <v>210</v>
      </c>
      <c r="L3890" s="1" t="str">
        <f t="shared" si="207"/>
        <v>Vallentunasjön Va2</v>
      </c>
      <c r="M3890" s="1" t="s">
        <v>212</v>
      </c>
      <c r="N3890" s="1">
        <v>2</v>
      </c>
      <c r="O3890" s="1">
        <v>2</v>
      </c>
      <c r="Q3890" s="1">
        <v>11</v>
      </c>
      <c r="R3890" s="1">
        <v>12.1</v>
      </c>
      <c r="S3890" s="1">
        <v>110</v>
      </c>
    </row>
    <row r="3891" spans="1:38" x14ac:dyDescent="0.3">
      <c r="A3891" s="1">
        <v>63563</v>
      </c>
      <c r="B3891" s="1" t="s">
        <v>259</v>
      </c>
      <c r="C3891" s="1" t="s">
        <v>209</v>
      </c>
      <c r="D3891" s="2">
        <f t="shared" si="208"/>
        <v>2018</v>
      </c>
      <c r="E3891" s="2">
        <f t="shared" si="209"/>
        <v>5</v>
      </c>
      <c r="F3891" s="1" t="s">
        <v>178</v>
      </c>
      <c r="G3891" s="4">
        <v>43222</v>
      </c>
      <c r="H3891" s="1">
        <v>6600738</v>
      </c>
      <c r="I3891" s="1">
        <v>672261</v>
      </c>
      <c r="J3891" s="1" t="s">
        <v>191</v>
      </c>
      <c r="K3891" s="1" t="s">
        <v>210</v>
      </c>
      <c r="L3891" s="1" t="str">
        <f t="shared" si="207"/>
        <v>Vallentunasjön Va2</v>
      </c>
      <c r="M3891" s="1" t="s">
        <v>213</v>
      </c>
      <c r="N3891" s="1">
        <v>3</v>
      </c>
      <c r="O3891" s="1">
        <v>3</v>
      </c>
      <c r="Q3891" s="1">
        <v>11</v>
      </c>
      <c r="R3891" s="1">
        <v>12.1</v>
      </c>
      <c r="S3891" s="1">
        <v>110</v>
      </c>
    </row>
    <row r="3892" spans="1:38" x14ac:dyDescent="0.3">
      <c r="A3892" s="1">
        <v>63564</v>
      </c>
      <c r="B3892" s="1" t="s">
        <v>259</v>
      </c>
      <c r="C3892" s="1" t="s">
        <v>209</v>
      </c>
      <c r="D3892" s="2">
        <f t="shared" si="208"/>
        <v>2018</v>
      </c>
      <c r="E3892" s="2">
        <f t="shared" si="209"/>
        <v>5</v>
      </c>
      <c r="F3892" s="1" t="s">
        <v>178</v>
      </c>
      <c r="G3892" s="4">
        <v>43222</v>
      </c>
      <c r="H3892" s="1">
        <v>6600738</v>
      </c>
      <c r="I3892" s="1">
        <v>672261</v>
      </c>
      <c r="J3892" s="1" t="s">
        <v>191</v>
      </c>
      <c r="K3892" s="1" t="s">
        <v>210</v>
      </c>
      <c r="L3892" s="1" t="str">
        <f t="shared" si="207"/>
        <v>Vallentunasjön Va2</v>
      </c>
      <c r="M3892" s="1" t="s">
        <v>214</v>
      </c>
      <c r="N3892" s="1">
        <v>4</v>
      </c>
      <c r="O3892" s="1">
        <v>4</v>
      </c>
      <c r="Q3892" s="1">
        <v>11</v>
      </c>
      <c r="R3892" s="1">
        <v>12.1</v>
      </c>
      <c r="S3892" s="1">
        <v>110</v>
      </c>
    </row>
    <row r="3893" spans="1:38" x14ac:dyDescent="0.3">
      <c r="A3893" s="1">
        <v>63565</v>
      </c>
      <c r="B3893" s="1" t="s">
        <v>259</v>
      </c>
      <c r="C3893" s="1" t="s">
        <v>209</v>
      </c>
      <c r="D3893" s="2">
        <f t="shared" si="208"/>
        <v>2018</v>
      </c>
      <c r="E3893" s="2">
        <f t="shared" si="209"/>
        <v>5</v>
      </c>
      <c r="F3893" s="1" t="s">
        <v>178</v>
      </c>
      <c r="G3893" s="4">
        <v>43222</v>
      </c>
      <c r="H3893" s="1">
        <v>6600738</v>
      </c>
      <c r="I3893" s="1">
        <v>672261</v>
      </c>
      <c r="J3893" s="1" t="s">
        <v>191</v>
      </c>
      <c r="K3893" s="1" t="s">
        <v>210</v>
      </c>
      <c r="L3893" s="1" t="str">
        <f t="shared" si="207"/>
        <v>Vallentunasjön Va2</v>
      </c>
      <c r="M3893" s="1" t="s">
        <v>184</v>
      </c>
      <c r="N3893" s="1">
        <v>4.5</v>
      </c>
      <c r="O3893" s="1">
        <v>4.5</v>
      </c>
      <c r="Q3893" s="1">
        <v>11</v>
      </c>
      <c r="R3893" s="1">
        <v>12.1</v>
      </c>
      <c r="S3893" s="1">
        <v>110</v>
      </c>
    </row>
    <row r="3894" spans="1:38" x14ac:dyDescent="0.3">
      <c r="A3894" s="1">
        <v>63566</v>
      </c>
      <c r="B3894" s="1" t="s">
        <v>259</v>
      </c>
      <c r="C3894" s="1" t="s">
        <v>209</v>
      </c>
      <c r="D3894" s="2">
        <f t="shared" si="208"/>
        <v>2018</v>
      </c>
      <c r="E3894" s="2">
        <f t="shared" si="209"/>
        <v>5</v>
      </c>
      <c r="F3894" s="1" t="s">
        <v>178</v>
      </c>
      <c r="G3894" s="4">
        <v>43222</v>
      </c>
      <c r="J3894" s="1" t="s">
        <v>191</v>
      </c>
      <c r="K3894" s="1" t="s">
        <v>206</v>
      </c>
      <c r="L3894" s="1" t="str">
        <f t="shared" si="207"/>
        <v>Vallentunasjön Blandprov</v>
      </c>
      <c r="M3894" s="1" t="s">
        <v>177</v>
      </c>
      <c r="N3894" s="1">
        <v>4</v>
      </c>
      <c r="O3894" s="1">
        <v>0</v>
      </c>
      <c r="Q3894" s="1">
        <v>11</v>
      </c>
      <c r="W3894" s="1">
        <v>12.537000000000001</v>
      </c>
      <c r="X3894" s="1">
        <v>0.19670855106008231</v>
      </c>
      <c r="Y3894" s="1">
        <v>0.06</v>
      </c>
      <c r="Z3894" s="1">
        <v>1.04</v>
      </c>
      <c r="AB3894" s="1">
        <v>26.104199999999999</v>
      </c>
      <c r="AD3894" s="1">
        <v>162.41</v>
      </c>
      <c r="AE3894" s="1">
        <v>7.9</v>
      </c>
      <c r="AG3894" s="1">
        <v>11.6</v>
      </c>
      <c r="AK3894" s="1">
        <v>45.83</v>
      </c>
      <c r="AL3894" s="1">
        <v>1152.92</v>
      </c>
    </row>
    <row r="3895" spans="1:38" x14ac:dyDescent="0.3">
      <c r="A3895" s="1">
        <v>63767</v>
      </c>
      <c r="B3895" s="1" t="s">
        <v>259</v>
      </c>
      <c r="C3895" s="1" t="s">
        <v>209</v>
      </c>
      <c r="D3895" s="2">
        <f t="shared" si="208"/>
        <v>2018</v>
      </c>
      <c r="E3895" s="2">
        <f t="shared" si="209"/>
        <v>5</v>
      </c>
      <c r="F3895" s="1" t="s">
        <v>178</v>
      </c>
      <c r="G3895" s="4">
        <v>43228</v>
      </c>
      <c r="H3895" s="1">
        <v>6600738</v>
      </c>
      <c r="I3895" s="1">
        <v>672261</v>
      </c>
      <c r="J3895" s="1" t="s">
        <v>191</v>
      </c>
      <c r="K3895" s="1" t="s">
        <v>210</v>
      </c>
      <c r="L3895" s="1" t="str">
        <f t="shared" si="207"/>
        <v>Vallentunasjön Va2</v>
      </c>
      <c r="M3895" s="1" t="s">
        <v>177</v>
      </c>
      <c r="N3895" s="1">
        <v>0.5</v>
      </c>
      <c r="O3895" s="1">
        <v>0.5</v>
      </c>
      <c r="P3895" s="1">
        <v>1.3</v>
      </c>
      <c r="Q3895" s="1">
        <v>14.3</v>
      </c>
      <c r="R3895" s="1">
        <v>12.8</v>
      </c>
      <c r="S3895" s="1">
        <v>124</v>
      </c>
    </row>
    <row r="3896" spans="1:38" x14ac:dyDescent="0.3">
      <c r="A3896" s="1">
        <v>63768</v>
      </c>
      <c r="B3896" s="1" t="s">
        <v>259</v>
      </c>
      <c r="C3896" s="1" t="s">
        <v>209</v>
      </c>
      <c r="D3896" s="2">
        <f t="shared" si="208"/>
        <v>2018</v>
      </c>
      <c r="E3896" s="2">
        <f t="shared" si="209"/>
        <v>5</v>
      </c>
      <c r="F3896" s="1" t="s">
        <v>178</v>
      </c>
      <c r="G3896" s="4">
        <v>43228</v>
      </c>
      <c r="H3896" s="1">
        <v>6600738</v>
      </c>
      <c r="I3896" s="1">
        <v>672261</v>
      </c>
      <c r="J3896" s="1" t="s">
        <v>191</v>
      </c>
      <c r="K3896" s="1" t="s">
        <v>210</v>
      </c>
      <c r="L3896" s="1" t="str">
        <f t="shared" si="207"/>
        <v>Vallentunasjön Va2</v>
      </c>
      <c r="M3896" s="1" t="s">
        <v>211</v>
      </c>
      <c r="N3896" s="1">
        <v>1</v>
      </c>
      <c r="O3896" s="1">
        <v>1</v>
      </c>
      <c r="Q3896" s="1">
        <v>14.3</v>
      </c>
      <c r="R3896" s="1">
        <v>12.7</v>
      </c>
      <c r="S3896" s="1">
        <v>123</v>
      </c>
    </row>
    <row r="3897" spans="1:38" x14ac:dyDescent="0.3">
      <c r="A3897" s="1">
        <v>63769</v>
      </c>
      <c r="B3897" s="1" t="s">
        <v>259</v>
      </c>
      <c r="C3897" s="1" t="s">
        <v>209</v>
      </c>
      <c r="D3897" s="2">
        <f t="shared" si="208"/>
        <v>2018</v>
      </c>
      <c r="E3897" s="2">
        <f t="shared" si="209"/>
        <v>5</v>
      </c>
      <c r="F3897" s="1" t="s">
        <v>178</v>
      </c>
      <c r="G3897" s="4">
        <v>43228</v>
      </c>
      <c r="H3897" s="1">
        <v>6600738</v>
      </c>
      <c r="I3897" s="1">
        <v>672261</v>
      </c>
      <c r="J3897" s="1" t="s">
        <v>191</v>
      </c>
      <c r="K3897" s="1" t="s">
        <v>210</v>
      </c>
      <c r="L3897" s="1" t="str">
        <f t="shared" si="207"/>
        <v>Vallentunasjön Va2</v>
      </c>
      <c r="M3897" s="1" t="s">
        <v>212</v>
      </c>
      <c r="N3897" s="1">
        <v>2</v>
      </c>
      <c r="O3897" s="1">
        <v>2</v>
      </c>
      <c r="Q3897" s="1">
        <v>14.2</v>
      </c>
      <c r="R3897" s="1">
        <v>12.6</v>
      </c>
      <c r="S3897" s="1">
        <v>121</v>
      </c>
    </row>
    <row r="3898" spans="1:38" x14ac:dyDescent="0.3">
      <c r="A3898" s="1">
        <v>63770</v>
      </c>
      <c r="B3898" s="1" t="s">
        <v>259</v>
      </c>
      <c r="C3898" s="1" t="s">
        <v>209</v>
      </c>
      <c r="D3898" s="2">
        <f t="shared" si="208"/>
        <v>2018</v>
      </c>
      <c r="E3898" s="2">
        <f t="shared" si="209"/>
        <v>5</v>
      </c>
      <c r="F3898" s="1" t="s">
        <v>178</v>
      </c>
      <c r="G3898" s="4">
        <v>43228</v>
      </c>
      <c r="H3898" s="1">
        <v>6600738</v>
      </c>
      <c r="I3898" s="1">
        <v>672261</v>
      </c>
      <c r="J3898" s="1" t="s">
        <v>191</v>
      </c>
      <c r="K3898" s="1" t="s">
        <v>210</v>
      </c>
      <c r="L3898" s="1" t="str">
        <f t="shared" si="207"/>
        <v>Vallentunasjön Va2</v>
      </c>
      <c r="M3898" s="1" t="s">
        <v>213</v>
      </c>
      <c r="N3898" s="1">
        <v>3</v>
      </c>
      <c r="O3898" s="1">
        <v>3</v>
      </c>
      <c r="Q3898" s="1">
        <v>14.2</v>
      </c>
      <c r="R3898" s="1">
        <v>12.5</v>
      </c>
      <c r="S3898" s="1">
        <v>120</v>
      </c>
    </row>
    <row r="3899" spans="1:38" x14ac:dyDescent="0.3">
      <c r="A3899" s="1">
        <v>63771</v>
      </c>
      <c r="B3899" s="1" t="s">
        <v>259</v>
      </c>
      <c r="C3899" s="1" t="s">
        <v>209</v>
      </c>
      <c r="D3899" s="2">
        <f t="shared" si="208"/>
        <v>2018</v>
      </c>
      <c r="E3899" s="2">
        <f t="shared" si="209"/>
        <v>5</v>
      </c>
      <c r="F3899" s="1" t="s">
        <v>178</v>
      </c>
      <c r="G3899" s="4">
        <v>43228</v>
      </c>
      <c r="H3899" s="1">
        <v>6600738</v>
      </c>
      <c r="I3899" s="1">
        <v>672261</v>
      </c>
      <c r="J3899" s="1" t="s">
        <v>191</v>
      </c>
      <c r="K3899" s="1" t="s">
        <v>210</v>
      </c>
      <c r="L3899" s="1" t="str">
        <f t="shared" si="207"/>
        <v>Vallentunasjön Va2</v>
      </c>
      <c r="M3899" s="1" t="s">
        <v>214</v>
      </c>
      <c r="N3899" s="1">
        <v>4</v>
      </c>
      <c r="O3899" s="1">
        <v>4</v>
      </c>
      <c r="Q3899" s="1">
        <v>14.1</v>
      </c>
      <c r="R3899" s="1">
        <v>12.4</v>
      </c>
      <c r="S3899" s="1">
        <v>119</v>
      </c>
    </row>
    <row r="3900" spans="1:38" x14ac:dyDescent="0.3">
      <c r="A3900" s="1">
        <v>63772</v>
      </c>
      <c r="B3900" s="1" t="s">
        <v>259</v>
      </c>
      <c r="C3900" s="1" t="s">
        <v>209</v>
      </c>
      <c r="D3900" s="2">
        <f t="shared" si="208"/>
        <v>2018</v>
      </c>
      <c r="E3900" s="2">
        <f t="shared" si="209"/>
        <v>5</v>
      </c>
      <c r="F3900" s="1" t="s">
        <v>178</v>
      </c>
      <c r="G3900" s="4">
        <v>43228</v>
      </c>
      <c r="H3900" s="1">
        <v>6600738</v>
      </c>
      <c r="I3900" s="1">
        <v>672261</v>
      </c>
      <c r="J3900" s="1" t="s">
        <v>191</v>
      </c>
      <c r="K3900" s="1" t="s">
        <v>210</v>
      </c>
      <c r="L3900" s="1" t="str">
        <f t="shared" si="207"/>
        <v>Vallentunasjön Va2</v>
      </c>
      <c r="M3900" s="1" t="s">
        <v>184</v>
      </c>
      <c r="N3900" s="1">
        <v>4.5</v>
      </c>
      <c r="O3900" s="1">
        <v>4.5</v>
      </c>
      <c r="Q3900" s="1">
        <v>14.1</v>
      </c>
      <c r="R3900" s="1">
        <v>12.2</v>
      </c>
      <c r="S3900" s="1">
        <v>117</v>
      </c>
    </row>
    <row r="3901" spans="1:38" x14ac:dyDescent="0.3">
      <c r="A3901" s="1">
        <v>63773</v>
      </c>
      <c r="B3901" s="1" t="s">
        <v>259</v>
      </c>
      <c r="C3901" s="1" t="s">
        <v>209</v>
      </c>
      <c r="D3901" s="2">
        <f t="shared" si="208"/>
        <v>2018</v>
      </c>
      <c r="E3901" s="2">
        <f t="shared" si="209"/>
        <v>5</v>
      </c>
      <c r="F3901" s="1" t="s">
        <v>178</v>
      </c>
      <c r="G3901" s="4">
        <v>43228</v>
      </c>
      <c r="J3901" s="1" t="s">
        <v>191</v>
      </c>
      <c r="K3901" s="1" t="s">
        <v>206</v>
      </c>
      <c r="L3901" s="1" t="str">
        <f t="shared" si="207"/>
        <v>Vallentunasjön Blandprov</v>
      </c>
      <c r="M3901" s="1" t="s">
        <v>177</v>
      </c>
      <c r="N3901" s="1">
        <v>4</v>
      </c>
      <c r="O3901" s="1">
        <v>0</v>
      </c>
      <c r="Q3901" s="1">
        <v>14</v>
      </c>
      <c r="W3901" s="1">
        <v>20.440899999999999</v>
      </c>
      <c r="X3901" s="1">
        <v>0.89915319858434917</v>
      </c>
      <c r="Y3901" s="1">
        <v>6.4000000000000001E-2</v>
      </c>
      <c r="Z3901" s="1">
        <v>0.03</v>
      </c>
      <c r="AB3901" s="1">
        <v>41.1678</v>
      </c>
      <c r="AD3901" s="1">
        <v>41.77</v>
      </c>
      <c r="AE3901" s="1">
        <v>8.26</v>
      </c>
      <c r="AG3901" s="1">
        <v>12.666666666999999</v>
      </c>
      <c r="AK3901" s="1">
        <v>54.84</v>
      </c>
      <c r="AL3901" s="1">
        <v>1179.05</v>
      </c>
    </row>
    <row r="3902" spans="1:38" x14ac:dyDescent="0.3">
      <c r="A3902" s="1">
        <v>63979</v>
      </c>
      <c r="B3902" s="1" t="s">
        <v>259</v>
      </c>
      <c r="C3902" s="1" t="s">
        <v>209</v>
      </c>
      <c r="D3902" s="2">
        <f t="shared" si="208"/>
        <v>2018</v>
      </c>
      <c r="E3902" s="2">
        <f t="shared" si="209"/>
        <v>5</v>
      </c>
      <c r="F3902" s="1" t="s">
        <v>178</v>
      </c>
      <c r="G3902" s="4">
        <v>43242</v>
      </c>
      <c r="H3902" s="1">
        <v>6600738</v>
      </c>
      <c r="I3902" s="1">
        <v>672261</v>
      </c>
      <c r="J3902" s="1" t="s">
        <v>191</v>
      </c>
      <c r="K3902" s="1" t="s">
        <v>210</v>
      </c>
      <c r="L3902" s="1" t="str">
        <f t="shared" ref="L3902:L3965" si="210">CONCATENATE(J3902," ",K3902)</f>
        <v>Vallentunasjön Va2</v>
      </c>
      <c r="M3902" s="1" t="s">
        <v>177</v>
      </c>
      <c r="N3902" s="1">
        <v>0.5</v>
      </c>
      <c r="O3902" s="1">
        <v>0.5</v>
      </c>
      <c r="P3902" s="1">
        <v>0.8</v>
      </c>
      <c r="Q3902" s="1">
        <v>20.9</v>
      </c>
      <c r="R3902" s="1">
        <v>10.9</v>
      </c>
      <c r="S3902" s="1">
        <v>122</v>
      </c>
    </row>
    <row r="3903" spans="1:38" x14ac:dyDescent="0.3">
      <c r="A3903" s="1">
        <v>63980</v>
      </c>
      <c r="B3903" s="1" t="s">
        <v>259</v>
      </c>
      <c r="C3903" s="1" t="s">
        <v>209</v>
      </c>
      <c r="D3903" s="2">
        <f t="shared" si="208"/>
        <v>2018</v>
      </c>
      <c r="E3903" s="2">
        <f t="shared" si="209"/>
        <v>5</v>
      </c>
      <c r="F3903" s="1" t="s">
        <v>178</v>
      </c>
      <c r="G3903" s="4">
        <v>43242</v>
      </c>
      <c r="H3903" s="1">
        <v>6600738</v>
      </c>
      <c r="I3903" s="1">
        <v>672261</v>
      </c>
      <c r="J3903" s="1" t="s">
        <v>191</v>
      </c>
      <c r="K3903" s="1" t="s">
        <v>210</v>
      </c>
      <c r="L3903" s="1" t="str">
        <f t="shared" si="210"/>
        <v>Vallentunasjön Va2</v>
      </c>
      <c r="M3903" s="1" t="s">
        <v>211</v>
      </c>
      <c r="N3903" s="1">
        <v>1</v>
      </c>
      <c r="O3903" s="1">
        <v>1</v>
      </c>
      <c r="Q3903" s="1">
        <v>20.399999999999999</v>
      </c>
      <c r="R3903" s="1">
        <v>11.1</v>
      </c>
      <c r="S3903" s="1">
        <v>122</v>
      </c>
    </row>
    <row r="3904" spans="1:38" x14ac:dyDescent="0.3">
      <c r="A3904" s="1">
        <v>63981</v>
      </c>
      <c r="B3904" s="1" t="s">
        <v>259</v>
      </c>
      <c r="C3904" s="1" t="s">
        <v>209</v>
      </c>
      <c r="D3904" s="2">
        <f t="shared" si="208"/>
        <v>2018</v>
      </c>
      <c r="E3904" s="2">
        <f t="shared" si="209"/>
        <v>5</v>
      </c>
      <c r="F3904" s="1" t="s">
        <v>178</v>
      </c>
      <c r="G3904" s="4">
        <v>43242</v>
      </c>
      <c r="H3904" s="1">
        <v>6600738</v>
      </c>
      <c r="I3904" s="1">
        <v>672261</v>
      </c>
      <c r="J3904" s="1" t="s">
        <v>191</v>
      </c>
      <c r="K3904" s="1" t="s">
        <v>210</v>
      </c>
      <c r="L3904" s="1" t="str">
        <f t="shared" si="210"/>
        <v>Vallentunasjön Va2</v>
      </c>
      <c r="M3904" s="1" t="s">
        <v>212</v>
      </c>
      <c r="N3904" s="1">
        <v>2</v>
      </c>
      <c r="O3904" s="1">
        <v>2</v>
      </c>
      <c r="Q3904" s="1">
        <v>18.7</v>
      </c>
      <c r="R3904" s="1">
        <v>9.9</v>
      </c>
      <c r="S3904" s="1">
        <v>107</v>
      </c>
    </row>
    <row r="3905" spans="1:38" x14ac:dyDescent="0.3">
      <c r="A3905" s="1">
        <v>63982</v>
      </c>
      <c r="B3905" s="1" t="s">
        <v>259</v>
      </c>
      <c r="C3905" s="1" t="s">
        <v>209</v>
      </c>
      <c r="D3905" s="2">
        <f t="shared" si="208"/>
        <v>2018</v>
      </c>
      <c r="E3905" s="2">
        <f t="shared" si="209"/>
        <v>5</v>
      </c>
      <c r="F3905" s="1" t="s">
        <v>178</v>
      </c>
      <c r="G3905" s="4">
        <v>43242</v>
      </c>
      <c r="H3905" s="1">
        <v>6600738</v>
      </c>
      <c r="I3905" s="1">
        <v>672261</v>
      </c>
      <c r="J3905" s="1" t="s">
        <v>191</v>
      </c>
      <c r="K3905" s="1" t="s">
        <v>210</v>
      </c>
      <c r="L3905" s="1" t="str">
        <f t="shared" si="210"/>
        <v>Vallentunasjön Va2</v>
      </c>
      <c r="M3905" s="1" t="s">
        <v>213</v>
      </c>
      <c r="N3905" s="1">
        <v>3</v>
      </c>
      <c r="O3905" s="1">
        <v>3</v>
      </c>
      <c r="Q3905" s="1">
        <v>18.399999999999999</v>
      </c>
      <c r="R3905" s="1">
        <v>9.6</v>
      </c>
      <c r="S3905" s="1">
        <v>102</v>
      </c>
    </row>
    <row r="3906" spans="1:38" x14ac:dyDescent="0.3">
      <c r="A3906" s="1">
        <v>63983</v>
      </c>
      <c r="B3906" s="1" t="s">
        <v>259</v>
      </c>
      <c r="C3906" s="1" t="s">
        <v>209</v>
      </c>
      <c r="D3906" s="2">
        <f t="shared" si="208"/>
        <v>2018</v>
      </c>
      <c r="E3906" s="2">
        <f t="shared" si="209"/>
        <v>5</v>
      </c>
      <c r="F3906" s="1" t="s">
        <v>178</v>
      </c>
      <c r="G3906" s="4">
        <v>43242</v>
      </c>
      <c r="H3906" s="1">
        <v>6600738</v>
      </c>
      <c r="I3906" s="1">
        <v>672261</v>
      </c>
      <c r="J3906" s="1" t="s">
        <v>191</v>
      </c>
      <c r="K3906" s="1" t="s">
        <v>210</v>
      </c>
      <c r="L3906" s="1" t="str">
        <f t="shared" si="210"/>
        <v>Vallentunasjön Va2</v>
      </c>
      <c r="M3906" s="1" t="s">
        <v>214</v>
      </c>
      <c r="N3906" s="1">
        <v>4</v>
      </c>
      <c r="O3906" s="1">
        <v>4</v>
      </c>
      <c r="Q3906" s="1">
        <v>16.8</v>
      </c>
      <c r="R3906" s="1">
        <v>3.2</v>
      </c>
      <c r="S3906" s="1">
        <v>33</v>
      </c>
    </row>
    <row r="3907" spans="1:38" x14ac:dyDescent="0.3">
      <c r="A3907" s="1">
        <v>63984</v>
      </c>
      <c r="B3907" s="1" t="s">
        <v>259</v>
      </c>
      <c r="C3907" s="1" t="s">
        <v>209</v>
      </c>
      <c r="D3907" s="2">
        <f t="shared" si="208"/>
        <v>2018</v>
      </c>
      <c r="E3907" s="2">
        <f t="shared" si="209"/>
        <v>5</v>
      </c>
      <c r="F3907" s="1" t="s">
        <v>178</v>
      </c>
      <c r="G3907" s="4">
        <v>43242</v>
      </c>
      <c r="H3907" s="1">
        <v>6600738</v>
      </c>
      <c r="I3907" s="1">
        <v>672261</v>
      </c>
      <c r="J3907" s="1" t="s">
        <v>191</v>
      </c>
      <c r="K3907" s="1" t="s">
        <v>210</v>
      </c>
      <c r="L3907" s="1" t="str">
        <f t="shared" si="210"/>
        <v>Vallentunasjön Va2</v>
      </c>
      <c r="M3907" s="1" t="s">
        <v>184</v>
      </c>
      <c r="N3907" s="1">
        <v>4.5</v>
      </c>
      <c r="O3907" s="1">
        <v>4.5</v>
      </c>
      <c r="Q3907" s="1">
        <v>16.399999999999999</v>
      </c>
      <c r="R3907" s="1">
        <v>1.5</v>
      </c>
      <c r="S3907" s="1">
        <v>15</v>
      </c>
    </row>
    <row r="3908" spans="1:38" x14ac:dyDescent="0.3">
      <c r="A3908" s="1">
        <v>63985</v>
      </c>
      <c r="B3908" s="1" t="s">
        <v>259</v>
      </c>
      <c r="C3908" s="1" t="s">
        <v>209</v>
      </c>
      <c r="D3908" s="2">
        <f t="shared" si="208"/>
        <v>2018</v>
      </c>
      <c r="E3908" s="2">
        <f t="shared" si="209"/>
        <v>5</v>
      </c>
      <c r="F3908" s="1" t="s">
        <v>178</v>
      </c>
      <c r="G3908" s="4">
        <v>43242</v>
      </c>
      <c r="J3908" s="1" t="s">
        <v>191</v>
      </c>
      <c r="K3908" s="1" t="s">
        <v>206</v>
      </c>
      <c r="L3908" s="1" t="str">
        <f t="shared" si="210"/>
        <v>Vallentunasjön Blandprov</v>
      </c>
      <c r="M3908" s="1" t="s">
        <v>177</v>
      </c>
      <c r="N3908" s="1">
        <v>4</v>
      </c>
      <c r="O3908" s="1">
        <v>0</v>
      </c>
      <c r="Q3908" s="1">
        <v>19</v>
      </c>
      <c r="W3908" s="1">
        <v>5.4645999999999999</v>
      </c>
      <c r="X3908" s="1">
        <v>0.22634133243052051</v>
      </c>
      <c r="Y3908" s="1">
        <v>5.8999999999999997E-2</v>
      </c>
      <c r="Z3908" s="1">
        <v>0</v>
      </c>
      <c r="AB3908" s="1">
        <v>28.318950000000001</v>
      </c>
      <c r="AD3908" s="1">
        <v>0</v>
      </c>
      <c r="AE3908" s="1">
        <v>8.07</v>
      </c>
      <c r="AG3908" s="1">
        <v>16.5</v>
      </c>
      <c r="AK3908" s="1">
        <v>52.034999999999997</v>
      </c>
      <c r="AL3908" s="1">
        <v>1172.02</v>
      </c>
    </row>
    <row r="3909" spans="1:38" x14ac:dyDescent="0.3">
      <c r="A3909" s="1">
        <v>64437</v>
      </c>
      <c r="B3909" s="1" t="s">
        <v>259</v>
      </c>
      <c r="C3909" s="1" t="s">
        <v>209</v>
      </c>
      <c r="D3909" s="2">
        <f t="shared" si="208"/>
        <v>2018</v>
      </c>
      <c r="E3909" s="2">
        <f t="shared" si="209"/>
        <v>6</v>
      </c>
      <c r="G3909" s="4">
        <v>43258</v>
      </c>
      <c r="H3909" s="1">
        <v>6600738</v>
      </c>
      <c r="I3909" s="1">
        <v>672261</v>
      </c>
      <c r="J3909" s="1" t="s">
        <v>191</v>
      </c>
      <c r="K3909" s="1" t="s">
        <v>210</v>
      </c>
      <c r="L3909" s="1" t="str">
        <f t="shared" si="210"/>
        <v>Vallentunasjön Va2</v>
      </c>
      <c r="M3909" s="1" t="s">
        <v>177</v>
      </c>
      <c r="N3909" s="1">
        <v>0.5</v>
      </c>
      <c r="O3909" s="1">
        <v>0.5</v>
      </c>
      <c r="P3909" s="1">
        <v>1</v>
      </c>
      <c r="Q3909" s="1">
        <v>19</v>
      </c>
      <c r="R3909" s="1">
        <v>9</v>
      </c>
      <c r="S3909" s="1">
        <v>97</v>
      </c>
    </row>
    <row r="3910" spans="1:38" x14ac:dyDescent="0.3">
      <c r="A3910" s="1">
        <v>64438</v>
      </c>
      <c r="B3910" s="1" t="s">
        <v>259</v>
      </c>
      <c r="C3910" s="1" t="s">
        <v>209</v>
      </c>
      <c r="D3910" s="2">
        <f t="shared" ref="D3910:D3973" si="211">YEAR(G3910)</f>
        <v>2018</v>
      </c>
      <c r="E3910" s="2">
        <f t="shared" ref="E3910:E3973" si="212">MONTH(G3910)</f>
        <v>6</v>
      </c>
      <c r="G3910" s="4">
        <v>43258</v>
      </c>
      <c r="H3910" s="1">
        <v>6600738</v>
      </c>
      <c r="I3910" s="1">
        <v>672261</v>
      </c>
      <c r="J3910" s="1" t="s">
        <v>191</v>
      </c>
      <c r="K3910" s="1" t="s">
        <v>210</v>
      </c>
      <c r="L3910" s="1" t="str">
        <f t="shared" si="210"/>
        <v>Vallentunasjön Va2</v>
      </c>
      <c r="M3910" s="1" t="s">
        <v>211</v>
      </c>
      <c r="N3910" s="1">
        <v>1</v>
      </c>
      <c r="O3910" s="1">
        <v>1</v>
      </c>
      <c r="Q3910" s="1">
        <v>18.899999999999999</v>
      </c>
      <c r="R3910" s="1">
        <v>8.9</v>
      </c>
      <c r="S3910" s="1">
        <v>96</v>
      </c>
    </row>
    <row r="3911" spans="1:38" x14ac:dyDescent="0.3">
      <c r="A3911" s="1">
        <v>64439</v>
      </c>
      <c r="B3911" s="1" t="s">
        <v>259</v>
      </c>
      <c r="C3911" s="1" t="s">
        <v>209</v>
      </c>
      <c r="D3911" s="2">
        <f t="shared" si="211"/>
        <v>2018</v>
      </c>
      <c r="E3911" s="2">
        <f t="shared" si="212"/>
        <v>6</v>
      </c>
      <c r="G3911" s="4">
        <v>43258</v>
      </c>
      <c r="H3911" s="1">
        <v>6600738</v>
      </c>
      <c r="I3911" s="1">
        <v>672261</v>
      </c>
      <c r="J3911" s="1" t="s">
        <v>191</v>
      </c>
      <c r="K3911" s="1" t="s">
        <v>210</v>
      </c>
      <c r="L3911" s="1" t="str">
        <f t="shared" si="210"/>
        <v>Vallentunasjön Va2</v>
      </c>
      <c r="M3911" s="1" t="s">
        <v>212</v>
      </c>
      <c r="N3911" s="1">
        <v>2</v>
      </c>
      <c r="O3911" s="1">
        <v>2</v>
      </c>
      <c r="Q3911" s="1">
        <v>18.8</v>
      </c>
      <c r="R3911" s="1">
        <v>8.9</v>
      </c>
      <c r="S3911" s="1">
        <v>96</v>
      </c>
    </row>
    <row r="3912" spans="1:38" x14ac:dyDescent="0.3">
      <c r="A3912" s="1">
        <v>64440</v>
      </c>
      <c r="B3912" s="1" t="s">
        <v>259</v>
      </c>
      <c r="C3912" s="1" t="s">
        <v>209</v>
      </c>
      <c r="D3912" s="2">
        <f t="shared" si="211"/>
        <v>2018</v>
      </c>
      <c r="E3912" s="2">
        <f t="shared" si="212"/>
        <v>6</v>
      </c>
      <c r="G3912" s="4">
        <v>43258</v>
      </c>
      <c r="H3912" s="1">
        <v>6600738</v>
      </c>
      <c r="I3912" s="1">
        <v>672261</v>
      </c>
      <c r="J3912" s="1" t="s">
        <v>191</v>
      </c>
      <c r="K3912" s="1" t="s">
        <v>210</v>
      </c>
      <c r="L3912" s="1" t="str">
        <f t="shared" si="210"/>
        <v>Vallentunasjön Va2</v>
      </c>
      <c r="M3912" s="1" t="s">
        <v>213</v>
      </c>
      <c r="N3912" s="1">
        <v>3</v>
      </c>
      <c r="O3912" s="1">
        <v>3</v>
      </c>
      <c r="Q3912" s="1">
        <v>18.600000000000001</v>
      </c>
      <c r="R3912" s="1">
        <v>8.6999999999999993</v>
      </c>
      <c r="S3912" s="1">
        <v>93</v>
      </c>
    </row>
    <row r="3913" spans="1:38" x14ac:dyDescent="0.3">
      <c r="A3913" s="1">
        <v>64441</v>
      </c>
      <c r="B3913" s="1" t="s">
        <v>259</v>
      </c>
      <c r="C3913" s="1" t="s">
        <v>209</v>
      </c>
      <c r="D3913" s="2">
        <f t="shared" si="211"/>
        <v>2018</v>
      </c>
      <c r="E3913" s="2">
        <f t="shared" si="212"/>
        <v>6</v>
      </c>
      <c r="G3913" s="4">
        <v>43258</v>
      </c>
      <c r="H3913" s="1">
        <v>6600738</v>
      </c>
      <c r="I3913" s="1">
        <v>672261</v>
      </c>
      <c r="J3913" s="1" t="s">
        <v>191</v>
      </c>
      <c r="K3913" s="1" t="s">
        <v>210</v>
      </c>
      <c r="L3913" s="1" t="str">
        <f t="shared" si="210"/>
        <v>Vallentunasjön Va2</v>
      </c>
      <c r="M3913" s="1" t="s">
        <v>214</v>
      </c>
      <c r="N3913" s="1">
        <v>4</v>
      </c>
      <c r="O3913" s="1">
        <v>4</v>
      </c>
      <c r="Q3913" s="1">
        <v>18.600000000000001</v>
      </c>
      <c r="R3913" s="1">
        <v>8.6999999999999993</v>
      </c>
      <c r="S3913" s="1">
        <v>93</v>
      </c>
    </row>
    <row r="3914" spans="1:38" x14ac:dyDescent="0.3">
      <c r="A3914" s="1">
        <v>64442</v>
      </c>
      <c r="B3914" s="1" t="s">
        <v>259</v>
      </c>
      <c r="C3914" s="1" t="s">
        <v>209</v>
      </c>
      <c r="D3914" s="2">
        <f t="shared" si="211"/>
        <v>2018</v>
      </c>
      <c r="E3914" s="2">
        <f t="shared" si="212"/>
        <v>6</v>
      </c>
      <c r="G3914" s="4">
        <v>43258</v>
      </c>
      <c r="H3914" s="1">
        <v>6600738</v>
      </c>
      <c r="I3914" s="1">
        <v>672261</v>
      </c>
      <c r="J3914" s="1" t="s">
        <v>191</v>
      </c>
      <c r="K3914" s="1" t="s">
        <v>210</v>
      </c>
      <c r="L3914" s="1" t="str">
        <f t="shared" si="210"/>
        <v>Vallentunasjön Va2</v>
      </c>
      <c r="M3914" s="1" t="s">
        <v>184</v>
      </c>
      <c r="N3914" s="1">
        <v>4.5</v>
      </c>
      <c r="O3914" s="1">
        <v>4.5</v>
      </c>
      <c r="Q3914" s="1">
        <v>18</v>
      </c>
      <c r="R3914" s="1">
        <v>8.6</v>
      </c>
      <c r="S3914" s="1">
        <v>92</v>
      </c>
    </row>
    <row r="3915" spans="1:38" x14ac:dyDescent="0.3">
      <c r="A3915" s="1">
        <v>64443</v>
      </c>
      <c r="B3915" s="1" t="s">
        <v>259</v>
      </c>
      <c r="C3915" s="1" t="s">
        <v>209</v>
      </c>
      <c r="D3915" s="2">
        <f t="shared" si="211"/>
        <v>2018</v>
      </c>
      <c r="E3915" s="2">
        <f t="shared" si="212"/>
        <v>6</v>
      </c>
      <c r="G3915" s="4">
        <v>43258</v>
      </c>
      <c r="J3915" s="1" t="s">
        <v>191</v>
      </c>
      <c r="K3915" s="1" t="s">
        <v>206</v>
      </c>
      <c r="L3915" s="1" t="str">
        <f t="shared" si="210"/>
        <v>Vallentunasjön Blandprov</v>
      </c>
      <c r="M3915" s="1" t="s">
        <v>177</v>
      </c>
      <c r="N3915" s="1">
        <v>4</v>
      </c>
      <c r="O3915" s="1">
        <v>0</v>
      </c>
      <c r="W3915" s="1">
        <v>9.0787999999999993</v>
      </c>
      <c r="X3915" s="1">
        <v>0.10202871749298076</v>
      </c>
      <c r="Y3915" s="1">
        <v>4.2999999999999997E-2</v>
      </c>
      <c r="Z3915" s="1">
        <v>0.78</v>
      </c>
      <c r="AB3915" s="1">
        <v>38.000647059000002</v>
      </c>
      <c r="AD3915" s="1">
        <v>0</v>
      </c>
      <c r="AE3915" s="1">
        <v>8.14</v>
      </c>
      <c r="AG3915" s="1">
        <v>22.368421052999999</v>
      </c>
      <c r="AK3915" s="1">
        <v>76.194999999999993</v>
      </c>
      <c r="AL3915" s="1">
        <v>1416.12</v>
      </c>
    </row>
    <row r="3916" spans="1:38" x14ac:dyDescent="0.3">
      <c r="A3916" s="1">
        <v>64750</v>
      </c>
      <c r="B3916" s="1" t="s">
        <v>259</v>
      </c>
      <c r="C3916" s="1" t="s">
        <v>209</v>
      </c>
      <c r="D3916" s="2">
        <f t="shared" si="211"/>
        <v>2018</v>
      </c>
      <c r="E3916" s="2">
        <f t="shared" si="212"/>
        <v>6</v>
      </c>
      <c r="G3916" s="4">
        <v>43264</v>
      </c>
      <c r="H3916" s="1">
        <v>6600738</v>
      </c>
      <c r="I3916" s="1">
        <v>672261</v>
      </c>
      <c r="J3916" s="1" t="s">
        <v>191</v>
      </c>
      <c r="K3916" s="1" t="s">
        <v>210</v>
      </c>
      <c r="L3916" s="1" t="str">
        <f t="shared" si="210"/>
        <v>Vallentunasjön Va2</v>
      </c>
      <c r="M3916" s="1" t="s">
        <v>177</v>
      </c>
      <c r="N3916" s="1">
        <v>0.5</v>
      </c>
      <c r="O3916" s="1">
        <v>0.5</v>
      </c>
      <c r="P3916" s="1">
        <v>0.8</v>
      </c>
      <c r="Q3916" s="1">
        <v>20.5</v>
      </c>
      <c r="R3916" s="1">
        <v>9.8000000000000007</v>
      </c>
      <c r="S3916" s="1">
        <v>110</v>
      </c>
    </row>
    <row r="3917" spans="1:38" x14ac:dyDescent="0.3">
      <c r="A3917" s="1">
        <v>64751</v>
      </c>
      <c r="B3917" s="1" t="s">
        <v>259</v>
      </c>
      <c r="C3917" s="1" t="s">
        <v>209</v>
      </c>
      <c r="D3917" s="2">
        <f t="shared" si="211"/>
        <v>2018</v>
      </c>
      <c r="E3917" s="2">
        <f t="shared" si="212"/>
        <v>6</v>
      </c>
      <c r="G3917" s="4">
        <v>43264</v>
      </c>
      <c r="H3917" s="1">
        <v>6600738</v>
      </c>
      <c r="I3917" s="1">
        <v>672261</v>
      </c>
      <c r="J3917" s="1" t="s">
        <v>191</v>
      </c>
      <c r="K3917" s="1" t="s">
        <v>210</v>
      </c>
      <c r="L3917" s="1" t="str">
        <f t="shared" si="210"/>
        <v>Vallentunasjön Va2</v>
      </c>
      <c r="M3917" s="1" t="s">
        <v>211</v>
      </c>
      <c r="N3917" s="1">
        <v>1</v>
      </c>
      <c r="O3917" s="1">
        <v>1</v>
      </c>
      <c r="Q3917" s="1">
        <v>20.5</v>
      </c>
      <c r="R3917" s="1">
        <v>9.6</v>
      </c>
      <c r="S3917" s="1">
        <v>107</v>
      </c>
    </row>
    <row r="3918" spans="1:38" x14ac:dyDescent="0.3">
      <c r="A3918" s="1">
        <v>64752</v>
      </c>
      <c r="B3918" s="1" t="s">
        <v>259</v>
      </c>
      <c r="C3918" s="1" t="s">
        <v>209</v>
      </c>
      <c r="D3918" s="2">
        <f t="shared" si="211"/>
        <v>2018</v>
      </c>
      <c r="E3918" s="2">
        <f t="shared" si="212"/>
        <v>6</v>
      </c>
      <c r="G3918" s="4">
        <v>43264</v>
      </c>
      <c r="H3918" s="1">
        <v>6600738</v>
      </c>
      <c r="I3918" s="1">
        <v>672261</v>
      </c>
      <c r="J3918" s="1" t="s">
        <v>191</v>
      </c>
      <c r="K3918" s="1" t="s">
        <v>210</v>
      </c>
      <c r="L3918" s="1" t="str">
        <f t="shared" si="210"/>
        <v>Vallentunasjön Va2</v>
      </c>
      <c r="M3918" s="1" t="s">
        <v>212</v>
      </c>
      <c r="N3918" s="1">
        <v>2</v>
      </c>
      <c r="O3918" s="1">
        <v>2</v>
      </c>
      <c r="Q3918" s="1">
        <v>20.5</v>
      </c>
      <c r="R3918" s="1">
        <v>8.9</v>
      </c>
      <c r="S3918" s="1">
        <v>100</v>
      </c>
    </row>
    <row r="3919" spans="1:38" x14ac:dyDescent="0.3">
      <c r="A3919" s="1">
        <v>64753</v>
      </c>
      <c r="B3919" s="1" t="s">
        <v>259</v>
      </c>
      <c r="C3919" s="1" t="s">
        <v>209</v>
      </c>
      <c r="D3919" s="2">
        <f t="shared" si="211"/>
        <v>2018</v>
      </c>
      <c r="E3919" s="2">
        <f t="shared" si="212"/>
        <v>6</v>
      </c>
      <c r="G3919" s="4">
        <v>43264</v>
      </c>
      <c r="H3919" s="1">
        <v>6600738</v>
      </c>
      <c r="I3919" s="1">
        <v>672261</v>
      </c>
      <c r="J3919" s="1" t="s">
        <v>191</v>
      </c>
      <c r="K3919" s="1" t="s">
        <v>210</v>
      </c>
      <c r="L3919" s="1" t="str">
        <f t="shared" si="210"/>
        <v>Vallentunasjön Va2</v>
      </c>
      <c r="M3919" s="1" t="s">
        <v>213</v>
      </c>
      <c r="N3919" s="1">
        <v>3</v>
      </c>
      <c r="O3919" s="1">
        <v>3</v>
      </c>
      <c r="Q3919" s="1">
        <v>20.5</v>
      </c>
      <c r="R3919" s="1">
        <v>8.6999999999999993</v>
      </c>
      <c r="S3919" s="1">
        <v>98</v>
      </c>
    </row>
    <row r="3920" spans="1:38" x14ac:dyDescent="0.3">
      <c r="A3920" s="1">
        <v>64754</v>
      </c>
      <c r="B3920" s="1" t="s">
        <v>259</v>
      </c>
      <c r="C3920" s="1" t="s">
        <v>209</v>
      </c>
      <c r="D3920" s="2">
        <f t="shared" si="211"/>
        <v>2018</v>
      </c>
      <c r="E3920" s="2">
        <f t="shared" si="212"/>
        <v>6</v>
      </c>
      <c r="G3920" s="4">
        <v>43264</v>
      </c>
      <c r="H3920" s="1">
        <v>6600738</v>
      </c>
      <c r="I3920" s="1">
        <v>672261</v>
      </c>
      <c r="J3920" s="1" t="s">
        <v>191</v>
      </c>
      <c r="K3920" s="1" t="s">
        <v>210</v>
      </c>
      <c r="L3920" s="1" t="str">
        <f t="shared" si="210"/>
        <v>Vallentunasjön Va2</v>
      </c>
      <c r="M3920" s="1" t="s">
        <v>214</v>
      </c>
      <c r="N3920" s="1">
        <v>4</v>
      </c>
      <c r="O3920" s="1">
        <v>4</v>
      </c>
      <c r="Q3920" s="1">
        <v>20.399999999999999</v>
      </c>
      <c r="R3920" s="1">
        <v>6.3</v>
      </c>
      <c r="S3920" s="1">
        <v>70</v>
      </c>
    </row>
    <row r="3921" spans="1:38" x14ac:dyDescent="0.3">
      <c r="A3921" s="1">
        <v>64755</v>
      </c>
      <c r="B3921" s="1" t="s">
        <v>259</v>
      </c>
      <c r="C3921" s="1" t="s">
        <v>209</v>
      </c>
      <c r="D3921" s="2">
        <f t="shared" si="211"/>
        <v>2018</v>
      </c>
      <c r="E3921" s="2">
        <f t="shared" si="212"/>
        <v>6</v>
      </c>
      <c r="G3921" s="4">
        <v>43264</v>
      </c>
      <c r="H3921" s="1">
        <v>6600738</v>
      </c>
      <c r="I3921" s="1">
        <v>672261</v>
      </c>
      <c r="J3921" s="1" t="s">
        <v>191</v>
      </c>
      <c r="K3921" s="1" t="s">
        <v>210</v>
      </c>
      <c r="L3921" s="1" t="str">
        <f t="shared" si="210"/>
        <v>Vallentunasjön Va2</v>
      </c>
      <c r="M3921" s="1" t="s">
        <v>184</v>
      </c>
      <c r="N3921" s="1">
        <v>4.5</v>
      </c>
      <c r="O3921" s="1">
        <v>4.5</v>
      </c>
      <c r="Q3921" s="1">
        <v>20.3</v>
      </c>
      <c r="R3921" s="1">
        <v>5.5</v>
      </c>
      <c r="S3921" s="1">
        <v>61</v>
      </c>
    </row>
    <row r="3922" spans="1:38" x14ac:dyDescent="0.3">
      <c r="A3922" s="1">
        <v>64756</v>
      </c>
      <c r="B3922" s="1" t="s">
        <v>259</v>
      </c>
      <c r="C3922" s="1" t="s">
        <v>209</v>
      </c>
      <c r="D3922" s="2">
        <f t="shared" si="211"/>
        <v>2018</v>
      </c>
      <c r="E3922" s="2">
        <f t="shared" si="212"/>
        <v>6</v>
      </c>
      <c r="G3922" s="4">
        <v>43264</v>
      </c>
      <c r="J3922" s="1" t="s">
        <v>191</v>
      </c>
      <c r="K3922" s="1" t="s">
        <v>206</v>
      </c>
      <c r="L3922" s="1" t="str">
        <f t="shared" si="210"/>
        <v>Vallentunasjön Blandprov</v>
      </c>
      <c r="M3922" s="1" t="s">
        <v>177</v>
      </c>
      <c r="N3922" s="1">
        <v>4</v>
      </c>
      <c r="O3922" s="1">
        <v>0</v>
      </c>
      <c r="W3922" s="1">
        <v>3.4765999999999999</v>
      </c>
      <c r="X3922" s="1">
        <v>4.4784344169772582E-2</v>
      </c>
      <c r="Y3922" s="1">
        <v>5.2999999999999999E-2</v>
      </c>
      <c r="Z3922" s="1">
        <v>0</v>
      </c>
      <c r="AB3922" s="1">
        <v>32.269799999999996</v>
      </c>
      <c r="AD3922" s="1">
        <v>0</v>
      </c>
      <c r="AE3922" s="1">
        <v>8.1999999999999993</v>
      </c>
      <c r="AG3922" s="1">
        <v>19.2</v>
      </c>
      <c r="AK3922" s="1">
        <v>65.832999999999998</v>
      </c>
      <c r="AL3922" s="1">
        <v>1301.76</v>
      </c>
    </row>
    <row r="3923" spans="1:38" x14ac:dyDescent="0.3">
      <c r="A3923" s="1">
        <v>65035</v>
      </c>
      <c r="B3923" s="1" t="s">
        <v>259</v>
      </c>
      <c r="C3923" s="1" t="s">
        <v>209</v>
      </c>
      <c r="D3923" s="2">
        <f t="shared" si="211"/>
        <v>2018</v>
      </c>
      <c r="E3923" s="2">
        <f t="shared" si="212"/>
        <v>6</v>
      </c>
      <c r="G3923" s="4">
        <v>43270</v>
      </c>
      <c r="H3923" s="1">
        <v>6600738</v>
      </c>
      <c r="I3923" s="1">
        <v>672261</v>
      </c>
      <c r="J3923" s="1" t="s">
        <v>191</v>
      </c>
      <c r="K3923" s="1" t="s">
        <v>210</v>
      </c>
      <c r="L3923" s="1" t="str">
        <f t="shared" si="210"/>
        <v>Vallentunasjön Va2</v>
      </c>
      <c r="M3923" s="1" t="s">
        <v>177</v>
      </c>
      <c r="N3923" s="1">
        <v>0.5</v>
      </c>
      <c r="O3923" s="1">
        <v>0.5</v>
      </c>
      <c r="P3923" s="1">
        <v>0.8</v>
      </c>
      <c r="Q3923" s="1">
        <v>20.2</v>
      </c>
      <c r="R3923" s="1">
        <v>9.4</v>
      </c>
      <c r="S3923" s="1">
        <v>104</v>
      </c>
    </row>
    <row r="3924" spans="1:38" x14ac:dyDescent="0.3">
      <c r="A3924" s="1">
        <v>65036</v>
      </c>
      <c r="B3924" s="1" t="s">
        <v>259</v>
      </c>
      <c r="C3924" s="1" t="s">
        <v>209</v>
      </c>
      <c r="D3924" s="2">
        <f t="shared" si="211"/>
        <v>2018</v>
      </c>
      <c r="E3924" s="2">
        <f t="shared" si="212"/>
        <v>6</v>
      </c>
      <c r="G3924" s="4">
        <v>43270</v>
      </c>
      <c r="H3924" s="1">
        <v>6600738</v>
      </c>
      <c r="I3924" s="1">
        <v>672261</v>
      </c>
      <c r="J3924" s="1" t="s">
        <v>191</v>
      </c>
      <c r="K3924" s="1" t="s">
        <v>210</v>
      </c>
      <c r="L3924" s="1" t="str">
        <f t="shared" si="210"/>
        <v>Vallentunasjön Va2</v>
      </c>
      <c r="M3924" s="1" t="s">
        <v>211</v>
      </c>
      <c r="N3924" s="1">
        <v>1</v>
      </c>
      <c r="O3924" s="1">
        <v>1</v>
      </c>
      <c r="Q3924" s="1">
        <v>20.2</v>
      </c>
      <c r="R3924" s="1">
        <v>9.4</v>
      </c>
      <c r="S3924" s="1">
        <v>104</v>
      </c>
    </row>
    <row r="3925" spans="1:38" x14ac:dyDescent="0.3">
      <c r="A3925" s="1">
        <v>65037</v>
      </c>
      <c r="B3925" s="1" t="s">
        <v>259</v>
      </c>
      <c r="C3925" s="1" t="s">
        <v>209</v>
      </c>
      <c r="D3925" s="2">
        <f t="shared" si="211"/>
        <v>2018</v>
      </c>
      <c r="E3925" s="2">
        <f t="shared" si="212"/>
        <v>6</v>
      </c>
      <c r="G3925" s="4">
        <v>43270</v>
      </c>
      <c r="H3925" s="1">
        <v>6600738</v>
      </c>
      <c r="I3925" s="1">
        <v>672261</v>
      </c>
      <c r="J3925" s="1" t="s">
        <v>191</v>
      </c>
      <c r="K3925" s="1" t="s">
        <v>210</v>
      </c>
      <c r="L3925" s="1" t="str">
        <f t="shared" si="210"/>
        <v>Vallentunasjön Va2</v>
      </c>
      <c r="M3925" s="1" t="s">
        <v>212</v>
      </c>
      <c r="N3925" s="1">
        <v>2</v>
      </c>
      <c r="O3925" s="1">
        <v>2</v>
      </c>
      <c r="Q3925" s="1">
        <v>20.2</v>
      </c>
      <c r="R3925" s="1">
        <v>9.3000000000000007</v>
      </c>
      <c r="S3925" s="1">
        <v>103</v>
      </c>
    </row>
    <row r="3926" spans="1:38" x14ac:dyDescent="0.3">
      <c r="A3926" s="1">
        <v>65038</v>
      </c>
      <c r="B3926" s="1" t="s">
        <v>259</v>
      </c>
      <c r="C3926" s="1" t="s">
        <v>209</v>
      </c>
      <c r="D3926" s="2">
        <f t="shared" si="211"/>
        <v>2018</v>
      </c>
      <c r="E3926" s="2">
        <f t="shared" si="212"/>
        <v>6</v>
      </c>
      <c r="G3926" s="4">
        <v>43270</v>
      </c>
      <c r="H3926" s="1">
        <v>6600738</v>
      </c>
      <c r="I3926" s="1">
        <v>672261</v>
      </c>
      <c r="J3926" s="1" t="s">
        <v>191</v>
      </c>
      <c r="K3926" s="1" t="s">
        <v>210</v>
      </c>
      <c r="L3926" s="1" t="str">
        <f t="shared" si="210"/>
        <v>Vallentunasjön Va2</v>
      </c>
      <c r="M3926" s="1" t="s">
        <v>213</v>
      </c>
      <c r="N3926" s="1">
        <v>3</v>
      </c>
      <c r="O3926" s="1">
        <v>3</v>
      </c>
      <c r="Q3926" s="1">
        <v>20.100000000000001</v>
      </c>
      <c r="R3926" s="1">
        <v>9.3000000000000007</v>
      </c>
      <c r="S3926" s="1">
        <v>103</v>
      </c>
    </row>
    <row r="3927" spans="1:38" x14ac:dyDescent="0.3">
      <c r="A3927" s="1">
        <v>65039</v>
      </c>
      <c r="B3927" s="1" t="s">
        <v>259</v>
      </c>
      <c r="C3927" s="1" t="s">
        <v>209</v>
      </c>
      <c r="D3927" s="2">
        <f t="shared" si="211"/>
        <v>2018</v>
      </c>
      <c r="E3927" s="2">
        <f t="shared" si="212"/>
        <v>6</v>
      </c>
      <c r="G3927" s="4">
        <v>43270</v>
      </c>
      <c r="H3927" s="1">
        <v>6600738</v>
      </c>
      <c r="I3927" s="1">
        <v>672261</v>
      </c>
      <c r="J3927" s="1" t="s">
        <v>191</v>
      </c>
      <c r="K3927" s="1" t="s">
        <v>210</v>
      </c>
      <c r="L3927" s="1" t="str">
        <f t="shared" si="210"/>
        <v>Vallentunasjön Va2</v>
      </c>
      <c r="M3927" s="1" t="s">
        <v>214</v>
      </c>
      <c r="N3927" s="1">
        <v>4</v>
      </c>
      <c r="O3927" s="1">
        <v>4</v>
      </c>
      <c r="Q3927" s="1">
        <v>20.100000000000001</v>
      </c>
      <c r="R3927" s="1">
        <v>9.1999999999999993</v>
      </c>
      <c r="S3927" s="1">
        <v>102</v>
      </c>
    </row>
    <row r="3928" spans="1:38" x14ac:dyDescent="0.3">
      <c r="A3928" s="1">
        <v>65040</v>
      </c>
      <c r="B3928" s="1" t="s">
        <v>259</v>
      </c>
      <c r="C3928" s="1" t="s">
        <v>209</v>
      </c>
      <c r="D3928" s="2">
        <f t="shared" si="211"/>
        <v>2018</v>
      </c>
      <c r="E3928" s="2">
        <f t="shared" si="212"/>
        <v>6</v>
      </c>
      <c r="G3928" s="4">
        <v>43270</v>
      </c>
      <c r="H3928" s="1">
        <v>6600738</v>
      </c>
      <c r="I3928" s="1">
        <v>672261</v>
      </c>
      <c r="J3928" s="1" t="s">
        <v>191</v>
      </c>
      <c r="K3928" s="1" t="s">
        <v>210</v>
      </c>
      <c r="L3928" s="1" t="str">
        <f t="shared" si="210"/>
        <v>Vallentunasjön Va2</v>
      </c>
      <c r="M3928" s="1" t="s">
        <v>184</v>
      </c>
      <c r="N3928" s="1">
        <v>4.5</v>
      </c>
      <c r="O3928" s="1">
        <v>4.5</v>
      </c>
      <c r="Q3928" s="1">
        <v>20.100000000000001</v>
      </c>
      <c r="R3928" s="1">
        <v>9.1999999999999993</v>
      </c>
      <c r="S3928" s="1">
        <v>102</v>
      </c>
    </row>
    <row r="3929" spans="1:38" x14ac:dyDescent="0.3">
      <c r="A3929" s="1">
        <v>65041</v>
      </c>
      <c r="B3929" s="1" t="s">
        <v>259</v>
      </c>
      <c r="C3929" s="1" t="s">
        <v>209</v>
      </c>
      <c r="D3929" s="2">
        <f t="shared" si="211"/>
        <v>2018</v>
      </c>
      <c r="E3929" s="2">
        <f t="shared" si="212"/>
        <v>6</v>
      </c>
      <c r="G3929" s="4">
        <v>43270</v>
      </c>
      <c r="J3929" s="1" t="s">
        <v>191</v>
      </c>
      <c r="K3929" s="1" t="s">
        <v>206</v>
      </c>
      <c r="L3929" s="1" t="str">
        <f t="shared" si="210"/>
        <v>Vallentunasjön Blandprov</v>
      </c>
      <c r="M3929" s="1" t="s">
        <v>177</v>
      </c>
      <c r="N3929" s="1">
        <v>4</v>
      </c>
      <c r="O3929" s="1">
        <v>0</v>
      </c>
      <c r="W3929" s="1">
        <v>6.1826999999999996</v>
      </c>
      <c r="X3929" s="1">
        <v>0.10695517271780272</v>
      </c>
      <c r="Y3929" s="1">
        <v>0.04</v>
      </c>
      <c r="Z3929" s="1">
        <v>4.67</v>
      </c>
      <c r="AB3929" s="1">
        <v>40.1571</v>
      </c>
      <c r="AD3929" s="1">
        <v>0</v>
      </c>
      <c r="AE3929" s="1">
        <v>8.33</v>
      </c>
      <c r="AG3929" s="1">
        <v>19.333333332999999</v>
      </c>
      <c r="AK3929" s="1">
        <v>80.180000000000007</v>
      </c>
      <c r="AL3929" s="1">
        <v>1405.95</v>
      </c>
    </row>
    <row r="3930" spans="1:38" x14ac:dyDescent="0.3">
      <c r="A3930" s="1">
        <v>65252</v>
      </c>
      <c r="B3930" s="1" t="s">
        <v>259</v>
      </c>
      <c r="C3930" s="1" t="s">
        <v>209</v>
      </c>
      <c r="D3930" s="2">
        <f t="shared" si="211"/>
        <v>2018</v>
      </c>
      <c r="E3930" s="2">
        <f t="shared" si="212"/>
        <v>7</v>
      </c>
      <c r="G3930" s="4">
        <v>43283</v>
      </c>
      <c r="H3930" s="1">
        <v>6600738</v>
      </c>
      <c r="I3930" s="1">
        <v>672261</v>
      </c>
      <c r="J3930" s="1" t="s">
        <v>191</v>
      </c>
      <c r="K3930" s="1" t="s">
        <v>210</v>
      </c>
      <c r="L3930" s="1" t="str">
        <f t="shared" si="210"/>
        <v>Vallentunasjön Va2</v>
      </c>
      <c r="M3930" s="1" t="s">
        <v>177</v>
      </c>
      <c r="N3930" s="1">
        <v>0.5</v>
      </c>
      <c r="O3930" s="1">
        <v>0.5</v>
      </c>
      <c r="P3930" s="1">
        <v>0.5</v>
      </c>
      <c r="Q3930" s="1">
        <v>18.399999999999999</v>
      </c>
      <c r="R3930" s="1">
        <v>9.9</v>
      </c>
      <c r="S3930" s="1">
        <v>106</v>
      </c>
    </row>
    <row r="3931" spans="1:38" x14ac:dyDescent="0.3">
      <c r="A3931" s="1">
        <v>65253</v>
      </c>
      <c r="B3931" s="1" t="s">
        <v>259</v>
      </c>
      <c r="C3931" s="1" t="s">
        <v>209</v>
      </c>
      <c r="D3931" s="2">
        <f t="shared" si="211"/>
        <v>2018</v>
      </c>
      <c r="E3931" s="2">
        <f t="shared" si="212"/>
        <v>7</v>
      </c>
      <c r="F3931" s="1" t="s">
        <v>179</v>
      </c>
      <c r="G3931" s="4">
        <v>43283</v>
      </c>
      <c r="H3931" s="1">
        <v>6600738</v>
      </c>
      <c r="I3931" s="1">
        <v>672261</v>
      </c>
      <c r="J3931" s="1" t="s">
        <v>191</v>
      </c>
      <c r="K3931" s="1" t="s">
        <v>210</v>
      </c>
      <c r="L3931" s="1" t="str">
        <f t="shared" si="210"/>
        <v>Vallentunasjön Va2</v>
      </c>
      <c r="M3931" s="1" t="s">
        <v>211</v>
      </c>
      <c r="N3931" s="1">
        <v>1</v>
      </c>
      <c r="O3931" s="1">
        <v>1</v>
      </c>
      <c r="Q3931" s="1">
        <v>18.399999999999999</v>
      </c>
      <c r="R3931" s="1">
        <v>10.1</v>
      </c>
      <c r="S3931" s="1">
        <v>108</v>
      </c>
    </row>
    <row r="3932" spans="1:38" x14ac:dyDescent="0.3">
      <c r="A3932" s="1">
        <v>65254</v>
      </c>
      <c r="B3932" s="1" t="s">
        <v>259</v>
      </c>
      <c r="C3932" s="1" t="s">
        <v>209</v>
      </c>
      <c r="D3932" s="2">
        <f t="shared" si="211"/>
        <v>2018</v>
      </c>
      <c r="E3932" s="2">
        <f t="shared" si="212"/>
        <v>7</v>
      </c>
      <c r="F3932" s="1" t="s">
        <v>179</v>
      </c>
      <c r="G3932" s="4">
        <v>43283</v>
      </c>
      <c r="H3932" s="1">
        <v>6600738</v>
      </c>
      <c r="I3932" s="1">
        <v>672261</v>
      </c>
      <c r="J3932" s="1" t="s">
        <v>191</v>
      </c>
      <c r="K3932" s="1" t="s">
        <v>210</v>
      </c>
      <c r="L3932" s="1" t="str">
        <f t="shared" si="210"/>
        <v>Vallentunasjön Va2</v>
      </c>
      <c r="M3932" s="1" t="s">
        <v>212</v>
      </c>
      <c r="N3932" s="1">
        <v>2</v>
      </c>
      <c r="O3932" s="1">
        <v>2</v>
      </c>
      <c r="Q3932" s="1">
        <v>18.399999999999999</v>
      </c>
      <c r="R3932" s="1">
        <v>10.199999999999999</v>
      </c>
      <c r="S3932" s="1">
        <v>109</v>
      </c>
    </row>
    <row r="3933" spans="1:38" x14ac:dyDescent="0.3">
      <c r="A3933" s="1">
        <v>65255</v>
      </c>
      <c r="B3933" s="1" t="s">
        <v>259</v>
      </c>
      <c r="C3933" s="1" t="s">
        <v>209</v>
      </c>
      <c r="D3933" s="2">
        <f t="shared" si="211"/>
        <v>2018</v>
      </c>
      <c r="E3933" s="2">
        <f t="shared" si="212"/>
        <v>7</v>
      </c>
      <c r="F3933" s="1" t="s">
        <v>179</v>
      </c>
      <c r="G3933" s="4">
        <v>43283</v>
      </c>
      <c r="H3933" s="1">
        <v>6600738</v>
      </c>
      <c r="I3933" s="1">
        <v>672261</v>
      </c>
      <c r="J3933" s="1" t="s">
        <v>191</v>
      </c>
      <c r="K3933" s="1" t="s">
        <v>210</v>
      </c>
      <c r="L3933" s="1" t="str">
        <f t="shared" si="210"/>
        <v>Vallentunasjön Va2</v>
      </c>
      <c r="M3933" s="1" t="s">
        <v>213</v>
      </c>
      <c r="N3933" s="1">
        <v>3</v>
      </c>
      <c r="O3933" s="1">
        <v>3</v>
      </c>
      <c r="Q3933" s="1">
        <v>18.399999999999999</v>
      </c>
      <c r="R3933" s="1">
        <v>10.6</v>
      </c>
      <c r="S3933" s="1">
        <v>113</v>
      </c>
    </row>
    <row r="3934" spans="1:38" x14ac:dyDescent="0.3">
      <c r="A3934" s="1">
        <v>65256</v>
      </c>
      <c r="B3934" s="1" t="s">
        <v>259</v>
      </c>
      <c r="C3934" s="1" t="s">
        <v>209</v>
      </c>
      <c r="D3934" s="2">
        <f t="shared" si="211"/>
        <v>2018</v>
      </c>
      <c r="E3934" s="2">
        <f t="shared" si="212"/>
        <v>7</v>
      </c>
      <c r="F3934" s="1" t="s">
        <v>179</v>
      </c>
      <c r="G3934" s="4">
        <v>43283</v>
      </c>
      <c r="H3934" s="1">
        <v>6600738</v>
      </c>
      <c r="I3934" s="1">
        <v>672261</v>
      </c>
      <c r="J3934" s="1" t="s">
        <v>191</v>
      </c>
      <c r="K3934" s="1" t="s">
        <v>210</v>
      </c>
      <c r="L3934" s="1" t="str">
        <f t="shared" si="210"/>
        <v>Vallentunasjön Va2</v>
      </c>
      <c r="M3934" s="1" t="s">
        <v>214</v>
      </c>
      <c r="N3934" s="1">
        <v>4</v>
      </c>
      <c r="O3934" s="1">
        <v>4</v>
      </c>
      <c r="Q3934" s="1">
        <v>18.2</v>
      </c>
      <c r="R3934" s="1">
        <v>10.4</v>
      </c>
      <c r="S3934" s="1">
        <v>110</v>
      </c>
    </row>
    <row r="3935" spans="1:38" x14ac:dyDescent="0.3">
      <c r="A3935" s="1">
        <v>65257</v>
      </c>
      <c r="B3935" s="1" t="s">
        <v>259</v>
      </c>
      <c r="C3935" s="1" t="s">
        <v>209</v>
      </c>
      <c r="D3935" s="2">
        <f t="shared" si="211"/>
        <v>2018</v>
      </c>
      <c r="E3935" s="2">
        <f t="shared" si="212"/>
        <v>7</v>
      </c>
      <c r="F3935" s="1" t="s">
        <v>179</v>
      </c>
      <c r="G3935" s="4">
        <v>43283</v>
      </c>
      <c r="H3935" s="1">
        <v>6600738</v>
      </c>
      <c r="I3935" s="1">
        <v>672261</v>
      </c>
      <c r="J3935" s="1" t="s">
        <v>191</v>
      </c>
      <c r="K3935" s="1" t="s">
        <v>210</v>
      </c>
      <c r="L3935" s="1" t="str">
        <f t="shared" si="210"/>
        <v>Vallentunasjön Va2</v>
      </c>
      <c r="M3935" s="1" t="s">
        <v>184</v>
      </c>
      <c r="N3935" s="1">
        <v>4.5</v>
      </c>
      <c r="O3935" s="1">
        <v>4.5</v>
      </c>
      <c r="Q3935" s="1">
        <v>18.2</v>
      </c>
      <c r="R3935" s="1">
        <v>10.4</v>
      </c>
      <c r="S3935" s="1">
        <v>110</v>
      </c>
    </row>
    <row r="3936" spans="1:38" x14ac:dyDescent="0.3">
      <c r="A3936" s="1">
        <v>65258</v>
      </c>
      <c r="B3936" s="1" t="s">
        <v>259</v>
      </c>
      <c r="C3936" s="1" t="s">
        <v>209</v>
      </c>
      <c r="D3936" s="2">
        <f t="shared" si="211"/>
        <v>2018</v>
      </c>
      <c r="E3936" s="2">
        <f t="shared" si="212"/>
        <v>7</v>
      </c>
      <c r="F3936" s="1" t="s">
        <v>179</v>
      </c>
      <c r="G3936" s="4">
        <v>43283</v>
      </c>
      <c r="J3936" s="1" t="s">
        <v>191</v>
      </c>
      <c r="K3936" s="1" t="s">
        <v>206</v>
      </c>
      <c r="L3936" s="1" t="str">
        <f t="shared" si="210"/>
        <v>Vallentunasjön Blandprov</v>
      </c>
      <c r="M3936" s="1" t="s">
        <v>177</v>
      </c>
      <c r="N3936" s="1">
        <v>4</v>
      </c>
      <c r="O3936" s="1">
        <v>0</v>
      </c>
      <c r="W3936" s="1">
        <v>10.0875</v>
      </c>
      <c r="X3936" s="1">
        <v>0.25030726109120255</v>
      </c>
      <c r="Y3936" s="1">
        <v>4.4999999999999998E-2</v>
      </c>
      <c r="Z3936" s="1">
        <v>0</v>
      </c>
      <c r="AB3936" s="1">
        <v>57.780900000000003</v>
      </c>
      <c r="AD3936" s="1">
        <v>5.46</v>
      </c>
      <c r="AE3936" s="1">
        <v>8.49</v>
      </c>
      <c r="AG3936" s="1">
        <v>36</v>
      </c>
      <c r="AK3936" s="1">
        <v>93.18</v>
      </c>
      <c r="AL3936" s="1">
        <v>1773.48</v>
      </c>
    </row>
    <row r="3937" spans="1:38" x14ac:dyDescent="0.3">
      <c r="A3937" s="1">
        <v>65583</v>
      </c>
      <c r="B3937" s="1" t="s">
        <v>259</v>
      </c>
      <c r="C3937" s="1" t="s">
        <v>209</v>
      </c>
      <c r="D3937" s="2">
        <f t="shared" si="211"/>
        <v>2018</v>
      </c>
      <c r="E3937" s="2">
        <f t="shared" si="212"/>
        <v>7</v>
      </c>
      <c r="F3937" s="1" t="s">
        <v>179</v>
      </c>
      <c r="G3937" s="4">
        <v>43300</v>
      </c>
      <c r="H3937" s="1">
        <v>6600738</v>
      </c>
      <c r="I3937" s="1">
        <v>672261</v>
      </c>
      <c r="J3937" s="1" t="s">
        <v>191</v>
      </c>
      <c r="K3937" s="1" t="s">
        <v>210</v>
      </c>
      <c r="L3937" s="1" t="str">
        <f t="shared" si="210"/>
        <v>Vallentunasjön Va2</v>
      </c>
      <c r="M3937" s="1" t="s">
        <v>177</v>
      </c>
      <c r="N3937" s="1">
        <v>0.5</v>
      </c>
      <c r="O3937" s="1">
        <v>0.5</v>
      </c>
      <c r="P3937" s="1">
        <v>0.4</v>
      </c>
      <c r="Q3937" s="1">
        <v>25.3</v>
      </c>
      <c r="R3937" s="1">
        <v>10.8</v>
      </c>
      <c r="S3937" s="1">
        <v>132</v>
      </c>
    </row>
    <row r="3938" spans="1:38" x14ac:dyDescent="0.3">
      <c r="A3938" s="1">
        <v>65584</v>
      </c>
      <c r="B3938" s="1" t="s">
        <v>259</v>
      </c>
      <c r="C3938" s="1" t="s">
        <v>209</v>
      </c>
      <c r="D3938" s="2">
        <f t="shared" si="211"/>
        <v>2018</v>
      </c>
      <c r="E3938" s="2">
        <f t="shared" si="212"/>
        <v>7</v>
      </c>
      <c r="F3938" s="1" t="s">
        <v>179</v>
      </c>
      <c r="G3938" s="4">
        <v>43300</v>
      </c>
      <c r="H3938" s="1">
        <v>6600738</v>
      </c>
      <c r="I3938" s="1">
        <v>672261</v>
      </c>
      <c r="J3938" s="1" t="s">
        <v>191</v>
      </c>
      <c r="K3938" s="1" t="s">
        <v>210</v>
      </c>
      <c r="L3938" s="1" t="str">
        <f t="shared" si="210"/>
        <v>Vallentunasjön Va2</v>
      </c>
      <c r="M3938" s="1" t="s">
        <v>211</v>
      </c>
      <c r="N3938" s="1">
        <v>1</v>
      </c>
      <c r="O3938" s="1">
        <v>1</v>
      </c>
      <c r="Q3938" s="1">
        <v>24.5</v>
      </c>
      <c r="R3938" s="1">
        <v>9.6</v>
      </c>
      <c r="S3938" s="1">
        <v>116</v>
      </c>
    </row>
    <row r="3939" spans="1:38" x14ac:dyDescent="0.3">
      <c r="A3939" s="1">
        <v>65585</v>
      </c>
      <c r="B3939" s="1" t="s">
        <v>259</v>
      </c>
      <c r="C3939" s="1" t="s">
        <v>209</v>
      </c>
      <c r="D3939" s="2">
        <f t="shared" si="211"/>
        <v>2018</v>
      </c>
      <c r="E3939" s="2">
        <f t="shared" si="212"/>
        <v>7</v>
      </c>
      <c r="F3939" s="1" t="s">
        <v>179</v>
      </c>
      <c r="G3939" s="4">
        <v>43300</v>
      </c>
      <c r="H3939" s="1">
        <v>6600738</v>
      </c>
      <c r="I3939" s="1">
        <v>672261</v>
      </c>
      <c r="J3939" s="1" t="s">
        <v>191</v>
      </c>
      <c r="K3939" s="1" t="s">
        <v>210</v>
      </c>
      <c r="L3939" s="1" t="str">
        <f t="shared" si="210"/>
        <v>Vallentunasjön Va2</v>
      </c>
      <c r="M3939" s="1" t="s">
        <v>212</v>
      </c>
      <c r="N3939" s="1">
        <v>2</v>
      </c>
      <c r="O3939" s="1">
        <v>2</v>
      </c>
      <c r="Q3939" s="1">
        <v>24.4</v>
      </c>
      <c r="R3939" s="1">
        <v>9.1999999999999993</v>
      </c>
      <c r="S3939" s="1">
        <v>111</v>
      </c>
    </row>
    <row r="3940" spans="1:38" x14ac:dyDescent="0.3">
      <c r="A3940" s="1">
        <v>65586</v>
      </c>
      <c r="B3940" s="1" t="s">
        <v>259</v>
      </c>
      <c r="C3940" s="1" t="s">
        <v>209</v>
      </c>
      <c r="D3940" s="2">
        <f t="shared" si="211"/>
        <v>2018</v>
      </c>
      <c r="E3940" s="2">
        <f t="shared" si="212"/>
        <v>7</v>
      </c>
      <c r="F3940" s="1" t="s">
        <v>179</v>
      </c>
      <c r="G3940" s="4">
        <v>43300</v>
      </c>
      <c r="H3940" s="1">
        <v>6600738</v>
      </c>
      <c r="I3940" s="1">
        <v>672261</v>
      </c>
      <c r="J3940" s="1" t="s">
        <v>191</v>
      </c>
      <c r="K3940" s="1" t="s">
        <v>210</v>
      </c>
      <c r="L3940" s="1" t="str">
        <f t="shared" si="210"/>
        <v>Vallentunasjön Va2</v>
      </c>
      <c r="M3940" s="1" t="s">
        <v>213</v>
      </c>
      <c r="N3940" s="1">
        <v>3</v>
      </c>
      <c r="O3940" s="1">
        <v>3</v>
      </c>
      <c r="Q3940" s="1">
        <v>22.3</v>
      </c>
      <c r="R3940" s="1">
        <v>0.5</v>
      </c>
      <c r="S3940" s="1">
        <v>6</v>
      </c>
    </row>
    <row r="3941" spans="1:38" x14ac:dyDescent="0.3">
      <c r="A3941" s="1">
        <v>65587</v>
      </c>
      <c r="B3941" s="1" t="s">
        <v>259</v>
      </c>
      <c r="C3941" s="1" t="s">
        <v>209</v>
      </c>
      <c r="D3941" s="2">
        <f t="shared" si="211"/>
        <v>2018</v>
      </c>
      <c r="E3941" s="2">
        <f t="shared" si="212"/>
        <v>7</v>
      </c>
      <c r="F3941" s="1" t="s">
        <v>179</v>
      </c>
      <c r="G3941" s="4">
        <v>43300</v>
      </c>
      <c r="H3941" s="1">
        <v>6600738</v>
      </c>
      <c r="I3941" s="1">
        <v>672261</v>
      </c>
      <c r="J3941" s="1" t="s">
        <v>191</v>
      </c>
      <c r="K3941" s="1" t="s">
        <v>210</v>
      </c>
      <c r="L3941" s="1" t="str">
        <f t="shared" si="210"/>
        <v>Vallentunasjön Va2</v>
      </c>
      <c r="M3941" s="1" t="s">
        <v>214</v>
      </c>
      <c r="N3941" s="1">
        <v>4</v>
      </c>
      <c r="O3941" s="1">
        <v>4</v>
      </c>
      <c r="Q3941" s="1">
        <v>20</v>
      </c>
      <c r="R3941" s="1">
        <v>0.1</v>
      </c>
      <c r="S3941" s="1">
        <v>1</v>
      </c>
    </row>
    <row r="3942" spans="1:38" x14ac:dyDescent="0.3">
      <c r="A3942" s="1">
        <v>65588</v>
      </c>
      <c r="B3942" s="1" t="s">
        <v>259</v>
      </c>
      <c r="C3942" s="1" t="s">
        <v>209</v>
      </c>
      <c r="D3942" s="2">
        <f t="shared" si="211"/>
        <v>2018</v>
      </c>
      <c r="E3942" s="2">
        <f t="shared" si="212"/>
        <v>7</v>
      </c>
      <c r="F3942" s="1" t="s">
        <v>179</v>
      </c>
      <c r="G3942" s="4">
        <v>43300</v>
      </c>
      <c r="H3942" s="1">
        <v>6600738</v>
      </c>
      <c r="I3942" s="1">
        <v>672261</v>
      </c>
      <c r="J3942" s="1" t="s">
        <v>191</v>
      </c>
      <c r="K3942" s="1" t="s">
        <v>210</v>
      </c>
      <c r="L3942" s="1" t="str">
        <f t="shared" si="210"/>
        <v>Vallentunasjön Va2</v>
      </c>
      <c r="M3942" s="1" t="s">
        <v>184</v>
      </c>
      <c r="N3942" s="1">
        <v>4.5</v>
      </c>
      <c r="O3942" s="1">
        <v>4.5</v>
      </c>
      <c r="Q3942" s="1">
        <v>20</v>
      </c>
      <c r="R3942" s="1">
        <v>0.1</v>
      </c>
      <c r="S3942" s="1">
        <v>1</v>
      </c>
    </row>
    <row r="3943" spans="1:38" x14ac:dyDescent="0.3">
      <c r="A3943" s="1">
        <v>65589</v>
      </c>
      <c r="B3943" s="1" t="s">
        <v>259</v>
      </c>
      <c r="C3943" s="1" t="s">
        <v>209</v>
      </c>
      <c r="D3943" s="2">
        <f t="shared" si="211"/>
        <v>2018</v>
      </c>
      <c r="E3943" s="2">
        <f t="shared" si="212"/>
        <v>7</v>
      </c>
      <c r="F3943" s="1" t="s">
        <v>179</v>
      </c>
      <c r="G3943" s="4">
        <v>43300</v>
      </c>
      <c r="J3943" s="1" t="s">
        <v>191</v>
      </c>
      <c r="K3943" s="1" t="s">
        <v>206</v>
      </c>
      <c r="L3943" s="1" t="str">
        <f t="shared" si="210"/>
        <v>Vallentunasjön Blandprov</v>
      </c>
      <c r="M3943" s="1" t="s">
        <v>177</v>
      </c>
      <c r="N3943" s="1">
        <v>4</v>
      </c>
      <c r="O3943" s="1">
        <v>0</v>
      </c>
      <c r="W3943" s="1">
        <v>4.3319999999999999</v>
      </c>
      <c r="X3943" s="1">
        <v>5.4549064160387767E-2</v>
      </c>
      <c r="Y3943" s="1">
        <v>3.6999999999999998E-2</v>
      </c>
      <c r="Z3943" s="1">
        <v>0.79</v>
      </c>
      <c r="AB3943" s="1">
        <v>47.407499999999999</v>
      </c>
      <c r="AD3943" s="1">
        <v>0.26</v>
      </c>
      <c r="AE3943" s="1">
        <v>8.19</v>
      </c>
      <c r="AG3943" s="1">
        <v>30</v>
      </c>
      <c r="AK3943" s="1">
        <v>66.23</v>
      </c>
      <c r="AL3943" s="1">
        <v>1738.13</v>
      </c>
    </row>
    <row r="3944" spans="1:38" x14ac:dyDescent="0.3">
      <c r="A3944" s="1">
        <v>65944</v>
      </c>
      <c r="B3944" s="1" t="s">
        <v>259</v>
      </c>
      <c r="C3944" s="1" t="s">
        <v>209</v>
      </c>
      <c r="D3944" s="2">
        <f t="shared" si="211"/>
        <v>2018</v>
      </c>
      <c r="E3944" s="2">
        <f t="shared" si="212"/>
        <v>7</v>
      </c>
      <c r="F3944" s="1" t="s">
        <v>179</v>
      </c>
      <c r="G3944" s="4">
        <v>43305</v>
      </c>
      <c r="H3944" s="1">
        <v>6600738</v>
      </c>
      <c r="I3944" s="1">
        <v>672261</v>
      </c>
      <c r="J3944" s="1" t="s">
        <v>191</v>
      </c>
      <c r="K3944" s="1" t="s">
        <v>210</v>
      </c>
      <c r="L3944" s="1" t="str">
        <f t="shared" si="210"/>
        <v>Vallentunasjön Va2</v>
      </c>
      <c r="M3944" s="1" t="s">
        <v>177</v>
      </c>
      <c r="N3944" s="1">
        <v>0.5</v>
      </c>
      <c r="O3944" s="1">
        <v>0.5</v>
      </c>
      <c r="P3944" s="1">
        <v>0.6</v>
      </c>
      <c r="Q3944" s="1">
        <v>25.5</v>
      </c>
      <c r="R3944" s="1">
        <v>12</v>
      </c>
      <c r="S3944" s="1">
        <v>147</v>
      </c>
    </row>
    <row r="3945" spans="1:38" x14ac:dyDescent="0.3">
      <c r="A3945" s="1">
        <v>65945</v>
      </c>
      <c r="B3945" s="1" t="s">
        <v>259</v>
      </c>
      <c r="C3945" s="1" t="s">
        <v>209</v>
      </c>
      <c r="D3945" s="2">
        <f t="shared" si="211"/>
        <v>2018</v>
      </c>
      <c r="E3945" s="2">
        <f t="shared" si="212"/>
        <v>7</v>
      </c>
      <c r="F3945" s="1" t="s">
        <v>179</v>
      </c>
      <c r="G3945" s="4">
        <v>43305</v>
      </c>
      <c r="H3945" s="1">
        <v>6600738</v>
      </c>
      <c r="I3945" s="1">
        <v>672261</v>
      </c>
      <c r="J3945" s="1" t="s">
        <v>191</v>
      </c>
      <c r="K3945" s="1" t="s">
        <v>210</v>
      </c>
      <c r="L3945" s="1" t="str">
        <f t="shared" si="210"/>
        <v>Vallentunasjön Va2</v>
      </c>
      <c r="M3945" s="1" t="s">
        <v>211</v>
      </c>
      <c r="N3945" s="1">
        <v>1</v>
      </c>
      <c r="O3945" s="1">
        <v>1</v>
      </c>
      <c r="Q3945" s="1">
        <v>25.2</v>
      </c>
      <c r="R3945" s="1">
        <v>10.8</v>
      </c>
      <c r="S3945" s="1">
        <v>132</v>
      </c>
    </row>
    <row r="3946" spans="1:38" x14ac:dyDescent="0.3">
      <c r="A3946" s="1">
        <v>65946</v>
      </c>
      <c r="B3946" s="1" t="s">
        <v>259</v>
      </c>
      <c r="C3946" s="1" t="s">
        <v>209</v>
      </c>
      <c r="D3946" s="2">
        <f t="shared" si="211"/>
        <v>2018</v>
      </c>
      <c r="E3946" s="2">
        <f t="shared" si="212"/>
        <v>7</v>
      </c>
      <c r="F3946" s="1" t="s">
        <v>179</v>
      </c>
      <c r="G3946" s="4">
        <v>43305</v>
      </c>
      <c r="H3946" s="1">
        <v>6600738</v>
      </c>
      <c r="I3946" s="1">
        <v>672261</v>
      </c>
      <c r="J3946" s="1" t="s">
        <v>191</v>
      </c>
      <c r="K3946" s="1" t="s">
        <v>210</v>
      </c>
      <c r="L3946" s="1" t="str">
        <f t="shared" si="210"/>
        <v>Vallentunasjön Va2</v>
      </c>
      <c r="M3946" s="1" t="s">
        <v>212</v>
      </c>
      <c r="N3946" s="1">
        <v>2</v>
      </c>
      <c r="O3946" s="1">
        <v>2</v>
      </c>
      <c r="Q3946" s="1">
        <v>24.2</v>
      </c>
      <c r="R3946" s="1">
        <v>7.7</v>
      </c>
      <c r="S3946" s="1">
        <v>92</v>
      </c>
    </row>
    <row r="3947" spans="1:38" x14ac:dyDescent="0.3">
      <c r="A3947" s="1">
        <v>65947</v>
      </c>
      <c r="B3947" s="1" t="s">
        <v>259</v>
      </c>
      <c r="C3947" s="1" t="s">
        <v>209</v>
      </c>
      <c r="D3947" s="2">
        <f t="shared" si="211"/>
        <v>2018</v>
      </c>
      <c r="E3947" s="2">
        <f t="shared" si="212"/>
        <v>7</v>
      </c>
      <c r="F3947" s="1" t="s">
        <v>179</v>
      </c>
      <c r="G3947" s="4">
        <v>43305</v>
      </c>
      <c r="H3947" s="1">
        <v>6600738</v>
      </c>
      <c r="I3947" s="1">
        <v>672261</v>
      </c>
      <c r="J3947" s="1" t="s">
        <v>191</v>
      </c>
      <c r="K3947" s="1" t="s">
        <v>210</v>
      </c>
      <c r="L3947" s="1" t="str">
        <f t="shared" si="210"/>
        <v>Vallentunasjön Va2</v>
      </c>
      <c r="M3947" s="1" t="s">
        <v>213</v>
      </c>
      <c r="N3947" s="1">
        <v>3</v>
      </c>
      <c r="O3947" s="1">
        <v>3</v>
      </c>
      <c r="Q3947" s="1">
        <v>23.9</v>
      </c>
      <c r="R3947" s="1">
        <v>6.7</v>
      </c>
      <c r="S3947" s="1">
        <v>80</v>
      </c>
    </row>
    <row r="3948" spans="1:38" x14ac:dyDescent="0.3">
      <c r="A3948" s="1">
        <v>65948</v>
      </c>
      <c r="B3948" s="1" t="s">
        <v>259</v>
      </c>
      <c r="C3948" s="1" t="s">
        <v>209</v>
      </c>
      <c r="D3948" s="2">
        <f t="shared" si="211"/>
        <v>2018</v>
      </c>
      <c r="E3948" s="2">
        <f t="shared" si="212"/>
        <v>7</v>
      </c>
      <c r="F3948" s="1" t="s">
        <v>179</v>
      </c>
      <c r="G3948" s="4">
        <v>43305</v>
      </c>
      <c r="H3948" s="1">
        <v>6600738</v>
      </c>
      <c r="I3948" s="1">
        <v>672261</v>
      </c>
      <c r="J3948" s="1" t="s">
        <v>191</v>
      </c>
      <c r="K3948" s="1" t="s">
        <v>210</v>
      </c>
      <c r="L3948" s="1" t="str">
        <f t="shared" si="210"/>
        <v>Vallentunasjön Va2</v>
      </c>
      <c r="M3948" s="1" t="s">
        <v>184</v>
      </c>
      <c r="N3948" s="1">
        <v>4</v>
      </c>
      <c r="O3948" s="1">
        <v>4</v>
      </c>
      <c r="Q3948" s="1">
        <v>22</v>
      </c>
      <c r="R3948" s="1">
        <v>0.1</v>
      </c>
      <c r="S3948" s="1">
        <v>1</v>
      </c>
    </row>
    <row r="3949" spans="1:38" x14ac:dyDescent="0.3">
      <c r="A3949" s="1">
        <v>65949</v>
      </c>
      <c r="B3949" s="1" t="s">
        <v>259</v>
      </c>
      <c r="C3949" s="1" t="s">
        <v>209</v>
      </c>
      <c r="D3949" s="2">
        <f t="shared" si="211"/>
        <v>2018</v>
      </c>
      <c r="E3949" s="2">
        <f t="shared" si="212"/>
        <v>7</v>
      </c>
      <c r="F3949" s="1" t="s">
        <v>179</v>
      </c>
      <c r="G3949" s="4">
        <v>43305</v>
      </c>
      <c r="J3949" s="1" t="s">
        <v>191</v>
      </c>
      <c r="K3949" s="1" t="s">
        <v>206</v>
      </c>
      <c r="L3949" s="1" t="str">
        <f t="shared" si="210"/>
        <v>Vallentunasjön Blandprov</v>
      </c>
      <c r="M3949" s="1" t="s">
        <v>177</v>
      </c>
      <c r="N3949" s="1">
        <v>4</v>
      </c>
      <c r="O3949" s="1">
        <v>0</v>
      </c>
      <c r="W3949" s="1">
        <v>7.6589999999999998</v>
      </c>
      <c r="X3949" s="1">
        <v>0.12102002737041456</v>
      </c>
      <c r="Y3949" s="1">
        <v>4.3999999999999997E-2</v>
      </c>
      <c r="Z3949" s="1">
        <v>0</v>
      </c>
      <c r="AB3949" s="1">
        <v>51.549352941000002</v>
      </c>
      <c r="AD3949" s="1">
        <v>0</v>
      </c>
      <c r="AE3949" s="1">
        <v>8.2899999999999991</v>
      </c>
      <c r="AG3949" s="1">
        <v>21</v>
      </c>
      <c r="AK3949" s="1">
        <v>61.38</v>
      </c>
      <c r="AL3949" s="1">
        <v>1813.9</v>
      </c>
    </row>
    <row r="3950" spans="1:38" x14ac:dyDescent="0.3">
      <c r="A3950" s="1">
        <v>66332</v>
      </c>
      <c r="B3950" s="1" t="s">
        <v>259</v>
      </c>
      <c r="C3950" s="1" t="s">
        <v>209</v>
      </c>
      <c r="D3950" s="2">
        <f t="shared" si="211"/>
        <v>2018</v>
      </c>
      <c r="E3950" s="2">
        <f t="shared" si="212"/>
        <v>8</v>
      </c>
      <c r="F3950" s="1" t="s">
        <v>179</v>
      </c>
      <c r="G3950" s="4">
        <v>43318</v>
      </c>
      <c r="H3950" s="1">
        <v>6600738</v>
      </c>
      <c r="I3950" s="1">
        <v>672261</v>
      </c>
      <c r="J3950" s="1" t="s">
        <v>191</v>
      </c>
      <c r="K3950" s="1" t="s">
        <v>210</v>
      </c>
      <c r="L3950" s="1" t="str">
        <f t="shared" si="210"/>
        <v>Vallentunasjön Va2</v>
      </c>
      <c r="M3950" s="1" t="s">
        <v>177</v>
      </c>
      <c r="N3950" s="1">
        <v>0.5</v>
      </c>
      <c r="O3950" s="1">
        <v>0.5</v>
      </c>
      <c r="P3950" s="1">
        <v>0.8</v>
      </c>
      <c r="Q3950" s="1">
        <v>24.6</v>
      </c>
      <c r="R3950" s="1">
        <v>7.9</v>
      </c>
      <c r="S3950" s="1">
        <v>96</v>
      </c>
    </row>
    <row r="3951" spans="1:38" x14ac:dyDescent="0.3">
      <c r="A3951" s="1">
        <v>66333</v>
      </c>
      <c r="B3951" s="1" t="s">
        <v>259</v>
      </c>
      <c r="C3951" s="1" t="s">
        <v>209</v>
      </c>
      <c r="D3951" s="2">
        <f t="shared" si="211"/>
        <v>2018</v>
      </c>
      <c r="E3951" s="2">
        <f t="shared" si="212"/>
        <v>8</v>
      </c>
      <c r="F3951" s="1" t="s">
        <v>179</v>
      </c>
      <c r="G3951" s="4">
        <v>43318</v>
      </c>
      <c r="H3951" s="1">
        <v>6600738</v>
      </c>
      <c r="I3951" s="1">
        <v>672261</v>
      </c>
      <c r="J3951" s="1" t="s">
        <v>191</v>
      </c>
      <c r="K3951" s="1" t="s">
        <v>210</v>
      </c>
      <c r="L3951" s="1" t="str">
        <f t="shared" si="210"/>
        <v>Vallentunasjön Va2</v>
      </c>
      <c r="M3951" s="1" t="s">
        <v>211</v>
      </c>
      <c r="N3951" s="1">
        <v>1</v>
      </c>
      <c r="O3951" s="1">
        <v>1</v>
      </c>
      <c r="Q3951" s="1">
        <v>24.6</v>
      </c>
      <c r="R3951" s="1">
        <v>7.9</v>
      </c>
      <c r="S3951" s="1">
        <v>96</v>
      </c>
    </row>
    <row r="3952" spans="1:38" x14ac:dyDescent="0.3">
      <c r="A3952" s="1">
        <v>66334</v>
      </c>
      <c r="B3952" s="1" t="s">
        <v>259</v>
      </c>
      <c r="C3952" s="1" t="s">
        <v>209</v>
      </c>
      <c r="D3952" s="2">
        <f t="shared" si="211"/>
        <v>2018</v>
      </c>
      <c r="E3952" s="2">
        <f t="shared" si="212"/>
        <v>8</v>
      </c>
      <c r="F3952" s="1" t="s">
        <v>179</v>
      </c>
      <c r="G3952" s="4">
        <v>43318</v>
      </c>
      <c r="H3952" s="1">
        <v>6600738</v>
      </c>
      <c r="I3952" s="1">
        <v>672261</v>
      </c>
      <c r="J3952" s="1" t="s">
        <v>191</v>
      </c>
      <c r="K3952" s="1" t="s">
        <v>210</v>
      </c>
      <c r="L3952" s="1" t="str">
        <f t="shared" si="210"/>
        <v>Vallentunasjön Va2</v>
      </c>
      <c r="M3952" s="1" t="s">
        <v>212</v>
      </c>
      <c r="N3952" s="1">
        <v>2</v>
      </c>
      <c r="O3952" s="1">
        <v>2</v>
      </c>
      <c r="Q3952" s="1">
        <v>24.5</v>
      </c>
      <c r="R3952" s="1">
        <v>7.7</v>
      </c>
      <c r="S3952" s="1">
        <v>93</v>
      </c>
    </row>
    <row r="3953" spans="1:38" x14ac:dyDescent="0.3">
      <c r="A3953" s="1">
        <v>66335</v>
      </c>
      <c r="B3953" s="1" t="s">
        <v>259</v>
      </c>
      <c r="C3953" s="1" t="s">
        <v>209</v>
      </c>
      <c r="D3953" s="2">
        <f t="shared" si="211"/>
        <v>2018</v>
      </c>
      <c r="E3953" s="2">
        <f t="shared" si="212"/>
        <v>8</v>
      </c>
      <c r="F3953" s="1" t="s">
        <v>179</v>
      </c>
      <c r="G3953" s="4">
        <v>43318</v>
      </c>
      <c r="H3953" s="1">
        <v>6600738</v>
      </c>
      <c r="I3953" s="1">
        <v>672261</v>
      </c>
      <c r="J3953" s="1" t="s">
        <v>191</v>
      </c>
      <c r="K3953" s="1" t="s">
        <v>210</v>
      </c>
      <c r="L3953" s="1" t="str">
        <f t="shared" si="210"/>
        <v>Vallentunasjön Va2</v>
      </c>
      <c r="M3953" s="1" t="s">
        <v>213</v>
      </c>
      <c r="N3953" s="1">
        <v>3</v>
      </c>
      <c r="O3953" s="1">
        <v>3</v>
      </c>
      <c r="Q3953" s="1">
        <v>24.5</v>
      </c>
      <c r="R3953" s="1">
        <v>7.7</v>
      </c>
      <c r="S3953" s="1">
        <v>93</v>
      </c>
    </row>
    <row r="3954" spans="1:38" x14ac:dyDescent="0.3">
      <c r="A3954" s="1">
        <v>66336</v>
      </c>
      <c r="B3954" s="1" t="s">
        <v>259</v>
      </c>
      <c r="C3954" s="1" t="s">
        <v>209</v>
      </c>
      <c r="D3954" s="2">
        <f t="shared" si="211"/>
        <v>2018</v>
      </c>
      <c r="E3954" s="2">
        <f t="shared" si="212"/>
        <v>8</v>
      </c>
      <c r="F3954" s="1" t="s">
        <v>179</v>
      </c>
      <c r="G3954" s="4">
        <v>43318</v>
      </c>
      <c r="H3954" s="1">
        <v>6600738</v>
      </c>
      <c r="I3954" s="1">
        <v>672261</v>
      </c>
      <c r="J3954" s="1" t="s">
        <v>191</v>
      </c>
      <c r="K3954" s="1" t="s">
        <v>210</v>
      </c>
      <c r="L3954" s="1" t="str">
        <f t="shared" si="210"/>
        <v>Vallentunasjön Va2</v>
      </c>
      <c r="M3954" s="1" t="s">
        <v>214</v>
      </c>
      <c r="N3954" s="1">
        <v>4</v>
      </c>
      <c r="O3954" s="1">
        <v>4</v>
      </c>
      <c r="Q3954" s="1">
        <v>24.4</v>
      </c>
      <c r="R3954" s="1">
        <v>7.3</v>
      </c>
      <c r="S3954" s="1">
        <v>88</v>
      </c>
    </row>
    <row r="3955" spans="1:38" x14ac:dyDescent="0.3">
      <c r="A3955" s="1">
        <v>66337</v>
      </c>
      <c r="B3955" s="1" t="s">
        <v>259</v>
      </c>
      <c r="C3955" s="1" t="s">
        <v>209</v>
      </c>
      <c r="D3955" s="2">
        <f t="shared" si="211"/>
        <v>2018</v>
      </c>
      <c r="E3955" s="2">
        <f t="shared" si="212"/>
        <v>8</v>
      </c>
      <c r="F3955" s="1" t="s">
        <v>179</v>
      </c>
      <c r="G3955" s="4">
        <v>43318</v>
      </c>
      <c r="H3955" s="1">
        <v>6600738</v>
      </c>
      <c r="I3955" s="1">
        <v>672261</v>
      </c>
      <c r="J3955" s="1" t="s">
        <v>191</v>
      </c>
      <c r="K3955" s="1" t="s">
        <v>210</v>
      </c>
      <c r="L3955" s="1" t="str">
        <f t="shared" si="210"/>
        <v>Vallentunasjön Va2</v>
      </c>
      <c r="M3955" s="1" t="s">
        <v>184</v>
      </c>
      <c r="N3955" s="1">
        <v>4.5</v>
      </c>
      <c r="O3955" s="1">
        <v>4.5</v>
      </c>
      <c r="Q3955" s="1">
        <v>24.4</v>
      </c>
      <c r="R3955" s="1">
        <v>7.3</v>
      </c>
      <c r="S3955" s="1">
        <v>88</v>
      </c>
    </row>
    <row r="3956" spans="1:38" x14ac:dyDescent="0.3">
      <c r="A3956" s="1">
        <v>66338</v>
      </c>
      <c r="B3956" s="1" t="s">
        <v>259</v>
      </c>
      <c r="C3956" s="1" t="s">
        <v>209</v>
      </c>
      <c r="D3956" s="2">
        <f t="shared" si="211"/>
        <v>2018</v>
      </c>
      <c r="E3956" s="2">
        <f t="shared" si="212"/>
        <v>8</v>
      </c>
      <c r="F3956" s="1" t="s">
        <v>179</v>
      </c>
      <c r="G3956" s="4">
        <v>43318</v>
      </c>
      <c r="J3956" s="1" t="s">
        <v>191</v>
      </c>
      <c r="K3956" s="1" t="s">
        <v>206</v>
      </c>
      <c r="L3956" s="1" t="str">
        <f t="shared" si="210"/>
        <v>Vallentunasjön Blandprov</v>
      </c>
      <c r="M3956" s="1" t="s">
        <v>177</v>
      </c>
      <c r="N3956" s="1">
        <v>4</v>
      </c>
      <c r="O3956" s="1">
        <v>0</v>
      </c>
      <c r="W3956" s="1">
        <v>5.0312000000000001</v>
      </c>
      <c r="X3956" s="1">
        <v>7.4270274576885953E-2</v>
      </c>
      <c r="Y3956" s="1">
        <v>4.8000000000000001E-2</v>
      </c>
      <c r="Z3956" s="1">
        <v>0.97</v>
      </c>
      <c r="AB3956" s="1">
        <v>54.015300000000003</v>
      </c>
      <c r="AD3956" s="1">
        <v>0</v>
      </c>
      <c r="AE3956" s="1">
        <v>8.26</v>
      </c>
      <c r="AG3956" s="1">
        <v>21.5</v>
      </c>
      <c r="AK3956" s="1">
        <v>53.81</v>
      </c>
      <c r="AL3956" s="1">
        <v>1498.91</v>
      </c>
    </row>
    <row r="3957" spans="1:38" x14ac:dyDescent="0.3">
      <c r="A3957" s="1">
        <v>66849</v>
      </c>
      <c r="B3957" s="1" t="s">
        <v>259</v>
      </c>
      <c r="C3957" s="1" t="s">
        <v>209</v>
      </c>
      <c r="D3957" s="2">
        <f t="shared" si="211"/>
        <v>2018</v>
      </c>
      <c r="E3957" s="2">
        <f t="shared" si="212"/>
        <v>8</v>
      </c>
      <c r="F3957" s="1" t="s">
        <v>179</v>
      </c>
      <c r="G3957" s="4">
        <v>43327</v>
      </c>
      <c r="H3957" s="1">
        <v>6600738</v>
      </c>
      <c r="I3957" s="1">
        <v>672261</v>
      </c>
      <c r="J3957" s="1" t="s">
        <v>191</v>
      </c>
      <c r="K3957" s="1" t="s">
        <v>210</v>
      </c>
      <c r="L3957" s="1" t="str">
        <f t="shared" si="210"/>
        <v>Vallentunasjön Va2</v>
      </c>
      <c r="M3957" s="1" t="s">
        <v>177</v>
      </c>
      <c r="N3957" s="1">
        <v>0.5</v>
      </c>
      <c r="O3957" s="1">
        <v>0.5</v>
      </c>
      <c r="P3957" s="1">
        <v>0.8</v>
      </c>
      <c r="Q3957" s="1">
        <v>21.1</v>
      </c>
      <c r="R3957" s="1">
        <v>10.7</v>
      </c>
      <c r="S3957" s="1">
        <v>120</v>
      </c>
    </row>
    <row r="3958" spans="1:38" x14ac:dyDescent="0.3">
      <c r="A3958" s="1">
        <v>66850</v>
      </c>
      <c r="B3958" s="1" t="s">
        <v>259</v>
      </c>
      <c r="C3958" s="1" t="s">
        <v>209</v>
      </c>
      <c r="D3958" s="2">
        <f t="shared" si="211"/>
        <v>2018</v>
      </c>
      <c r="E3958" s="2">
        <f t="shared" si="212"/>
        <v>8</v>
      </c>
      <c r="F3958" s="1" t="s">
        <v>179</v>
      </c>
      <c r="G3958" s="4">
        <v>43327</v>
      </c>
      <c r="H3958" s="1">
        <v>6600738</v>
      </c>
      <c r="I3958" s="1">
        <v>672261</v>
      </c>
      <c r="J3958" s="1" t="s">
        <v>191</v>
      </c>
      <c r="K3958" s="1" t="s">
        <v>210</v>
      </c>
      <c r="L3958" s="1" t="str">
        <f t="shared" si="210"/>
        <v>Vallentunasjön Va2</v>
      </c>
      <c r="M3958" s="1" t="s">
        <v>211</v>
      </c>
      <c r="N3958" s="1">
        <v>1</v>
      </c>
      <c r="O3958" s="1">
        <v>1</v>
      </c>
      <c r="Q3958" s="1">
        <v>20.5</v>
      </c>
      <c r="R3958" s="1">
        <v>8.5</v>
      </c>
      <c r="S3958" s="1">
        <v>95</v>
      </c>
    </row>
    <row r="3959" spans="1:38" x14ac:dyDescent="0.3">
      <c r="A3959" s="1">
        <v>66851</v>
      </c>
      <c r="B3959" s="1" t="s">
        <v>259</v>
      </c>
      <c r="C3959" s="1" t="s">
        <v>209</v>
      </c>
      <c r="D3959" s="2">
        <f t="shared" si="211"/>
        <v>2018</v>
      </c>
      <c r="E3959" s="2">
        <f t="shared" si="212"/>
        <v>8</v>
      </c>
      <c r="F3959" s="1" t="s">
        <v>179</v>
      </c>
      <c r="G3959" s="4">
        <v>43327</v>
      </c>
      <c r="H3959" s="1">
        <v>6600738</v>
      </c>
      <c r="I3959" s="1">
        <v>672261</v>
      </c>
      <c r="J3959" s="1" t="s">
        <v>191</v>
      </c>
      <c r="K3959" s="1" t="s">
        <v>210</v>
      </c>
      <c r="L3959" s="1" t="str">
        <f t="shared" si="210"/>
        <v>Vallentunasjön Va2</v>
      </c>
      <c r="M3959" s="1" t="s">
        <v>212</v>
      </c>
      <c r="N3959" s="1">
        <v>2</v>
      </c>
      <c r="O3959" s="1">
        <v>2</v>
      </c>
      <c r="Q3959" s="1">
        <v>20.399999999999999</v>
      </c>
      <c r="R3959" s="1">
        <v>7.5</v>
      </c>
      <c r="S3959" s="1">
        <v>83</v>
      </c>
    </row>
    <row r="3960" spans="1:38" x14ac:dyDescent="0.3">
      <c r="A3960" s="1">
        <v>66852</v>
      </c>
      <c r="B3960" s="1" t="s">
        <v>259</v>
      </c>
      <c r="C3960" s="1" t="s">
        <v>209</v>
      </c>
      <c r="D3960" s="2">
        <f t="shared" si="211"/>
        <v>2018</v>
      </c>
      <c r="E3960" s="2">
        <f t="shared" si="212"/>
        <v>8</v>
      </c>
      <c r="F3960" s="1" t="s">
        <v>179</v>
      </c>
      <c r="G3960" s="4">
        <v>43327</v>
      </c>
      <c r="H3960" s="1">
        <v>6600738</v>
      </c>
      <c r="I3960" s="1">
        <v>672261</v>
      </c>
      <c r="J3960" s="1" t="s">
        <v>191</v>
      </c>
      <c r="K3960" s="1" t="s">
        <v>210</v>
      </c>
      <c r="L3960" s="1" t="str">
        <f t="shared" si="210"/>
        <v>Vallentunasjön Va2</v>
      </c>
      <c r="M3960" s="1" t="s">
        <v>213</v>
      </c>
      <c r="N3960" s="1">
        <v>3</v>
      </c>
      <c r="O3960" s="1">
        <v>3</v>
      </c>
      <c r="Q3960" s="1">
        <v>20.399999999999999</v>
      </c>
      <c r="R3960" s="1">
        <v>6.6</v>
      </c>
      <c r="S3960" s="1">
        <v>74</v>
      </c>
    </row>
    <row r="3961" spans="1:38" x14ac:dyDescent="0.3">
      <c r="A3961" s="1">
        <v>66853</v>
      </c>
      <c r="B3961" s="1" t="s">
        <v>259</v>
      </c>
      <c r="C3961" s="1" t="s">
        <v>209</v>
      </c>
      <c r="D3961" s="2">
        <f t="shared" si="211"/>
        <v>2018</v>
      </c>
      <c r="E3961" s="2">
        <f t="shared" si="212"/>
        <v>8</v>
      </c>
      <c r="F3961" s="1" t="s">
        <v>179</v>
      </c>
      <c r="G3961" s="4">
        <v>43327</v>
      </c>
      <c r="H3961" s="1">
        <v>6600738</v>
      </c>
      <c r="I3961" s="1">
        <v>672261</v>
      </c>
      <c r="J3961" s="1" t="s">
        <v>191</v>
      </c>
      <c r="K3961" s="1" t="s">
        <v>210</v>
      </c>
      <c r="L3961" s="1" t="str">
        <f t="shared" si="210"/>
        <v>Vallentunasjön Va2</v>
      </c>
      <c r="M3961" s="1" t="s">
        <v>214</v>
      </c>
      <c r="N3961" s="1">
        <v>4</v>
      </c>
      <c r="O3961" s="1">
        <v>4</v>
      </c>
      <c r="Q3961" s="1">
        <v>20.3</v>
      </c>
      <c r="R3961" s="1">
        <v>6</v>
      </c>
      <c r="S3961" s="1">
        <v>67</v>
      </c>
    </row>
    <row r="3962" spans="1:38" x14ac:dyDescent="0.3">
      <c r="A3962" s="1">
        <v>66854</v>
      </c>
      <c r="B3962" s="1" t="s">
        <v>259</v>
      </c>
      <c r="C3962" s="1" t="s">
        <v>209</v>
      </c>
      <c r="D3962" s="2">
        <f t="shared" si="211"/>
        <v>2018</v>
      </c>
      <c r="E3962" s="2">
        <f t="shared" si="212"/>
        <v>8</v>
      </c>
      <c r="F3962" s="1" t="s">
        <v>179</v>
      </c>
      <c r="G3962" s="4">
        <v>43327</v>
      </c>
      <c r="H3962" s="1">
        <v>6600738</v>
      </c>
      <c r="I3962" s="1">
        <v>672261</v>
      </c>
      <c r="J3962" s="1" t="s">
        <v>191</v>
      </c>
      <c r="K3962" s="1" t="s">
        <v>210</v>
      </c>
      <c r="L3962" s="1" t="str">
        <f t="shared" si="210"/>
        <v>Vallentunasjön Va2</v>
      </c>
      <c r="M3962" s="1" t="s">
        <v>184</v>
      </c>
      <c r="N3962" s="1">
        <v>4.5</v>
      </c>
      <c r="O3962" s="1">
        <v>4.5</v>
      </c>
      <c r="Q3962" s="1">
        <v>20.3</v>
      </c>
      <c r="R3962" s="1">
        <v>6</v>
      </c>
      <c r="S3962" s="1">
        <v>67</v>
      </c>
    </row>
    <row r="3963" spans="1:38" x14ac:dyDescent="0.3">
      <c r="A3963" s="1">
        <v>66855</v>
      </c>
      <c r="B3963" s="1" t="s">
        <v>259</v>
      </c>
      <c r="C3963" s="1" t="s">
        <v>209</v>
      </c>
      <c r="D3963" s="2">
        <f t="shared" si="211"/>
        <v>2018</v>
      </c>
      <c r="E3963" s="2">
        <f t="shared" si="212"/>
        <v>8</v>
      </c>
      <c r="F3963" s="1" t="s">
        <v>179</v>
      </c>
      <c r="G3963" s="4">
        <v>43327</v>
      </c>
      <c r="J3963" s="1" t="s">
        <v>191</v>
      </c>
      <c r="K3963" s="1" t="s">
        <v>206</v>
      </c>
      <c r="L3963" s="1" t="str">
        <f t="shared" si="210"/>
        <v>Vallentunasjön Blandprov</v>
      </c>
      <c r="M3963" s="1" t="s">
        <v>177</v>
      </c>
      <c r="N3963" s="1">
        <v>4</v>
      </c>
      <c r="O3963" s="1">
        <v>0</v>
      </c>
      <c r="W3963" s="1">
        <v>7.7583000000000002</v>
      </c>
      <c r="X3963" s="1">
        <v>0.14363265976903408</v>
      </c>
      <c r="Y3963" s="1">
        <v>5.3999999999999999E-2</v>
      </c>
      <c r="Z3963" s="1">
        <v>0</v>
      </c>
      <c r="AB3963" s="1">
        <v>16.418700000000001</v>
      </c>
      <c r="AD3963" s="1">
        <v>0</v>
      </c>
      <c r="AE3963" s="1">
        <v>8.36</v>
      </c>
      <c r="AG3963" s="1">
        <v>27.5</v>
      </c>
      <c r="AK3963" s="1">
        <v>57.77</v>
      </c>
      <c r="AL3963" s="1">
        <v>1718.65</v>
      </c>
    </row>
    <row r="3964" spans="1:38" x14ac:dyDescent="0.3">
      <c r="A3964" s="1">
        <v>67451</v>
      </c>
      <c r="B3964" s="1" t="s">
        <v>259</v>
      </c>
      <c r="C3964" s="1" t="s">
        <v>209</v>
      </c>
      <c r="D3964" s="2">
        <f t="shared" si="211"/>
        <v>2018</v>
      </c>
      <c r="E3964" s="2">
        <f t="shared" si="212"/>
        <v>9</v>
      </c>
      <c r="G3964" s="4">
        <v>43348</v>
      </c>
      <c r="H3964" s="1">
        <v>6600738</v>
      </c>
      <c r="I3964" s="1">
        <v>672261</v>
      </c>
      <c r="J3964" s="1" t="s">
        <v>191</v>
      </c>
      <c r="K3964" s="1" t="s">
        <v>210</v>
      </c>
      <c r="L3964" s="1" t="str">
        <f t="shared" si="210"/>
        <v>Vallentunasjön Va2</v>
      </c>
      <c r="M3964" s="1" t="s">
        <v>177</v>
      </c>
      <c r="N3964" s="1">
        <v>0.5</v>
      </c>
      <c r="O3964" s="1">
        <v>0.5</v>
      </c>
      <c r="P3964" s="1">
        <v>0.5</v>
      </c>
      <c r="Q3964" s="1">
        <v>18.7</v>
      </c>
      <c r="R3964" s="1">
        <v>10.5</v>
      </c>
      <c r="S3964" s="1">
        <v>112</v>
      </c>
    </row>
    <row r="3965" spans="1:38" x14ac:dyDescent="0.3">
      <c r="A3965" s="1">
        <v>67452</v>
      </c>
      <c r="B3965" s="1" t="s">
        <v>259</v>
      </c>
      <c r="C3965" s="1" t="s">
        <v>209</v>
      </c>
      <c r="D3965" s="2">
        <f t="shared" si="211"/>
        <v>2018</v>
      </c>
      <c r="E3965" s="2">
        <f t="shared" si="212"/>
        <v>9</v>
      </c>
      <c r="G3965" s="4">
        <v>43348</v>
      </c>
      <c r="H3965" s="1">
        <v>6600738</v>
      </c>
      <c r="I3965" s="1">
        <v>672261</v>
      </c>
      <c r="J3965" s="1" t="s">
        <v>191</v>
      </c>
      <c r="K3965" s="1" t="s">
        <v>210</v>
      </c>
      <c r="L3965" s="1" t="str">
        <f t="shared" si="210"/>
        <v>Vallentunasjön Va2</v>
      </c>
      <c r="M3965" s="1" t="s">
        <v>211</v>
      </c>
      <c r="N3965" s="1">
        <v>1</v>
      </c>
      <c r="O3965" s="1">
        <v>1</v>
      </c>
      <c r="Q3965" s="1">
        <v>18.5</v>
      </c>
      <c r="R3965" s="1">
        <v>10.4</v>
      </c>
      <c r="S3965" s="1">
        <v>110</v>
      </c>
    </row>
    <row r="3966" spans="1:38" x14ac:dyDescent="0.3">
      <c r="A3966" s="1">
        <v>67453</v>
      </c>
      <c r="B3966" s="1" t="s">
        <v>259</v>
      </c>
      <c r="C3966" s="1" t="s">
        <v>209</v>
      </c>
      <c r="D3966" s="2">
        <f t="shared" si="211"/>
        <v>2018</v>
      </c>
      <c r="E3966" s="2">
        <f t="shared" si="212"/>
        <v>9</v>
      </c>
      <c r="G3966" s="4">
        <v>43348</v>
      </c>
      <c r="H3966" s="1">
        <v>6600738</v>
      </c>
      <c r="I3966" s="1">
        <v>672261</v>
      </c>
      <c r="J3966" s="1" t="s">
        <v>191</v>
      </c>
      <c r="K3966" s="1" t="s">
        <v>210</v>
      </c>
      <c r="L3966" s="1" t="str">
        <f t="shared" ref="L3966:L4029" si="213">CONCATENATE(J3966," ",K3966)</f>
        <v>Vallentunasjön Va2</v>
      </c>
      <c r="M3966" s="1" t="s">
        <v>212</v>
      </c>
      <c r="N3966" s="1">
        <v>2</v>
      </c>
      <c r="O3966" s="1">
        <v>2</v>
      </c>
      <c r="Q3966" s="1">
        <v>18.3</v>
      </c>
      <c r="R3966" s="1">
        <v>10.199999999999999</v>
      </c>
      <c r="S3966" s="1">
        <v>107</v>
      </c>
    </row>
    <row r="3967" spans="1:38" x14ac:dyDescent="0.3">
      <c r="A3967" s="1">
        <v>67454</v>
      </c>
      <c r="B3967" s="1" t="s">
        <v>259</v>
      </c>
      <c r="C3967" s="1" t="s">
        <v>209</v>
      </c>
      <c r="D3967" s="2">
        <f t="shared" si="211"/>
        <v>2018</v>
      </c>
      <c r="E3967" s="2">
        <f t="shared" si="212"/>
        <v>9</v>
      </c>
      <c r="G3967" s="4">
        <v>43348</v>
      </c>
      <c r="H3967" s="1">
        <v>6600738</v>
      </c>
      <c r="I3967" s="1">
        <v>672261</v>
      </c>
      <c r="J3967" s="1" t="s">
        <v>191</v>
      </c>
      <c r="K3967" s="1" t="s">
        <v>210</v>
      </c>
      <c r="L3967" s="1" t="str">
        <f t="shared" si="213"/>
        <v>Vallentunasjön Va2</v>
      </c>
      <c r="M3967" s="1" t="s">
        <v>213</v>
      </c>
      <c r="N3967" s="1">
        <v>3</v>
      </c>
      <c r="O3967" s="1">
        <v>3</v>
      </c>
      <c r="Q3967" s="1">
        <v>17.8</v>
      </c>
      <c r="R3967" s="1">
        <v>5.7</v>
      </c>
      <c r="S3967" s="1">
        <v>60</v>
      </c>
    </row>
    <row r="3968" spans="1:38" x14ac:dyDescent="0.3">
      <c r="A3968" s="1">
        <v>67455</v>
      </c>
      <c r="B3968" s="1" t="s">
        <v>259</v>
      </c>
      <c r="C3968" s="1" t="s">
        <v>209</v>
      </c>
      <c r="D3968" s="2">
        <f t="shared" si="211"/>
        <v>2018</v>
      </c>
      <c r="E3968" s="2">
        <f t="shared" si="212"/>
        <v>9</v>
      </c>
      <c r="G3968" s="4">
        <v>43348</v>
      </c>
      <c r="H3968" s="1">
        <v>6600738</v>
      </c>
      <c r="I3968" s="1">
        <v>672261</v>
      </c>
      <c r="J3968" s="1" t="s">
        <v>191</v>
      </c>
      <c r="K3968" s="1" t="s">
        <v>210</v>
      </c>
      <c r="L3968" s="1" t="str">
        <f t="shared" si="213"/>
        <v>Vallentunasjön Va2</v>
      </c>
      <c r="M3968" s="1" t="s">
        <v>214</v>
      </c>
      <c r="N3968" s="1">
        <v>4</v>
      </c>
      <c r="O3968" s="1">
        <v>4</v>
      </c>
      <c r="Q3968" s="1">
        <v>17.8</v>
      </c>
      <c r="R3968" s="1">
        <v>5.4</v>
      </c>
      <c r="S3968" s="1">
        <v>56</v>
      </c>
    </row>
    <row r="3969" spans="1:38" x14ac:dyDescent="0.3">
      <c r="A3969" s="1">
        <v>67456</v>
      </c>
      <c r="B3969" s="1" t="s">
        <v>259</v>
      </c>
      <c r="C3969" s="1" t="s">
        <v>209</v>
      </c>
      <c r="D3969" s="2">
        <f t="shared" si="211"/>
        <v>2018</v>
      </c>
      <c r="E3969" s="2">
        <f t="shared" si="212"/>
        <v>9</v>
      </c>
      <c r="G3969" s="4">
        <v>43348</v>
      </c>
      <c r="H3969" s="1">
        <v>6600738</v>
      </c>
      <c r="I3969" s="1">
        <v>672261</v>
      </c>
      <c r="J3969" s="1" t="s">
        <v>191</v>
      </c>
      <c r="K3969" s="1" t="s">
        <v>210</v>
      </c>
      <c r="L3969" s="1" t="str">
        <f t="shared" si="213"/>
        <v>Vallentunasjön Va2</v>
      </c>
      <c r="M3969" s="1" t="s">
        <v>184</v>
      </c>
      <c r="N3969" s="1">
        <v>4.5</v>
      </c>
      <c r="O3969" s="1">
        <v>4.5</v>
      </c>
      <c r="Q3969" s="1">
        <v>17.8</v>
      </c>
      <c r="R3969" s="1">
        <v>5.4</v>
      </c>
      <c r="S3969" s="1">
        <v>56</v>
      </c>
    </row>
    <row r="3970" spans="1:38" x14ac:dyDescent="0.3">
      <c r="A3970" s="1">
        <v>67457</v>
      </c>
      <c r="B3970" s="1" t="s">
        <v>259</v>
      </c>
      <c r="C3970" s="1" t="s">
        <v>209</v>
      </c>
      <c r="D3970" s="2">
        <f t="shared" si="211"/>
        <v>2018</v>
      </c>
      <c r="E3970" s="2">
        <f t="shared" si="212"/>
        <v>9</v>
      </c>
      <c r="G3970" s="4">
        <v>43348</v>
      </c>
      <c r="J3970" s="1" t="s">
        <v>191</v>
      </c>
      <c r="K3970" s="1" t="s">
        <v>206</v>
      </c>
      <c r="L3970" s="1" t="str">
        <f t="shared" si="213"/>
        <v>Vallentunasjön Blandprov</v>
      </c>
      <c r="M3970" s="1" t="s">
        <v>177</v>
      </c>
      <c r="N3970" s="1">
        <v>4</v>
      </c>
      <c r="O3970" s="1">
        <v>0</v>
      </c>
      <c r="W3970" s="1">
        <v>5.4405999999999999</v>
      </c>
      <c r="Y3970" s="1">
        <v>4.7E-2</v>
      </c>
      <c r="Z3970" s="1">
        <v>3.22</v>
      </c>
      <c r="AB3970" s="1">
        <v>66.007440000000003</v>
      </c>
      <c r="AD3970" s="1">
        <v>0</v>
      </c>
      <c r="AE3970" s="1">
        <v>8.11</v>
      </c>
      <c r="AG3970" s="1">
        <v>32.799999999999997</v>
      </c>
      <c r="AK3970" s="1">
        <v>61.57</v>
      </c>
      <c r="AL3970" s="1">
        <v>1507.36</v>
      </c>
    </row>
    <row r="3971" spans="1:38" x14ac:dyDescent="0.3">
      <c r="A3971" s="1">
        <v>67652</v>
      </c>
      <c r="B3971" s="1" t="s">
        <v>259</v>
      </c>
      <c r="C3971" s="1" t="s">
        <v>209</v>
      </c>
      <c r="D3971" s="2">
        <f t="shared" si="211"/>
        <v>2018</v>
      </c>
      <c r="E3971" s="2">
        <f t="shared" si="212"/>
        <v>9</v>
      </c>
      <c r="G3971" s="4">
        <v>43360</v>
      </c>
      <c r="H3971" s="1">
        <v>6600738</v>
      </c>
      <c r="I3971" s="1">
        <v>672261</v>
      </c>
      <c r="J3971" s="1" t="s">
        <v>191</v>
      </c>
      <c r="K3971" s="1" t="s">
        <v>210</v>
      </c>
      <c r="L3971" s="1" t="str">
        <f t="shared" si="213"/>
        <v>Vallentunasjön Va2</v>
      </c>
      <c r="M3971" s="1" t="s">
        <v>177</v>
      </c>
      <c r="N3971" s="1">
        <v>0.5</v>
      </c>
      <c r="O3971" s="1">
        <v>0.5</v>
      </c>
      <c r="P3971" s="1">
        <v>0.6</v>
      </c>
      <c r="Q3971" s="1">
        <v>14.5</v>
      </c>
      <c r="R3971" s="1">
        <v>10</v>
      </c>
      <c r="S3971" s="1">
        <v>99</v>
      </c>
    </row>
    <row r="3972" spans="1:38" x14ac:dyDescent="0.3">
      <c r="A3972" s="1">
        <v>67653</v>
      </c>
      <c r="B3972" s="1" t="s">
        <v>259</v>
      </c>
      <c r="C3972" s="1" t="s">
        <v>209</v>
      </c>
      <c r="D3972" s="2">
        <f t="shared" si="211"/>
        <v>2018</v>
      </c>
      <c r="E3972" s="2">
        <f t="shared" si="212"/>
        <v>9</v>
      </c>
      <c r="G3972" s="4">
        <v>43360</v>
      </c>
      <c r="H3972" s="1">
        <v>6600738</v>
      </c>
      <c r="I3972" s="1">
        <v>672261</v>
      </c>
      <c r="J3972" s="1" t="s">
        <v>191</v>
      </c>
      <c r="K3972" s="1" t="s">
        <v>210</v>
      </c>
      <c r="L3972" s="1" t="str">
        <f t="shared" si="213"/>
        <v>Vallentunasjön Va2</v>
      </c>
      <c r="M3972" s="1" t="s">
        <v>211</v>
      </c>
      <c r="N3972" s="1">
        <v>1</v>
      </c>
      <c r="O3972" s="1">
        <v>1</v>
      </c>
      <c r="Q3972" s="1">
        <v>14.5</v>
      </c>
      <c r="R3972" s="1">
        <v>10</v>
      </c>
      <c r="S3972" s="1">
        <v>99</v>
      </c>
    </row>
    <row r="3973" spans="1:38" x14ac:dyDescent="0.3">
      <c r="A3973" s="1">
        <v>67654</v>
      </c>
      <c r="B3973" s="1" t="s">
        <v>259</v>
      </c>
      <c r="C3973" s="1" t="s">
        <v>209</v>
      </c>
      <c r="D3973" s="2">
        <f t="shared" si="211"/>
        <v>2018</v>
      </c>
      <c r="E3973" s="2">
        <f t="shared" si="212"/>
        <v>9</v>
      </c>
      <c r="G3973" s="4">
        <v>43360</v>
      </c>
      <c r="H3973" s="1">
        <v>6600738</v>
      </c>
      <c r="I3973" s="1">
        <v>672261</v>
      </c>
      <c r="J3973" s="1" t="s">
        <v>191</v>
      </c>
      <c r="K3973" s="1" t="s">
        <v>210</v>
      </c>
      <c r="L3973" s="1" t="str">
        <f t="shared" si="213"/>
        <v>Vallentunasjön Va2</v>
      </c>
      <c r="M3973" s="1" t="s">
        <v>212</v>
      </c>
      <c r="N3973" s="1">
        <v>2</v>
      </c>
      <c r="O3973" s="1">
        <v>2</v>
      </c>
      <c r="Q3973" s="1">
        <v>14.5</v>
      </c>
      <c r="R3973" s="1">
        <v>10</v>
      </c>
      <c r="S3973" s="1">
        <v>99</v>
      </c>
    </row>
    <row r="3974" spans="1:38" x14ac:dyDescent="0.3">
      <c r="A3974" s="1">
        <v>67655</v>
      </c>
      <c r="B3974" s="1" t="s">
        <v>259</v>
      </c>
      <c r="C3974" s="1" t="s">
        <v>209</v>
      </c>
      <c r="D3974" s="2">
        <f t="shared" ref="D3974:D4037" si="214">YEAR(G3974)</f>
        <v>2018</v>
      </c>
      <c r="E3974" s="2">
        <f t="shared" ref="E3974:E4037" si="215">MONTH(G3974)</f>
        <v>9</v>
      </c>
      <c r="G3974" s="4">
        <v>43360</v>
      </c>
      <c r="H3974" s="1">
        <v>6600738</v>
      </c>
      <c r="I3974" s="1">
        <v>672261</v>
      </c>
      <c r="J3974" s="1" t="s">
        <v>191</v>
      </c>
      <c r="K3974" s="1" t="s">
        <v>210</v>
      </c>
      <c r="L3974" s="1" t="str">
        <f t="shared" si="213"/>
        <v>Vallentunasjön Va2</v>
      </c>
      <c r="M3974" s="1" t="s">
        <v>213</v>
      </c>
      <c r="N3974" s="1">
        <v>3</v>
      </c>
      <c r="O3974" s="1">
        <v>3</v>
      </c>
      <c r="Q3974" s="1">
        <v>14.5</v>
      </c>
      <c r="R3974" s="1">
        <v>10</v>
      </c>
      <c r="S3974" s="1">
        <v>99</v>
      </c>
    </row>
    <row r="3975" spans="1:38" x14ac:dyDescent="0.3">
      <c r="A3975" s="1">
        <v>67656</v>
      </c>
      <c r="B3975" s="1" t="s">
        <v>259</v>
      </c>
      <c r="C3975" s="1" t="s">
        <v>209</v>
      </c>
      <c r="D3975" s="2">
        <f t="shared" si="214"/>
        <v>2018</v>
      </c>
      <c r="E3975" s="2">
        <f t="shared" si="215"/>
        <v>9</v>
      </c>
      <c r="G3975" s="4">
        <v>43360</v>
      </c>
      <c r="H3975" s="1">
        <v>6600738</v>
      </c>
      <c r="I3975" s="1">
        <v>672261</v>
      </c>
      <c r="J3975" s="1" t="s">
        <v>191</v>
      </c>
      <c r="K3975" s="1" t="s">
        <v>210</v>
      </c>
      <c r="L3975" s="1" t="str">
        <f t="shared" si="213"/>
        <v>Vallentunasjön Va2</v>
      </c>
      <c r="M3975" s="1" t="s">
        <v>214</v>
      </c>
      <c r="N3975" s="1">
        <v>4</v>
      </c>
      <c r="O3975" s="1">
        <v>4</v>
      </c>
      <c r="Q3975" s="1">
        <v>14.5</v>
      </c>
      <c r="R3975" s="1">
        <v>10</v>
      </c>
      <c r="S3975" s="1">
        <v>99</v>
      </c>
    </row>
    <row r="3976" spans="1:38" x14ac:dyDescent="0.3">
      <c r="A3976" s="1">
        <v>67657</v>
      </c>
      <c r="B3976" s="1" t="s">
        <v>259</v>
      </c>
      <c r="C3976" s="1" t="s">
        <v>209</v>
      </c>
      <c r="D3976" s="2">
        <f t="shared" si="214"/>
        <v>2018</v>
      </c>
      <c r="E3976" s="2">
        <f t="shared" si="215"/>
        <v>9</v>
      </c>
      <c r="G3976" s="4">
        <v>43360</v>
      </c>
      <c r="H3976" s="1">
        <v>6600738</v>
      </c>
      <c r="I3976" s="1">
        <v>672261</v>
      </c>
      <c r="J3976" s="1" t="s">
        <v>191</v>
      </c>
      <c r="K3976" s="1" t="s">
        <v>210</v>
      </c>
      <c r="L3976" s="1" t="str">
        <f t="shared" si="213"/>
        <v>Vallentunasjön Va2</v>
      </c>
      <c r="M3976" s="1" t="s">
        <v>184</v>
      </c>
      <c r="N3976" s="1">
        <v>4.5</v>
      </c>
      <c r="O3976" s="1">
        <v>4.5</v>
      </c>
      <c r="Q3976" s="1">
        <v>14.5</v>
      </c>
      <c r="R3976" s="1">
        <v>10</v>
      </c>
      <c r="S3976" s="1">
        <v>99</v>
      </c>
    </row>
    <row r="3977" spans="1:38" x14ac:dyDescent="0.3">
      <c r="A3977" s="1">
        <v>67658</v>
      </c>
      <c r="B3977" s="1" t="s">
        <v>259</v>
      </c>
      <c r="C3977" s="1" t="s">
        <v>209</v>
      </c>
      <c r="D3977" s="2">
        <f t="shared" si="214"/>
        <v>2018</v>
      </c>
      <c r="E3977" s="2">
        <f t="shared" si="215"/>
        <v>9</v>
      </c>
      <c r="G3977" s="4">
        <v>43360</v>
      </c>
      <c r="J3977" s="1" t="s">
        <v>191</v>
      </c>
      <c r="K3977" s="1" t="s">
        <v>206</v>
      </c>
      <c r="L3977" s="1" t="str">
        <f t="shared" si="213"/>
        <v>Vallentunasjön Blandprov</v>
      </c>
      <c r="M3977" s="1" t="s">
        <v>177</v>
      </c>
      <c r="N3977" s="1">
        <v>4</v>
      </c>
      <c r="O3977" s="1">
        <v>0</v>
      </c>
      <c r="W3977" s="1">
        <v>10.738899999999999</v>
      </c>
      <c r="X3977" s="1">
        <v>0.15497056036357509</v>
      </c>
      <c r="Y3977" s="1">
        <v>7.0999999999999994E-2</v>
      </c>
      <c r="Z3977" s="1">
        <v>0</v>
      </c>
      <c r="AB3977" s="1">
        <v>66.167100000000005</v>
      </c>
      <c r="AD3977" s="1">
        <v>0</v>
      </c>
      <c r="AE3977" s="1">
        <v>8.25</v>
      </c>
      <c r="AG3977" s="1">
        <v>34.5</v>
      </c>
      <c r="AK3977" s="1">
        <v>71.459999999999994</v>
      </c>
      <c r="AL3977" s="1">
        <v>1638.25</v>
      </c>
    </row>
    <row r="3978" spans="1:38" x14ac:dyDescent="0.3">
      <c r="A3978" s="1">
        <v>68097</v>
      </c>
      <c r="B3978" s="1" t="s">
        <v>259</v>
      </c>
      <c r="C3978" s="1" t="s">
        <v>209</v>
      </c>
      <c r="D3978" s="2">
        <f t="shared" si="214"/>
        <v>2018</v>
      </c>
      <c r="E3978" s="2">
        <f t="shared" si="215"/>
        <v>10</v>
      </c>
      <c r="F3978" s="1" t="s">
        <v>180</v>
      </c>
      <c r="G3978" s="4">
        <v>43382</v>
      </c>
      <c r="H3978" s="1">
        <v>6600738</v>
      </c>
      <c r="I3978" s="1">
        <v>672261</v>
      </c>
      <c r="J3978" s="1" t="s">
        <v>191</v>
      </c>
      <c r="K3978" s="1" t="s">
        <v>210</v>
      </c>
      <c r="L3978" s="1" t="str">
        <f t="shared" si="213"/>
        <v>Vallentunasjön Va2</v>
      </c>
      <c r="M3978" s="1" t="s">
        <v>177</v>
      </c>
      <c r="N3978" s="1">
        <v>0.5</v>
      </c>
      <c r="O3978" s="1">
        <v>0.5</v>
      </c>
      <c r="P3978" s="1">
        <v>0.7</v>
      </c>
      <c r="Q3978" s="1">
        <v>10</v>
      </c>
      <c r="R3978" s="1">
        <v>10.5</v>
      </c>
      <c r="S3978" s="1">
        <v>97</v>
      </c>
    </row>
    <row r="3979" spans="1:38" x14ac:dyDescent="0.3">
      <c r="A3979" s="1">
        <v>68098</v>
      </c>
      <c r="B3979" s="1" t="s">
        <v>259</v>
      </c>
      <c r="C3979" s="1" t="s">
        <v>209</v>
      </c>
      <c r="D3979" s="2">
        <f t="shared" si="214"/>
        <v>2018</v>
      </c>
      <c r="E3979" s="2">
        <f t="shared" si="215"/>
        <v>10</v>
      </c>
      <c r="F3979" s="1" t="s">
        <v>180</v>
      </c>
      <c r="G3979" s="4">
        <v>43382</v>
      </c>
      <c r="H3979" s="1">
        <v>6600738</v>
      </c>
      <c r="I3979" s="1">
        <v>672261</v>
      </c>
      <c r="J3979" s="1" t="s">
        <v>191</v>
      </c>
      <c r="K3979" s="1" t="s">
        <v>210</v>
      </c>
      <c r="L3979" s="1" t="str">
        <f t="shared" si="213"/>
        <v>Vallentunasjön Va2</v>
      </c>
      <c r="M3979" s="1" t="s">
        <v>211</v>
      </c>
      <c r="N3979" s="1">
        <v>1</v>
      </c>
      <c r="O3979" s="1">
        <v>1</v>
      </c>
      <c r="Q3979" s="1">
        <v>10</v>
      </c>
      <c r="R3979" s="1">
        <v>10.6</v>
      </c>
      <c r="S3979" s="1">
        <v>98</v>
      </c>
    </row>
    <row r="3980" spans="1:38" x14ac:dyDescent="0.3">
      <c r="A3980" s="1">
        <v>68099</v>
      </c>
      <c r="B3980" s="1" t="s">
        <v>259</v>
      </c>
      <c r="C3980" s="1" t="s">
        <v>209</v>
      </c>
      <c r="D3980" s="2">
        <f t="shared" si="214"/>
        <v>2018</v>
      </c>
      <c r="E3980" s="2">
        <f t="shared" si="215"/>
        <v>10</v>
      </c>
      <c r="F3980" s="1" t="s">
        <v>180</v>
      </c>
      <c r="G3980" s="4">
        <v>43382</v>
      </c>
      <c r="H3980" s="1">
        <v>6600738</v>
      </c>
      <c r="I3980" s="1">
        <v>672261</v>
      </c>
      <c r="J3980" s="1" t="s">
        <v>191</v>
      </c>
      <c r="K3980" s="1" t="s">
        <v>210</v>
      </c>
      <c r="L3980" s="1" t="str">
        <f t="shared" si="213"/>
        <v>Vallentunasjön Va2</v>
      </c>
      <c r="M3980" s="1" t="s">
        <v>212</v>
      </c>
      <c r="N3980" s="1">
        <v>2</v>
      </c>
      <c r="O3980" s="1">
        <v>2</v>
      </c>
      <c r="Q3980" s="1">
        <v>10</v>
      </c>
      <c r="R3980" s="1">
        <v>11</v>
      </c>
      <c r="S3980" s="1">
        <v>100</v>
      </c>
    </row>
    <row r="3981" spans="1:38" x14ac:dyDescent="0.3">
      <c r="A3981" s="1">
        <v>68100</v>
      </c>
      <c r="B3981" s="1" t="s">
        <v>259</v>
      </c>
      <c r="C3981" s="1" t="s">
        <v>209</v>
      </c>
      <c r="D3981" s="2">
        <f t="shared" si="214"/>
        <v>2018</v>
      </c>
      <c r="E3981" s="2">
        <f t="shared" si="215"/>
        <v>10</v>
      </c>
      <c r="F3981" s="1" t="s">
        <v>180</v>
      </c>
      <c r="G3981" s="4">
        <v>43382</v>
      </c>
      <c r="H3981" s="1">
        <v>6600738</v>
      </c>
      <c r="I3981" s="1">
        <v>672261</v>
      </c>
      <c r="J3981" s="1" t="s">
        <v>191</v>
      </c>
      <c r="K3981" s="1" t="s">
        <v>210</v>
      </c>
      <c r="L3981" s="1" t="str">
        <f t="shared" si="213"/>
        <v>Vallentunasjön Va2</v>
      </c>
      <c r="M3981" s="1" t="s">
        <v>213</v>
      </c>
      <c r="N3981" s="1">
        <v>3</v>
      </c>
      <c r="O3981" s="1">
        <v>3</v>
      </c>
      <c r="Q3981" s="1">
        <v>10</v>
      </c>
      <c r="R3981" s="1">
        <v>11.3</v>
      </c>
      <c r="S3981" s="1">
        <v>102</v>
      </c>
    </row>
    <row r="3982" spans="1:38" x14ac:dyDescent="0.3">
      <c r="A3982" s="1">
        <v>68101</v>
      </c>
      <c r="B3982" s="1" t="s">
        <v>259</v>
      </c>
      <c r="C3982" s="1" t="s">
        <v>209</v>
      </c>
      <c r="D3982" s="2">
        <f t="shared" si="214"/>
        <v>2018</v>
      </c>
      <c r="E3982" s="2">
        <f t="shared" si="215"/>
        <v>10</v>
      </c>
      <c r="F3982" s="1" t="s">
        <v>180</v>
      </c>
      <c r="G3982" s="4">
        <v>43382</v>
      </c>
      <c r="H3982" s="1">
        <v>6600738</v>
      </c>
      <c r="I3982" s="1">
        <v>672261</v>
      </c>
      <c r="J3982" s="1" t="s">
        <v>191</v>
      </c>
      <c r="K3982" s="1" t="s">
        <v>210</v>
      </c>
      <c r="L3982" s="1" t="str">
        <f t="shared" si="213"/>
        <v>Vallentunasjön Va2</v>
      </c>
      <c r="M3982" s="1" t="s">
        <v>214</v>
      </c>
      <c r="N3982" s="1">
        <v>4</v>
      </c>
      <c r="O3982" s="1">
        <v>4</v>
      </c>
      <c r="Q3982" s="1">
        <v>10</v>
      </c>
      <c r="R3982" s="1">
        <v>11.4</v>
      </c>
      <c r="S3982" s="1">
        <v>103</v>
      </c>
    </row>
    <row r="3983" spans="1:38" x14ac:dyDescent="0.3">
      <c r="A3983" s="1">
        <v>68102</v>
      </c>
      <c r="B3983" s="1" t="s">
        <v>259</v>
      </c>
      <c r="C3983" s="1" t="s">
        <v>209</v>
      </c>
      <c r="D3983" s="2">
        <f t="shared" si="214"/>
        <v>2018</v>
      </c>
      <c r="E3983" s="2">
        <f t="shared" si="215"/>
        <v>10</v>
      </c>
      <c r="F3983" s="1" t="s">
        <v>180</v>
      </c>
      <c r="G3983" s="4">
        <v>43382</v>
      </c>
      <c r="H3983" s="1">
        <v>6600738</v>
      </c>
      <c r="I3983" s="1">
        <v>672261</v>
      </c>
      <c r="J3983" s="1" t="s">
        <v>191</v>
      </c>
      <c r="K3983" s="1" t="s">
        <v>210</v>
      </c>
      <c r="L3983" s="1" t="str">
        <f t="shared" si="213"/>
        <v>Vallentunasjön Va2</v>
      </c>
      <c r="M3983" s="1" t="s">
        <v>184</v>
      </c>
      <c r="N3983" s="1">
        <v>4.5</v>
      </c>
      <c r="O3983" s="1">
        <v>4.5</v>
      </c>
      <c r="Q3983" s="1">
        <v>10</v>
      </c>
      <c r="R3983" s="1">
        <v>11.4</v>
      </c>
      <c r="S3983" s="1">
        <v>103</v>
      </c>
    </row>
    <row r="3984" spans="1:38" x14ac:dyDescent="0.3">
      <c r="A3984" s="1">
        <v>68103</v>
      </c>
      <c r="B3984" s="1" t="s">
        <v>259</v>
      </c>
      <c r="C3984" s="1" t="s">
        <v>209</v>
      </c>
      <c r="D3984" s="2">
        <f t="shared" si="214"/>
        <v>2018</v>
      </c>
      <c r="E3984" s="2">
        <f t="shared" si="215"/>
        <v>10</v>
      </c>
      <c r="F3984" s="1" t="s">
        <v>180</v>
      </c>
      <c r="G3984" s="4">
        <v>43382</v>
      </c>
      <c r="J3984" s="1" t="s">
        <v>191</v>
      </c>
      <c r="K3984" s="1" t="s">
        <v>206</v>
      </c>
      <c r="L3984" s="1" t="str">
        <f t="shared" si="213"/>
        <v>Vallentunasjön Blandprov</v>
      </c>
      <c r="M3984" s="1" t="s">
        <v>177</v>
      </c>
      <c r="N3984" s="1">
        <v>4</v>
      </c>
      <c r="O3984" s="1">
        <v>0</v>
      </c>
      <c r="W3984" s="1">
        <v>8.4504999999999999</v>
      </c>
      <c r="X3984" s="1">
        <v>9.4967801600920165E-2</v>
      </c>
      <c r="Y3984" s="1">
        <v>4.5999999999999999E-2</v>
      </c>
      <c r="Z3984" s="1">
        <v>0.93</v>
      </c>
      <c r="AB3984" s="1">
        <v>50.457599999999999</v>
      </c>
      <c r="AD3984" s="1">
        <v>0</v>
      </c>
      <c r="AE3984" s="1">
        <v>8.14</v>
      </c>
      <c r="AG3984" s="1">
        <v>20.5</v>
      </c>
      <c r="AK3984" s="1">
        <v>54.115000000000002</v>
      </c>
      <c r="AL3984" s="1">
        <v>1430.72</v>
      </c>
    </row>
    <row r="3985" spans="1:38" x14ac:dyDescent="0.3">
      <c r="A3985" s="1">
        <v>68622</v>
      </c>
      <c r="B3985" s="1" t="s">
        <v>259</v>
      </c>
      <c r="C3985" s="1" t="s">
        <v>209</v>
      </c>
      <c r="D3985" s="2">
        <f t="shared" si="214"/>
        <v>2018</v>
      </c>
      <c r="E3985" s="2">
        <f t="shared" si="215"/>
        <v>10</v>
      </c>
      <c r="F3985" s="1" t="s">
        <v>180</v>
      </c>
      <c r="G3985" s="4">
        <v>43396</v>
      </c>
      <c r="H3985" s="1">
        <v>6600738</v>
      </c>
      <c r="I3985" s="1">
        <v>672261</v>
      </c>
      <c r="J3985" s="1" t="s">
        <v>191</v>
      </c>
      <c r="K3985" s="1" t="s">
        <v>210</v>
      </c>
      <c r="L3985" s="1" t="str">
        <f t="shared" si="213"/>
        <v>Vallentunasjön Va2</v>
      </c>
      <c r="M3985" s="1" t="s">
        <v>177</v>
      </c>
      <c r="N3985" s="1">
        <v>0.5</v>
      </c>
      <c r="O3985" s="1">
        <v>0.5</v>
      </c>
      <c r="P3985" s="1">
        <v>0.7</v>
      </c>
      <c r="Q3985" s="1">
        <v>8.1999999999999993</v>
      </c>
      <c r="R3985" s="1">
        <v>11.2</v>
      </c>
      <c r="S3985" s="1">
        <v>97</v>
      </c>
    </row>
    <row r="3986" spans="1:38" x14ac:dyDescent="0.3">
      <c r="A3986" s="1">
        <v>68623</v>
      </c>
      <c r="B3986" s="1" t="s">
        <v>259</v>
      </c>
      <c r="C3986" s="1" t="s">
        <v>209</v>
      </c>
      <c r="D3986" s="2">
        <f t="shared" si="214"/>
        <v>2018</v>
      </c>
      <c r="E3986" s="2">
        <f t="shared" si="215"/>
        <v>10</v>
      </c>
      <c r="F3986" s="1" t="s">
        <v>180</v>
      </c>
      <c r="G3986" s="4">
        <v>43396</v>
      </c>
      <c r="H3986" s="1">
        <v>6600738</v>
      </c>
      <c r="I3986" s="1">
        <v>672261</v>
      </c>
      <c r="J3986" s="1" t="s">
        <v>191</v>
      </c>
      <c r="K3986" s="1" t="s">
        <v>210</v>
      </c>
      <c r="L3986" s="1" t="str">
        <f t="shared" si="213"/>
        <v>Vallentunasjön Va2</v>
      </c>
      <c r="M3986" s="1" t="s">
        <v>211</v>
      </c>
      <c r="N3986" s="1">
        <v>1</v>
      </c>
      <c r="O3986" s="1">
        <v>1</v>
      </c>
      <c r="Q3986" s="1">
        <v>8.1999999999999993</v>
      </c>
      <c r="R3986" s="1">
        <v>11.2</v>
      </c>
      <c r="S3986" s="1">
        <v>97</v>
      </c>
    </row>
    <row r="3987" spans="1:38" x14ac:dyDescent="0.3">
      <c r="A3987" s="1">
        <v>68624</v>
      </c>
      <c r="B3987" s="1" t="s">
        <v>259</v>
      </c>
      <c r="C3987" s="1" t="s">
        <v>209</v>
      </c>
      <c r="D3987" s="2">
        <f t="shared" si="214"/>
        <v>2018</v>
      </c>
      <c r="E3987" s="2">
        <f t="shared" si="215"/>
        <v>10</v>
      </c>
      <c r="F3987" s="1" t="s">
        <v>180</v>
      </c>
      <c r="G3987" s="4">
        <v>43396</v>
      </c>
      <c r="H3987" s="1">
        <v>6600738</v>
      </c>
      <c r="I3987" s="1">
        <v>672261</v>
      </c>
      <c r="J3987" s="1" t="s">
        <v>191</v>
      </c>
      <c r="K3987" s="1" t="s">
        <v>210</v>
      </c>
      <c r="L3987" s="1" t="str">
        <f t="shared" si="213"/>
        <v>Vallentunasjön Va2</v>
      </c>
      <c r="M3987" s="1" t="s">
        <v>212</v>
      </c>
      <c r="N3987" s="1">
        <v>2</v>
      </c>
      <c r="O3987" s="1">
        <v>2</v>
      </c>
      <c r="Q3987" s="1">
        <v>8.1999999999999993</v>
      </c>
      <c r="R3987" s="1">
        <v>11.2</v>
      </c>
      <c r="S3987" s="1">
        <v>97</v>
      </c>
    </row>
    <row r="3988" spans="1:38" x14ac:dyDescent="0.3">
      <c r="A3988" s="1">
        <v>68625</v>
      </c>
      <c r="B3988" s="1" t="s">
        <v>259</v>
      </c>
      <c r="C3988" s="1" t="s">
        <v>209</v>
      </c>
      <c r="D3988" s="2">
        <f t="shared" si="214"/>
        <v>2018</v>
      </c>
      <c r="E3988" s="2">
        <f t="shared" si="215"/>
        <v>10</v>
      </c>
      <c r="F3988" s="1" t="s">
        <v>180</v>
      </c>
      <c r="G3988" s="4">
        <v>43396</v>
      </c>
      <c r="H3988" s="1">
        <v>6600738</v>
      </c>
      <c r="I3988" s="1">
        <v>672261</v>
      </c>
      <c r="J3988" s="1" t="s">
        <v>191</v>
      </c>
      <c r="K3988" s="1" t="s">
        <v>210</v>
      </c>
      <c r="L3988" s="1" t="str">
        <f t="shared" si="213"/>
        <v>Vallentunasjön Va2</v>
      </c>
      <c r="M3988" s="1" t="s">
        <v>213</v>
      </c>
      <c r="N3988" s="1">
        <v>3</v>
      </c>
      <c r="O3988" s="1">
        <v>3</v>
      </c>
      <c r="Q3988" s="1">
        <v>8.1999999999999993</v>
      </c>
      <c r="R3988" s="1">
        <v>11.2</v>
      </c>
      <c r="S3988" s="1">
        <v>97</v>
      </c>
    </row>
    <row r="3989" spans="1:38" x14ac:dyDescent="0.3">
      <c r="A3989" s="1">
        <v>68626</v>
      </c>
      <c r="B3989" s="1" t="s">
        <v>259</v>
      </c>
      <c r="C3989" s="1" t="s">
        <v>209</v>
      </c>
      <c r="D3989" s="2">
        <f t="shared" si="214"/>
        <v>2018</v>
      </c>
      <c r="E3989" s="2">
        <f t="shared" si="215"/>
        <v>10</v>
      </c>
      <c r="F3989" s="1" t="s">
        <v>180</v>
      </c>
      <c r="G3989" s="4">
        <v>43396</v>
      </c>
      <c r="H3989" s="1">
        <v>6600738</v>
      </c>
      <c r="I3989" s="1">
        <v>672261</v>
      </c>
      <c r="J3989" s="1" t="s">
        <v>191</v>
      </c>
      <c r="K3989" s="1" t="s">
        <v>210</v>
      </c>
      <c r="L3989" s="1" t="str">
        <f t="shared" si="213"/>
        <v>Vallentunasjön Va2</v>
      </c>
      <c r="M3989" s="1" t="s">
        <v>214</v>
      </c>
      <c r="N3989" s="1">
        <v>4</v>
      </c>
      <c r="O3989" s="1">
        <v>4</v>
      </c>
      <c r="Q3989" s="1">
        <v>8.1999999999999993</v>
      </c>
      <c r="R3989" s="1">
        <v>11.2</v>
      </c>
      <c r="S3989" s="1">
        <v>97</v>
      </c>
    </row>
    <row r="3990" spans="1:38" x14ac:dyDescent="0.3">
      <c r="A3990" s="1">
        <v>68627</v>
      </c>
      <c r="B3990" s="1" t="s">
        <v>259</v>
      </c>
      <c r="C3990" s="1" t="s">
        <v>209</v>
      </c>
      <c r="D3990" s="2">
        <f t="shared" si="214"/>
        <v>2018</v>
      </c>
      <c r="E3990" s="2">
        <f t="shared" si="215"/>
        <v>10</v>
      </c>
      <c r="F3990" s="1" t="s">
        <v>180</v>
      </c>
      <c r="G3990" s="4">
        <v>43396</v>
      </c>
      <c r="H3990" s="1">
        <v>6600738</v>
      </c>
      <c r="I3990" s="1">
        <v>672261</v>
      </c>
      <c r="J3990" s="1" t="s">
        <v>191</v>
      </c>
      <c r="K3990" s="1" t="s">
        <v>210</v>
      </c>
      <c r="L3990" s="1" t="str">
        <f t="shared" si="213"/>
        <v>Vallentunasjön Va2</v>
      </c>
      <c r="M3990" s="1" t="s">
        <v>184</v>
      </c>
      <c r="N3990" s="1">
        <v>4.5</v>
      </c>
      <c r="O3990" s="1">
        <v>4.5</v>
      </c>
      <c r="Q3990" s="1">
        <v>8.1999999999999993</v>
      </c>
      <c r="R3990" s="1">
        <v>11.2</v>
      </c>
      <c r="S3990" s="1">
        <v>97</v>
      </c>
    </row>
    <row r="3991" spans="1:38" x14ac:dyDescent="0.3">
      <c r="A3991" s="1">
        <v>68628</v>
      </c>
      <c r="B3991" s="1" t="s">
        <v>259</v>
      </c>
      <c r="C3991" s="1" t="s">
        <v>209</v>
      </c>
      <c r="D3991" s="2">
        <f t="shared" si="214"/>
        <v>2018</v>
      </c>
      <c r="E3991" s="2">
        <f t="shared" si="215"/>
        <v>10</v>
      </c>
      <c r="F3991" s="1" t="s">
        <v>180</v>
      </c>
      <c r="G3991" s="4">
        <v>43396</v>
      </c>
      <c r="J3991" s="1" t="s">
        <v>191</v>
      </c>
      <c r="K3991" s="1" t="s">
        <v>206</v>
      </c>
      <c r="L3991" s="1" t="str">
        <f t="shared" si="213"/>
        <v>Vallentunasjön Blandprov</v>
      </c>
      <c r="M3991" s="1" t="s">
        <v>177</v>
      </c>
      <c r="N3991" s="1">
        <v>4</v>
      </c>
      <c r="O3991" s="1">
        <v>0</v>
      </c>
      <c r="W3991" s="1">
        <v>12.138199999999999</v>
      </c>
      <c r="X3991" s="1">
        <v>5.5943587856582953E-2</v>
      </c>
      <c r="Y3991" s="1">
        <v>5.8000000000000003E-2</v>
      </c>
      <c r="Z3991" s="1">
        <v>10.119999999999999</v>
      </c>
      <c r="AB3991" s="1">
        <v>57.054600000000001</v>
      </c>
      <c r="AD3991" s="1">
        <v>35.68</v>
      </c>
      <c r="AE3991" s="1">
        <v>7.75</v>
      </c>
      <c r="AG3991" s="1">
        <v>85.294117646999993</v>
      </c>
      <c r="AK3991" s="1">
        <v>152.08000000000001</v>
      </c>
      <c r="AL3991" s="1">
        <v>2007.61</v>
      </c>
    </row>
    <row r="3992" spans="1:38" x14ac:dyDescent="0.3">
      <c r="A3992" s="1">
        <v>68916</v>
      </c>
      <c r="B3992" s="1" t="s">
        <v>259</v>
      </c>
      <c r="C3992" s="1" t="s">
        <v>209</v>
      </c>
      <c r="D3992" s="2">
        <f t="shared" si="214"/>
        <v>2018</v>
      </c>
      <c r="E3992" s="2">
        <f t="shared" si="215"/>
        <v>11</v>
      </c>
      <c r="G3992" s="4">
        <v>43424</v>
      </c>
      <c r="H3992" s="1">
        <v>6600738</v>
      </c>
      <c r="I3992" s="1">
        <v>672261</v>
      </c>
      <c r="J3992" s="1" t="s">
        <v>191</v>
      </c>
      <c r="K3992" s="1" t="s">
        <v>210</v>
      </c>
      <c r="L3992" s="1" t="str">
        <f t="shared" si="213"/>
        <v>Vallentunasjön Va2</v>
      </c>
      <c r="M3992" s="1" t="s">
        <v>177</v>
      </c>
      <c r="N3992" s="1">
        <v>0.5</v>
      </c>
      <c r="O3992" s="1">
        <v>0.5</v>
      </c>
      <c r="P3992" s="1">
        <v>1.2</v>
      </c>
      <c r="Q3992" s="1">
        <v>5.3</v>
      </c>
      <c r="R3992" s="1">
        <v>10.9</v>
      </c>
      <c r="S3992" s="1">
        <v>87</v>
      </c>
    </row>
    <row r="3993" spans="1:38" x14ac:dyDescent="0.3">
      <c r="A3993" s="1">
        <v>68917</v>
      </c>
      <c r="B3993" s="1" t="s">
        <v>259</v>
      </c>
      <c r="C3993" s="1" t="s">
        <v>209</v>
      </c>
      <c r="D3993" s="2">
        <f t="shared" si="214"/>
        <v>2018</v>
      </c>
      <c r="E3993" s="2">
        <f t="shared" si="215"/>
        <v>11</v>
      </c>
      <c r="G3993" s="4">
        <v>43424</v>
      </c>
      <c r="H3993" s="1">
        <v>6600738</v>
      </c>
      <c r="I3993" s="1">
        <v>672261</v>
      </c>
      <c r="J3993" s="1" t="s">
        <v>191</v>
      </c>
      <c r="K3993" s="1" t="s">
        <v>210</v>
      </c>
      <c r="L3993" s="1" t="str">
        <f t="shared" si="213"/>
        <v>Vallentunasjön Va2</v>
      </c>
      <c r="M3993" s="1" t="s">
        <v>211</v>
      </c>
      <c r="N3993" s="1">
        <v>1</v>
      </c>
      <c r="O3993" s="1">
        <v>1</v>
      </c>
      <c r="Q3993" s="1">
        <v>5.3</v>
      </c>
      <c r="R3993" s="1">
        <v>11.1</v>
      </c>
      <c r="S3993" s="1">
        <v>89</v>
      </c>
    </row>
    <row r="3994" spans="1:38" x14ac:dyDescent="0.3">
      <c r="A3994" s="1">
        <v>68918</v>
      </c>
      <c r="B3994" s="1" t="s">
        <v>259</v>
      </c>
      <c r="C3994" s="1" t="s">
        <v>209</v>
      </c>
      <c r="D3994" s="2">
        <f t="shared" si="214"/>
        <v>2018</v>
      </c>
      <c r="E3994" s="2">
        <f t="shared" si="215"/>
        <v>11</v>
      </c>
      <c r="G3994" s="4">
        <v>43424</v>
      </c>
      <c r="H3994" s="1">
        <v>6600738</v>
      </c>
      <c r="I3994" s="1">
        <v>672261</v>
      </c>
      <c r="J3994" s="1" t="s">
        <v>191</v>
      </c>
      <c r="K3994" s="1" t="s">
        <v>210</v>
      </c>
      <c r="L3994" s="1" t="str">
        <f t="shared" si="213"/>
        <v>Vallentunasjön Va2</v>
      </c>
      <c r="M3994" s="1" t="s">
        <v>212</v>
      </c>
      <c r="N3994" s="1">
        <v>2</v>
      </c>
      <c r="O3994" s="1">
        <v>2</v>
      </c>
      <c r="Q3994" s="1">
        <v>5.3</v>
      </c>
      <c r="R3994" s="1">
        <v>11.3</v>
      </c>
      <c r="S3994" s="1">
        <v>91</v>
      </c>
    </row>
    <row r="3995" spans="1:38" x14ac:dyDescent="0.3">
      <c r="A3995" s="1">
        <v>68919</v>
      </c>
      <c r="B3995" s="1" t="s">
        <v>259</v>
      </c>
      <c r="C3995" s="1" t="s">
        <v>209</v>
      </c>
      <c r="D3995" s="2">
        <f t="shared" si="214"/>
        <v>2018</v>
      </c>
      <c r="E3995" s="2">
        <f t="shared" si="215"/>
        <v>11</v>
      </c>
      <c r="G3995" s="4">
        <v>43424</v>
      </c>
      <c r="H3995" s="1">
        <v>6600738</v>
      </c>
      <c r="I3995" s="1">
        <v>672261</v>
      </c>
      <c r="J3995" s="1" t="s">
        <v>191</v>
      </c>
      <c r="K3995" s="1" t="s">
        <v>210</v>
      </c>
      <c r="L3995" s="1" t="str">
        <f t="shared" si="213"/>
        <v>Vallentunasjön Va2</v>
      </c>
      <c r="M3995" s="1" t="s">
        <v>213</v>
      </c>
      <c r="N3995" s="1">
        <v>3</v>
      </c>
      <c r="O3995" s="1">
        <v>3</v>
      </c>
      <c r="Q3995" s="1">
        <v>5.3</v>
      </c>
      <c r="R3995" s="1">
        <v>11.4</v>
      </c>
      <c r="S3995" s="1">
        <v>92</v>
      </c>
    </row>
    <row r="3996" spans="1:38" x14ac:dyDescent="0.3">
      <c r="A3996" s="1">
        <v>68920</v>
      </c>
      <c r="B3996" s="1" t="s">
        <v>259</v>
      </c>
      <c r="C3996" s="1" t="s">
        <v>209</v>
      </c>
      <c r="D3996" s="2">
        <f t="shared" si="214"/>
        <v>2018</v>
      </c>
      <c r="E3996" s="2">
        <f t="shared" si="215"/>
        <v>11</v>
      </c>
      <c r="G3996" s="4">
        <v>43424</v>
      </c>
      <c r="H3996" s="1">
        <v>6600738</v>
      </c>
      <c r="I3996" s="1">
        <v>672261</v>
      </c>
      <c r="J3996" s="1" t="s">
        <v>191</v>
      </c>
      <c r="K3996" s="1" t="s">
        <v>210</v>
      </c>
      <c r="L3996" s="1" t="str">
        <f t="shared" si="213"/>
        <v>Vallentunasjön Va2</v>
      </c>
      <c r="M3996" s="1" t="s">
        <v>214</v>
      </c>
      <c r="N3996" s="1">
        <v>4</v>
      </c>
      <c r="O3996" s="1">
        <v>4</v>
      </c>
      <c r="Q3996" s="1">
        <v>5.3</v>
      </c>
      <c r="R3996" s="1">
        <v>11.3</v>
      </c>
      <c r="S3996" s="1">
        <v>91</v>
      </c>
    </row>
    <row r="3997" spans="1:38" x14ac:dyDescent="0.3">
      <c r="A3997" s="1">
        <v>68921</v>
      </c>
      <c r="B3997" s="1" t="s">
        <v>259</v>
      </c>
      <c r="C3997" s="1" t="s">
        <v>209</v>
      </c>
      <c r="D3997" s="2">
        <f t="shared" si="214"/>
        <v>2018</v>
      </c>
      <c r="E3997" s="2">
        <f t="shared" si="215"/>
        <v>11</v>
      </c>
      <c r="G3997" s="4">
        <v>43424</v>
      </c>
      <c r="H3997" s="1">
        <v>6600738</v>
      </c>
      <c r="I3997" s="1">
        <v>672261</v>
      </c>
      <c r="J3997" s="1" t="s">
        <v>191</v>
      </c>
      <c r="K3997" s="1" t="s">
        <v>210</v>
      </c>
      <c r="L3997" s="1" t="str">
        <f t="shared" si="213"/>
        <v>Vallentunasjön Va2</v>
      </c>
      <c r="M3997" s="1" t="s">
        <v>184</v>
      </c>
      <c r="N3997" s="1">
        <v>4.5</v>
      </c>
      <c r="O3997" s="1">
        <v>4.5</v>
      </c>
      <c r="Q3997" s="1">
        <v>5.3</v>
      </c>
      <c r="R3997" s="1">
        <v>11.3</v>
      </c>
      <c r="S3997" s="1">
        <v>91</v>
      </c>
    </row>
    <row r="3998" spans="1:38" x14ac:dyDescent="0.3">
      <c r="A3998" s="1">
        <v>68922</v>
      </c>
      <c r="B3998" s="1" t="s">
        <v>259</v>
      </c>
      <c r="C3998" s="1" t="s">
        <v>209</v>
      </c>
      <c r="D3998" s="2">
        <f t="shared" si="214"/>
        <v>2018</v>
      </c>
      <c r="E3998" s="2">
        <f t="shared" si="215"/>
        <v>11</v>
      </c>
      <c r="G3998" s="4">
        <v>43424</v>
      </c>
      <c r="J3998" s="1" t="s">
        <v>191</v>
      </c>
      <c r="K3998" s="1" t="s">
        <v>206</v>
      </c>
      <c r="L3998" s="1" t="str">
        <f t="shared" si="213"/>
        <v>Vallentunasjön Blandprov</v>
      </c>
      <c r="M3998" s="1" t="s">
        <v>206</v>
      </c>
      <c r="N3998" s="1">
        <v>4</v>
      </c>
      <c r="O3998" s="1">
        <v>0</v>
      </c>
      <c r="W3998" s="1">
        <v>208.63630000000001</v>
      </c>
      <c r="X3998" s="1">
        <v>2.1404915032516647</v>
      </c>
      <c r="Y3998" s="1">
        <v>3.3000000000000002E-2</v>
      </c>
      <c r="Z3998" s="1">
        <v>1.84</v>
      </c>
      <c r="AB3998" s="1">
        <v>56.9664</v>
      </c>
      <c r="AD3998" s="1">
        <v>13.5</v>
      </c>
      <c r="AE3998" s="1">
        <v>8.1</v>
      </c>
      <c r="AG3998" s="1">
        <v>13.2</v>
      </c>
      <c r="AK3998" s="1">
        <v>44.42</v>
      </c>
      <c r="AL3998" s="1">
        <v>1394</v>
      </c>
    </row>
    <row r="3999" spans="1:38" x14ac:dyDescent="0.3">
      <c r="A3999" s="1">
        <v>70186</v>
      </c>
      <c r="B3999" s="1" t="s">
        <v>260</v>
      </c>
      <c r="C3999" s="1" t="s">
        <v>231</v>
      </c>
      <c r="D3999" s="2">
        <f t="shared" si="214"/>
        <v>2019</v>
      </c>
      <c r="E3999" s="2">
        <f t="shared" si="215"/>
        <v>2</v>
      </c>
      <c r="G3999" s="4">
        <v>43521</v>
      </c>
      <c r="H3999" s="1">
        <v>6595172</v>
      </c>
      <c r="I3999" s="1">
        <v>669610</v>
      </c>
      <c r="J3999" s="1" t="s">
        <v>183</v>
      </c>
      <c r="L3999" s="1" t="str">
        <f t="shared" si="213"/>
        <v xml:space="preserve">Fjäturen </v>
      </c>
      <c r="M3999" s="1" t="s">
        <v>177</v>
      </c>
      <c r="N3999" s="1">
        <v>0.5</v>
      </c>
      <c r="O3999" s="1">
        <v>0.5</v>
      </c>
      <c r="P3999" s="1">
        <v>5.2</v>
      </c>
      <c r="Q3999" s="1">
        <v>3.4</v>
      </c>
      <c r="R3999" s="1">
        <v>9.3000000000000007</v>
      </c>
      <c r="S3999" s="1">
        <v>69</v>
      </c>
      <c r="W3999" s="1">
        <v>11.928699999999999</v>
      </c>
      <c r="X3999" s="1">
        <v>5.6624088922235999E-2</v>
      </c>
      <c r="Y3999" s="1">
        <v>3.4000000000000002E-2</v>
      </c>
      <c r="Z3999" s="1">
        <v>1.45</v>
      </c>
      <c r="AA3999" s="1">
        <v>0.62</v>
      </c>
      <c r="AD3999" s="1">
        <v>261.45999999999998</v>
      </c>
      <c r="AE3999" s="1">
        <v>7.64</v>
      </c>
      <c r="AK3999" s="1">
        <v>14.12</v>
      </c>
      <c r="AL3999" s="1">
        <v>843.92</v>
      </c>
    </row>
    <row r="4000" spans="1:38" x14ac:dyDescent="0.3">
      <c r="A4000" s="1">
        <v>70187</v>
      </c>
      <c r="B4000" s="1" t="s">
        <v>260</v>
      </c>
      <c r="C4000" s="1" t="s">
        <v>231</v>
      </c>
      <c r="D4000" s="2">
        <f t="shared" si="214"/>
        <v>2019</v>
      </c>
      <c r="E4000" s="2">
        <f t="shared" si="215"/>
        <v>2</v>
      </c>
      <c r="G4000" s="4">
        <v>43521</v>
      </c>
      <c r="H4000" s="1">
        <v>6595172</v>
      </c>
      <c r="I4000" s="1">
        <v>669610</v>
      </c>
      <c r="J4000" s="1" t="s">
        <v>183</v>
      </c>
      <c r="L4000" s="1" t="str">
        <f t="shared" si="213"/>
        <v xml:space="preserve">Fjäturen </v>
      </c>
      <c r="M4000" s="1" t="s">
        <v>211</v>
      </c>
      <c r="N4000" s="1">
        <v>1</v>
      </c>
      <c r="O4000" s="1">
        <v>1</v>
      </c>
      <c r="Q4000" s="1">
        <v>3.7</v>
      </c>
      <c r="R4000" s="1">
        <v>8.9</v>
      </c>
      <c r="S4000" s="1">
        <v>66</v>
      </c>
    </row>
    <row r="4001" spans="1:38" x14ac:dyDescent="0.3">
      <c r="A4001" s="1">
        <v>70188</v>
      </c>
      <c r="B4001" s="1" t="s">
        <v>260</v>
      </c>
      <c r="C4001" s="1" t="s">
        <v>231</v>
      </c>
      <c r="D4001" s="2">
        <f t="shared" si="214"/>
        <v>2019</v>
      </c>
      <c r="E4001" s="2">
        <f t="shared" si="215"/>
        <v>2</v>
      </c>
      <c r="G4001" s="4">
        <v>43521</v>
      </c>
      <c r="H4001" s="1">
        <v>6595172</v>
      </c>
      <c r="I4001" s="1">
        <v>669610</v>
      </c>
      <c r="J4001" s="1" t="s">
        <v>183</v>
      </c>
      <c r="L4001" s="1" t="str">
        <f t="shared" si="213"/>
        <v xml:space="preserve">Fjäturen </v>
      </c>
      <c r="M4001" s="1" t="s">
        <v>212</v>
      </c>
      <c r="N4001" s="1">
        <v>2</v>
      </c>
      <c r="O4001" s="1">
        <v>2</v>
      </c>
      <c r="Q4001" s="1">
        <v>3.9</v>
      </c>
      <c r="R4001" s="1">
        <v>8.5</v>
      </c>
      <c r="S4001" s="1">
        <v>64</v>
      </c>
    </row>
    <row r="4002" spans="1:38" x14ac:dyDescent="0.3">
      <c r="A4002" s="1">
        <v>70189</v>
      </c>
      <c r="B4002" s="1" t="s">
        <v>260</v>
      </c>
      <c r="C4002" s="1" t="s">
        <v>231</v>
      </c>
      <c r="D4002" s="2">
        <f t="shared" si="214"/>
        <v>2019</v>
      </c>
      <c r="E4002" s="2">
        <f t="shared" si="215"/>
        <v>2</v>
      </c>
      <c r="G4002" s="4">
        <v>43521</v>
      </c>
      <c r="H4002" s="1">
        <v>6595172</v>
      </c>
      <c r="I4002" s="1">
        <v>669610</v>
      </c>
      <c r="J4002" s="1" t="s">
        <v>183</v>
      </c>
      <c r="L4002" s="1" t="str">
        <f t="shared" si="213"/>
        <v xml:space="preserve">Fjäturen </v>
      </c>
      <c r="M4002" s="1" t="s">
        <v>213</v>
      </c>
      <c r="N4002" s="1">
        <v>3</v>
      </c>
      <c r="O4002" s="1">
        <v>3</v>
      </c>
      <c r="Q4002" s="1">
        <v>3.9</v>
      </c>
      <c r="R4002" s="1">
        <v>7.2</v>
      </c>
      <c r="S4002" s="1">
        <v>54</v>
      </c>
    </row>
    <row r="4003" spans="1:38" x14ac:dyDescent="0.3">
      <c r="A4003" s="1">
        <v>70190</v>
      </c>
      <c r="B4003" s="1" t="s">
        <v>260</v>
      </c>
      <c r="C4003" s="1" t="s">
        <v>231</v>
      </c>
      <c r="D4003" s="2">
        <f t="shared" si="214"/>
        <v>2019</v>
      </c>
      <c r="E4003" s="2">
        <f t="shared" si="215"/>
        <v>2</v>
      </c>
      <c r="G4003" s="4">
        <v>43521</v>
      </c>
      <c r="H4003" s="1">
        <v>6595172</v>
      </c>
      <c r="I4003" s="1">
        <v>669610</v>
      </c>
      <c r="J4003" s="1" t="s">
        <v>183</v>
      </c>
      <c r="L4003" s="1" t="str">
        <f t="shared" si="213"/>
        <v xml:space="preserve">Fjäturen </v>
      </c>
      <c r="M4003" s="1" t="s">
        <v>214</v>
      </c>
      <c r="N4003" s="1">
        <v>4</v>
      </c>
      <c r="O4003" s="1">
        <v>4</v>
      </c>
      <c r="Q4003" s="1">
        <v>4</v>
      </c>
      <c r="R4003" s="1">
        <v>6.2</v>
      </c>
      <c r="S4003" s="1">
        <v>47</v>
      </c>
    </row>
    <row r="4004" spans="1:38" x14ac:dyDescent="0.3">
      <c r="A4004" s="1">
        <v>70191</v>
      </c>
      <c r="B4004" s="1" t="s">
        <v>260</v>
      </c>
      <c r="C4004" s="1" t="s">
        <v>231</v>
      </c>
      <c r="D4004" s="2">
        <f t="shared" si="214"/>
        <v>2019</v>
      </c>
      <c r="E4004" s="2">
        <f t="shared" si="215"/>
        <v>2</v>
      </c>
      <c r="G4004" s="4">
        <v>43521</v>
      </c>
      <c r="H4004" s="1">
        <v>6595172</v>
      </c>
      <c r="I4004" s="1">
        <v>669610</v>
      </c>
      <c r="J4004" s="1" t="s">
        <v>183</v>
      </c>
      <c r="L4004" s="1" t="str">
        <f t="shared" si="213"/>
        <v xml:space="preserve">Fjäturen </v>
      </c>
      <c r="M4004" s="1" t="s">
        <v>217</v>
      </c>
      <c r="N4004" s="1">
        <v>5</v>
      </c>
      <c r="O4004" s="1">
        <v>5</v>
      </c>
      <c r="Q4004" s="1">
        <v>4</v>
      </c>
      <c r="R4004" s="1">
        <v>5.5</v>
      </c>
      <c r="S4004" s="1">
        <v>42</v>
      </c>
    </row>
    <row r="4005" spans="1:38" x14ac:dyDescent="0.3">
      <c r="A4005" s="1">
        <v>70192</v>
      </c>
      <c r="B4005" s="1" t="s">
        <v>260</v>
      </c>
      <c r="C4005" s="1" t="s">
        <v>231</v>
      </c>
      <c r="D4005" s="2">
        <f t="shared" si="214"/>
        <v>2019</v>
      </c>
      <c r="E4005" s="2">
        <f t="shared" si="215"/>
        <v>2</v>
      </c>
      <c r="G4005" s="4">
        <v>43521</v>
      </c>
      <c r="H4005" s="1">
        <v>6595172</v>
      </c>
      <c r="I4005" s="1">
        <v>669610</v>
      </c>
      <c r="J4005" s="1" t="s">
        <v>183</v>
      </c>
      <c r="L4005" s="1" t="str">
        <f t="shared" si="213"/>
        <v xml:space="preserve">Fjäturen </v>
      </c>
      <c r="M4005" s="1" t="s">
        <v>218</v>
      </c>
      <c r="N4005" s="1">
        <v>6</v>
      </c>
      <c r="O4005" s="1">
        <v>6</v>
      </c>
      <c r="Q4005" s="1">
        <v>4</v>
      </c>
      <c r="R4005" s="1">
        <v>4.7</v>
      </c>
      <c r="S4005" s="1">
        <v>35</v>
      </c>
    </row>
    <row r="4006" spans="1:38" x14ac:dyDescent="0.3">
      <c r="A4006" s="1">
        <v>70193</v>
      </c>
      <c r="B4006" s="1" t="s">
        <v>260</v>
      </c>
      <c r="C4006" s="1" t="s">
        <v>231</v>
      </c>
      <c r="D4006" s="2">
        <f t="shared" si="214"/>
        <v>2019</v>
      </c>
      <c r="E4006" s="2">
        <f t="shared" si="215"/>
        <v>2</v>
      </c>
      <c r="G4006" s="4">
        <v>43521</v>
      </c>
      <c r="H4006" s="1">
        <v>6595172</v>
      </c>
      <c r="I4006" s="1">
        <v>669610</v>
      </c>
      <c r="J4006" s="1" t="s">
        <v>183</v>
      </c>
      <c r="L4006" s="1" t="str">
        <f t="shared" si="213"/>
        <v xml:space="preserve">Fjäturen </v>
      </c>
      <c r="M4006" s="1" t="s">
        <v>219</v>
      </c>
      <c r="N4006" s="1">
        <v>7</v>
      </c>
      <c r="O4006" s="1">
        <v>7</v>
      </c>
      <c r="Q4006" s="1">
        <v>4</v>
      </c>
      <c r="R4006" s="1">
        <v>4.5999999999999996</v>
      </c>
      <c r="S4006" s="1">
        <v>35</v>
      </c>
    </row>
    <row r="4007" spans="1:38" x14ac:dyDescent="0.3">
      <c r="A4007" s="1">
        <v>70194</v>
      </c>
      <c r="B4007" s="1" t="s">
        <v>260</v>
      </c>
      <c r="C4007" s="1" t="s">
        <v>231</v>
      </c>
      <c r="D4007" s="2">
        <f t="shared" si="214"/>
        <v>2019</v>
      </c>
      <c r="E4007" s="2">
        <f t="shared" si="215"/>
        <v>2</v>
      </c>
      <c r="G4007" s="4">
        <v>43521</v>
      </c>
      <c r="H4007" s="1">
        <v>6595172</v>
      </c>
      <c r="I4007" s="1">
        <v>669610</v>
      </c>
      <c r="J4007" s="1" t="s">
        <v>183</v>
      </c>
      <c r="L4007" s="1" t="str">
        <f t="shared" si="213"/>
        <v xml:space="preserve">Fjäturen </v>
      </c>
      <c r="M4007" s="1" t="s">
        <v>220</v>
      </c>
      <c r="N4007" s="1">
        <v>8</v>
      </c>
      <c r="O4007" s="1">
        <v>8</v>
      </c>
      <c r="Q4007" s="1">
        <v>4.0999999999999996</v>
      </c>
      <c r="R4007" s="1">
        <v>3.4</v>
      </c>
      <c r="S4007" s="1">
        <v>26</v>
      </c>
    </row>
    <row r="4008" spans="1:38" x14ac:dyDescent="0.3">
      <c r="A4008" s="1">
        <v>70195</v>
      </c>
      <c r="B4008" s="1" t="s">
        <v>260</v>
      </c>
      <c r="C4008" s="1" t="s">
        <v>231</v>
      </c>
      <c r="D4008" s="2">
        <f t="shared" si="214"/>
        <v>2019</v>
      </c>
      <c r="E4008" s="2">
        <f t="shared" si="215"/>
        <v>2</v>
      </c>
      <c r="G4008" s="4">
        <v>43521</v>
      </c>
      <c r="H4008" s="1">
        <v>6595172</v>
      </c>
      <c r="I4008" s="1">
        <v>669610</v>
      </c>
      <c r="J4008" s="1" t="s">
        <v>183</v>
      </c>
      <c r="L4008" s="1" t="str">
        <f t="shared" si="213"/>
        <v xml:space="preserve">Fjäturen </v>
      </c>
      <c r="M4008" s="1" t="s">
        <v>184</v>
      </c>
      <c r="N4008" s="1">
        <v>9</v>
      </c>
      <c r="O4008" s="1">
        <v>9</v>
      </c>
      <c r="Q4008" s="1">
        <v>4.2</v>
      </c>
      <c r="R4008" s="1">
        <v>2.6</v>
      </c>
      <c r="S4008" s="1">
        <v>20</v>
      </c>
      <c r="W4008" s="1">
        <v>48.301699999999997</v>
      </c>
      <c r="X4008" s="1">
        <v>0.13480206892026869</v>
      </c>
      <c r="Y4008" s="1">
        <v>5.2999999999999999E-2</v>
      </c>
      <c r="Z4008" s="1">
        <v>16.989999999999998</v>
      </c>
      <c r="AA4008" s="1">
        <v>2.1</v>
      </c>
      <c r="AD4008" s="1">
        <v>413</v>
      </c>
      <c r="AE4008" s="1">
        <v>7.38</v>
      </c>
      <c r="AK4008" s="1">
        <v>31.92</v>
      </c>
      <c r="AL4008" s="1">
        <v>1003.15</v>
      </c>
    </row>
    <row r="4009" spans="1:38" x14ac:dyDescent="0.3">
      <c r="A4009" s="1">
        <v>70196</v>
      </c>
      <c r="B4009" s="1" t="s">
        <v>260</v>
      </c>
      <c r="C4009" s="1" t="s">
        <v>231</v>
      </c>
      <c r="D4009" s="2">
        <f t="shared" si="214"/>
        <v>2019</v>
      </c>
      <c r="E4009" s="2">
        <f t="shared" si="215"/>
        <v>2</v>
      </c>
      <c r="G4009" s="4">
        <v>43521</v>
      </c>
      <c r="H4009" s="1">
        <v>6593536</v>
      </c>
      <c r="I4009" s="1">
        <v>664946</v>
      </c>
      <c r="J4009" s="1" t="s">
        <v>188</v>
      </c>
      <c r="L4009" s="1" t="str">
        <f t="shared" si="213"/>
        <v xml:space="preserve">Ravalen </v>
      </c>
      <c r="M4009" s="1" t="s">
        <v>177</v>
      </c>
      <c r="N4009" s="1">
        <v>0.5</v>
      </c>
      <c r="O4009" s="1">
        <v>0.5</v>
      </c>
      <c r="P4009" s="1">
        <v>1.4</v>
      </c>
      <c r="Q4009" s="1">
        <v>2.9</v>
      </c>
      <c r="R4009" s="1">
        <v>4.0999999999999996</v>
      </c>
      <c r="S4009" s="1">
        <v>29</v>
      </c>
      <c r="W4009" s="1">
        <v>220.5411</v>
      </c>
      <c r="X4009" s="1">
        <v>0.55334176019299186</v>
      </c>
      <c r="Y4009" s="1">
        <v>5.1999999999999998E-2</v>
      </c>
      <c r="Z4009" s="1">
        <v>0.72</v>
      </c>
      <c r="AA4009" s="1">
        <v>1.1499999999999999</v>
      </c>
      <c r="AD4009" s="1">
        <v>139.47999999999999</v>
      </c>
      <c r="AE4009" s="1">
        <v>7.38</v>
      </c>
      <c r="AK4009" s="1">
        <v>27.87</v>
      </c>
      <c r="AL4009" s="1">
        <v>1092.43</v>
      </c>
    </row>
    <row r="4010" spans="1:38" x14ac:dyDescent="0.3">
      <c r="A4010" s="1">
        <v>70197</v>
      </c>
      <c r="B4010" s="1" t="s">
        <v>260</v>
      </c>
      <c r="C4010" s="1" t="s">
        <v>231</v>
      </c>
      <c r="D4010" s="2">
        <f t="shared" si="214"/>
        <v>2019</v>
      </c>
      <c r="E4010" s="2">
        <f t="shared" si="215"/>
        <v>2</v>
      </c>
      <c r="G4010" s="4">
        <v>43521</v>
      </c>
      <c r="H4010" s="1">
        <v>6593536</v>
      </c>
      <c r="I4010" s="1">
        <v>664946</v>
      </c>
      <c r="J4010" s="1" t="s">
        <v>188</v>
      </c>
      <c r="L4010" s="1" t="str">
        <f t="shared" si="213"/>
        <v xml:space="preserve">Ravalen </v>
      </c>
      <c r="M4010" s="1" t="s">
        <v>211</v>
      </c>
      <c r="N4010" s="1">
        <v>1</v>
      </c>
      <c r="O4010" s="1">
        <v>1</v>
      </c>
      <c r="Q4010" s="1">
        <v>4.3</v>
      </c>
      <c r="R4010" s="1">
        <v>4.2</v>
      </c>
      <c r="S4010" s="1">
        <v>32</v>
      </c>
    </row>
    <row r="4011" spans="1:38" x14ac:dyDescent="0.3">
      <c r="A4011" s="1">
        <v>70198</v>
      </c>
      <c r="B4011" s="1" t="s">
        <v>260</v>
      </c>
      <c r="C4011" s="1" t="s">
        <v>231</v>
      </c>
      <c r="D4011" s="2">
        <f t="shared" si="214"/>
        <v>2019</v>
      </c>
      <c r="E4011" s="2">
        <f t="shared" si="215"/>
        <v>2</v>
      </c>
      <c r="G4011" s="4">
        <v>43521</v>
      </c>
      <c r="H4011" s="1">
        <v>6593536</v>
      </c>
      <c r="I4011" s="1">
        <v>664946</v>
      </c>
      <c r="J4011" s="1" t="s">
        <v>188</v>
      </c>
      <c r="L4011" s="1" t="str">
        <f t="shared" si="213"/>
        <v xml:space="preserve">Ravalen </v>
      </c>
      <c r="M4011" s="1" t="s">
        <v>184</v>
      </c>
      <c r="N4011" s="1">
        <v>2</v>
      </c>
      <c r="O4011" s="1">
        <v>2</v>
      </c>
      <c r="Q4011" s="1">
        <v>4.4000000000000004</v>
      </c>
      <c r="R4011" s="1">
        <v>3.4</v>
      </c>
      <c r="S4011" s="1">
        <v>26</v>
      </c>
      <c r="W4011" s="1">
        <v>184.29140000000001</v>
      </c>
      <c r="X4011" s="1">
        <v>0.54733583205682435</v>
      </c>
      <c r="Y4011" s="1">
        <v>5.1999999999999998E-2</v>
      </c>
      <c r="Z4011" s="1">
        <v>1.99</v>
      </c>
      <c r="AA4011" s="1">
        <v>1.54</v>
      </c>
      <c r="AD4011" s="1">
        <v>149.56</v>
      </c>
      <c r="AE4011" s="1">
        <v>7.4</v>
      </c>
      <c r="AK4011" s="1">
        <v>31.15</v>
      </c>
      <c r="AL4011" s="1">
        <v>1144.2</v>
      </c>
    </row>
    <row r="4012" spans="1:38" x14ac:dyDescent="0.3">
      <c r="A4012" s="1">
        <v>70199</v>
      </c>
      <c r="B4012" s="1" t="s">
        <v>260</v>
      </c>
      <c r="C4012" s="1" t="s">
        <v>231</v>
      </c>
      <c r="D4012" s="2">
        <f t="shared" si="214"/>
        <v>2019</v>
      </c>
      <c r="E4012" s="2">
        <f t="shared" si="215"/>
        <v>2</v>
      </c>
      <c r="G4012" s="4">
        <v>43521</v>
      </c>
      <c r="H4012" s="1">
        <v>6594092</v>
      </c>
      <c r="I4012" s="1">
        <v>661375</v>
      </c>
      <c r="J4012" s="1" t="s">
        <v>193</v>
      </c>
      <c r="L4012" s="1" t="str">
        <f t="shared" si="213"/>
        <v xml:space="preserve">Översjön </v>
      </c>
      <c r="M4012" s="1" t="s">
        <v>177</v>
      </c>
      <c r="N4012" s="1">
        <v>0.5</v>
      </c>
      <c r="O4012" s="1">
        <v>0.5</v>
      </c>
      <c r="P4012" s="1">
        <v>2.6</v>
      </c>
      <c r="Q4012" s="1">
        <v>3</v>
      </c>
      <c r="R4012" s="1">
        <v>7.6</v>
      </c>
      <c r="S4012" s="1">
        <v>56</v>
      </c>
      <c r="W4012" s="1">
        <v>237.68549999999999</v>
      </c>
      <c r="X4012" s="1">
        <v>0.3544301313579995</v>
      </c>
      <c r="Y4012" s="1">
        <v>0.109</v>
      </c>
      <c r="Z4012" s="1">
        <v>0.5</v>
      </c>
      <c r="AA4012" s="1">
        <v>3.8</v>
      </c>
      <c r="AD4012" s="1">
        <v>634.83000000000004</v>
      </c>
      <c r="AE4012" s="1">
        <v>7.15</v>
      </c>
      <c r="AK4012" s="1">
        <v>36.270000000000003</v>
      </c>
      <c r="AL4012" s="1">
        <v>1638.34</v>
      </c>
    </row>
    <row r="4013" spans="1:38" x14ac:dyDescent="0.3">
      <c r="A4013" s="1">
        <v>70200</v>
      </c>
      <c r="B4013" s="1" t="s">
        <v>260</v>
      </c>
      <c r="C4013" s="1" t="s">
        <v>231</v>
      </c>
      <c r="D4013" s="2">
        <f t="shared" si="214"/>
        <v>2019</v>
      </c>
      <c r="E4013" s="2">
        <f t="shared" si="215"/>
        <v>2</v>
      </c>
      <c r="G4013" s="4">
        <v>43521</v>
      </c>
      <c r="H4013" s="1">
        <v>6594092</v>
      </c>
      <c r="I4013" s="1">
        <v>661375</v>
      </c>
      <c r="J4013" s="1" t="s">
        <v>193</v>
      </c>
      <c r="L4013" s="1" t="str">
        <f t="shared" si="213"/>
        <v xml:space="preserve">Översjön </v>
      </c>
      <c r="M4013" s="1" t="s">
        <v>211</v>
      </c>
      <c r="N4013" s="1">
        <v>1</v>
      </c>
      <c r="O4013" s="1">
        <v>1</v>
      </c>
      <c r="Q4013" s="1">
        <v>3.6</v>
      </c>
      <c r="R4013" s="1">
        <v>7.9</v>
      </c>
      <c r="S4013" s="1">
        <v>59</v>
      </c>
    </row>
    <row r="4014" spans="1:38" x14ac:dyDescent="0.3">
      <c r="A4014" s="1">
        <v>70201</v>
      </c>
      <c r="B4014" s="1" t="s">
        <v>260</v>
      </c>
      <c r="C4014" s="1" t="s">
        <v>231</v>
      </c>
      <c r="D4014" s="2">
        <f t="shared" si="214"/>
        <v>2019</v>
      </c>
      <c r="E4014" s="2">
        <f t="shared" si="215"/>
        <v>2</v>
      </c>
      <c r="G4014" s="4">
        <v>43521</v>
      </c>
      <c r="H4014" s="1">
        <v>6594092</v>
      </c>
      <c r="I4014" s="1">
        <v>661375</v>
      </c>
      <c r="J4014" s="1" t="s">
        <v>193</v>
      </c>
      <c r="L4014" s="1" t="str">
        <f t="shared" si="213"/>
        <v xml:space="preserve">Översjön </v>
      </c>
      <c r="M4014" s="1" t="s">
        <v>212</v>
      </c>
      <c r="N4014" s="1">
        <v>2</v>
      </c>
      <c r="O4014" s="1">
        <v>2</v>
      </c>
      <c r="Q4014" s="1">
        <v>4.0999999999999996</v>
      </c>
      <c r="R4014" s="1">
        <v>4.4000000000000004</v>
      </c>
      <c r="S4014" s="1">
        <v>33</v>
      </c>
    </row>
    <row r="4015" spans="1:38" x14ac:dyDescent="0.3">
      <c r="A4015" s="1">
        <v>70202</v>
      </c>
      <c r="B4015" s="1" t="s">
        <v>260</v>
      </c>
      <c r="C4015" s="1" t="s">
        <v>231</v>
      </c>
      <c r="D4015" s="2">
        <f t="shared" si="214"/>
        <v>2019</v>
      </c>
      <c r="E4015" s="2">
        <f t="shared" si="215"/>
        <v>2</v>
      </c>
      <c r="G4015" s="4">
        <v>43521</v>
      </c>
      <c r="H4015" s="1">
        <v>6594092</v>
      </c>
      <c r="I4015" s="1">
        <v>661375</v>
      </c>
      <c r="J4015" s="1" t="s">
        <v>193</v>
      </c>
      <c r="L4015" s="1" t="str">
        <f t="shared" si="213"/>
        <v xml:space="preserve">Översjön </v>
      </c>
      <c r="M4015" s="1" t="s">
        <v>213</v>
      </c>
      <c r="N4015" s="1">
        <v>3</v>
      </c>
      <c r="O4015" s="1">
        <v>3</v>
      </c>
      <c r="Q4015" s="1">
        <v>4.3</v>
      </c>
      <c r="R4015" s="1">
        <v>3.2</v>
      </c>
      <c r="S4015" s="1">
        <v>25</v>
      </c>
    </row>
    <row r="4016" spans="1:38" x14ac:dyDescent="0.3">
      <c r="A4016" s="1">
        <v>70203</v>
      </c>
      <c r="B4016" s="1" t="s">
        <v>260</v>
      </c>
      <c r="C4016" s="1" t="s">
        <v>231</v>
      </c>
      <c r="D4016" s="2">
        <f t="shared" si="214"/>
        <v>2019</v>
      </c>
      <c r="E4016" s="2">
        <f t="shared" si="215"/>
        <v>2</v>
      </c>
      <c r="G4016" s="4">
        <v>43521</v>
      </c>
      <c r="H4016" s="1">
        <v>6594092</v>
      </c>
      <c r="I4016" s="1">
        <v>661375</v>
      </c>
      <c r="J4016" s="1" t="s">
        <v>193</v>
      </c>
      <c r="L4016" s="1" t="str">
        <f t="shared" si="213"/>
        <v xml:space="preserve">Översjön </v>
      </c>
      <c r="M4016" s="1" t="s">
        <v>184</v>
      </c>
      <c r="N4016" s="1">
        <v>4</v>
      </c>
      <c r="O4016" s="1">
        <v>4</v>
      </c>
      <c r="Q4016" s="1">
        <v>4.5</v>
      </c>
      <c r="R4016" s="1">
        <v>2.8</v>
      </c>
      <c r="S4016" s="1">
        <v>21</v>
      </c>
      <c r="W4016" s="1">
        <v>244.511</v>
      </c>
      <c r="X4016" s="1">
        <v>0.6234085821541816</v>
      </c>
      <c r="Y4016" s="1">
        <v>0.06</v>
      </c>
      <c r="Z4016" s="1">
        <v>0.71</v>
      </c>
      <c r="AA4016" s="1">
        <v>1.78</v>
      </c>
      <c r="AD4016" s="1">
        <v>312.93</v>
      </c>
      <c r="AE4016" s="1">
        <v>7.33</v>
      </c>
      <c r="AK4016" s="1">
        <v>30.91</v>
      </c>
      <c r="AL4016" s="1">
        <v>1442.13</v>
      </c>
    </row>
    <row r="4017" spans="1:91" x14ac:dyDescent="0.3">
      <c r="A4017" s="1">
        <v>70204</v>
      </c>
      <c r="B4017" s="1" t="s">
        <v>260</v>
      </c>
      <c r="C4017" s="1" t="s">
        <v>231</v>
      </c>
      <c r="D4017" s="2">
        <f t="shared" si="214"/>
        <v>2019</v>
      </c>
      <c r="E4017" s="2">
        <f t="shared" si="215"/>
        <v>2</v>
      </c>
      <c r="G4017" s="4">
        <v>43521</v>
      </c>
      <c r="H4017" s="1">
        <v>6593594</v>
      </c>
      <c r="I4017" s="1">
        <v>669799</v>
      </c>
      <c r="J4017" s="1" t="s">
        <v>189</v>
      </c>
      <c r="L4017" s="1" t="str">
        <f t="shared" si="213"/>
        <v xml:space="preserve">Rösjön </v>
      </c>
      <c r="M4017" s="1" t="s">
        <v>177</v>
      </c>
      <c r="N4017" s="1">
        <v>0.5</v>
      </c>
      <c r="O4017" s="1">
        <v>0.5</v>
      </c>
      <c r="P4017" s="1">
        <v>5</v>
      </c>
      <c r="Q4017" s="1">
        <v>2.9</v>
      </c>
      <c r="R4017" s="1">
        <v>9.9</v>
      </c>
      <c r="S4017" s="1">
        <v>72</v>
      </c>
      <c r="W4017" s="1">
        <v>8.7696000000000005</v>
      </c>
      <c r="X4017" s="1">
        <v>2.3037340684902399E-2</v>
      </c>
      <c r="Y4017" s="1">
        <v>3.6999999999999998E-2</v>
      </c>
      <c r="Z4017" s="1">
        <v>0.41</v>
      </c>
      <c r="AA4017" s="1">
        <v>0.84</v>
      </c>
      <c r="AD4017" s="1">
        <v>198.78</v>
      </c>
      <c r="AE4017" s="1">
        <v>7.4</v>
      </c>
      <c r="AI4017" s="1">
        <v>8.7720000000000002</v>
      </c>
      <c r="AJ4017" s="1">
        <v>8.0630000000000006</v>
      </c>
      <c r="AK4017" s="1">
        <v>13.25</v>
      </c>
      <c r="AL4017" s="1">
        <v>622.85</v>
      </c>
      <c r="AR4017" s="1">
        <v>26.5</v>
      </c>
      <c r="AS4017" s="1">
        <v>3.5299999999999901E-2</v>
      </c>
      <c r="AT4017" s="1">
        <v>1.96</v>
      </c>
      <c r="AU4017" s="1">
        <v>3.53</v>
      </c>
      <c r="AW4017" s="1">
        <v>13.2</v>
      </c>
      <c r="AY4017" s="1">
        <v>1.41</v>
      </c>
      <c r="AZ4017" s="1">
        <v>88.6</v>
      </c>
      <c r="BA4017" s="1">
        <v>0.60799999999999899</v>
      </c>
      <c r="BB4017" s="1">
        <v>16.3</v>
      </c>
      <c r="BC4017" s="1">
        <v>1.12999999999999E-2</v>
      </c>
      <c r="BD4017" s="1">
        <v>0.125</v>
      </c>
      <c r="BE4017" s="1">
        <v>0.114</v>
      </c>
      <c r="BF4017" s="1">
        <v>0.82399999999999896</v>
      </c>
      <c r="BG4017" s="1">
        <v>1E-3</v>
      </c>
      <c r="BH4017" s="1">
        <v>18.899999999999899</v>
      </c>
      <c r="BI4017" s="1">
        <v>0.57399999999999896</v>
      </c>
      <c r="BJ4017" s="1">
        <v>0.46800000000000003</v>
      </c>
      <c r="BK4017" s="1">
        <v>8.0500000000000007</v>
      </c>
      <c r="BL4017" s="1">
        <v>8.2500000000000004E-2</v>
      </c>
      <c r="BM4017" s="1">
        <v>67.8</v>
      </c>
      <c r="BN4017" s="1">
        <v>0.29399999999999898</v>
      </c>
      <c r="BO4017" s="1">
        <v>3.46</v>
      </c>
      <c r="BQ4017" s="1">
        <v>63.6</v>
      </c>
      <c r="BR4017" s="1">
        <v>1.15E-2</v>
      </c>
      <c r="BS4017" s="1">
        <v>0.12</v>
      </c>
      <c r="BT4017" s="1">
        <v>8.9200000000000002E-2</v>
      </c>
      <c r="BU4017" s="1">
        <v>0.94799999999999895</v>
      </c>
      <c r="BV4017" s="1">
        <v>13.2</v>
      </c>
      <c r="BW4017" s="1">
        <v>0.58199999999999896</v>
      </c>
      <c r="BX4017" s="1">
        <v>3.09E-2</v>
      </c>
      <c r="BY4017" s="1">
        <v>5.38</v>
      </c>
      <c r="BZ4017" s="1">
        <v>26.3</v>
      </c>
      <c r="CA4017" s="1">
        <v>3.51</v>
      </c>
      <c r="CC4017" s="1">
        <v>1.7899999999999899E-2</v>
      </c>
      <c r="CD4017" s="1">
        <v>1.94</v>
      </c>
      <c r="CE4017" s="1">
        <v>13</v>
      </c>
      <c r="CF4017" s="1">
        <v>1.36</v>
      </c>
      <c r="CG4017" s="1">
        <v>0.66500000000000004</v>
      </c>
      <c r="CH4017" s="1">
        <v>20</v>
      </c>
      <c r="CI4017" s="1">
        <v>1E-3</v>
      </c>
      <c r="CJ4017" s="1">
        <v>0.75</v>
      </c>
      <c r="CK4017" s="1">
        <v>8.41</v>
      </c>
      <c r="CL4017" s="1">
        <v>0.315</v>
      </c>
      <c r="CM4017" s="1">
        <v>67.400000000000006</v>
      </c>
    </row>
    <row r="4018" spans="1:91" x14ac:dyDescent="0.3">
      <c r="A4018" s="1">
        <v>70205</v>
      </c>
      <c r="B4018" s="1" t="s">
        <v>260</v>
      </c>
      <c r="C4018" s="1" t="s">
        <v>231</v>
      </c>
      <c r="D4018" s="2">
        <f t="shared" si="214"/>
        <v>2019</v>
      </c>
      <c r="E4018" s="2">
        <f t="shared" si="215"/>
        <v>2</v>
      </c>
      <c r="G4018" s="4">
        <v>43521</v>
      </c>
      <c r="H4018" s="1">
        <v>6593594</v>
      </c>
      <c r="I4018" s="1">
        <v>669799</v>
      </c>
      <c r="J4018" s="1" t="s">
        <v>189</v>
      </c>
      <c r="L4018" s="1" t="str">
        <f t="shared" si="213"/>
        <v xml:space="preserve">Rösjön </v>
      </c>
      <c r="M4018" s="1" t="s">
        <v>211</v>
      </c>
      <c r="N4018" s="1">
        <v>1</v>
      </c>
      <c r="O4018" s="1">
        <v>1</v>
      </c>
      <c r="Q4018" s="1">
        <v>3.4</v>
      </c>
      <c r="R4018" s="1">
        <v>10</v>
      </c>
      <c r="S4018" s="1">
        <v>74</v>
      </c>
    </row>
    <row r="4019" spans="1:91" x14ac:dyDescent="0.3">
      <c r="A4019" s="1">
        <v>70206</v>
      </c>
      <c r="B4019" s="1" t="s">
        <v>260</v>
      </c>
      <c r="C4019" s="1" t="s">
        <v>231</v>
      </c>
      <c r="D4019" s="2">
        <f t="shared" si="214"/>
        <v>2019</v>
      </c>
      <c r="E4019" s="2">
        <f t="shared" si="215"/>
        <v>2</v>
      </c>
      <c r="G4019" s="4">
        <v>43521</v>
      </c>
      <c r="H4019" s="1">
        <v>6593594</v>
      </c>
      <c r="I4019" s="1">
        <v>669799</v>
      </c>
      <c r="J4019" s="1" t="s">
        <v>189</v>
      </c>
      <c r="L4019" s="1" t="str">
        <f t="shared" si="213"/>
        <v xml:space="preserve">Rösjön </v>
      </c>
      <c r="M4019" s="1" t="s">
        <v>212</v>
      </c>
      <c r="N4019" s="1">
        <v>2</v>
      </c>
      <c r="O4019" s="1">
        <v>2</v>
      </c>
      <c r="Q4019" s="1">
        <v>4</v>
      </c>
      <c r="R4019" s="1">
        <v>8.8000000000000007</v>
      </c>
      <c r="S4019" s="1">
        <v>66</v>
      </c>
    </row>
    <row r="4020" spans="1:91" x14ac:dyDescent="0.3">
      <c r="A4020" s="1">
        <v>70207</v>
      </c>
      <c r="B4020" s="1" t="s">
        <v>260</v>
      </c>
      <c r="C4020" s="1" t="s">
        <v>231</v>
      </c>
      <c r="D4020" s="2">
        <f t="shared" si="214"/>
        <v>2019</v>
      </c>
      <c r="E4020" s="2">
        <f t="shared" si="215"/>
        <v>2</v>
      </c>
      <c r="G4020" s="4">
        <v>43521</v>
      </c>
      <c r="H4020" s="1">
        <v>6593594</v>
      </c>
      <c r="I4020" s="1">
        <v>669799</v>
      </c>
      <c r="J4020" s="1" t="s">
        <v>189</v>
      </c>
      <c r="L4020" s="1" t="str">
        <f t="shared" si="213"/>
        <v xml:space="preserve">Rösjön </v>
      </c>
      <c r="M4020" s="1" t="s">
        <v>213</v>
      </c>
      <c r="N4020" s="1">
        <v>3</v>
      </c>
      <c r="O4020" s="1">
        <v>3</v>
      </c>
      <c r="Q4020" s="1">
        <v>4.4000000000000004</v>
      </c>
      <c r="R4020" s="1">
        <v>5.3</v>
      </c>
      <c r="S4020" s="1">
        <v>40</v>
      </c>
    </row>
    <row r="4021" spans="1:91" x14ac:dyDescent="0.3">
      <c r="A4021" s="1">
        <v>70208</v>
      </c>
      <c r="B4021" s="1" t="s">
        <v>260</v>
      </c>
      <c r="C4021" s="1" t="s">
        <v>231</v>
      </c>
      <c r="D4021" s="2">
        <f t="shared" si="214"/>
        <v>2019</v>
      </c>
      <c r="E4021" s="2">
        <f t="shared" si="215"/>
        <v>2</v>
      </c>
      <c r="G4021" s="4">
        <v>43521</v>
      </c>
      <c r="H4021" s="1">
        <v>6593594</v>
      </c>
      <c r="I4021" s="1">
        <v>669799</v>
      </c>
      <c r="J4021" s="1" t="s">
        <v>189</v>
      </c>
      <c r="L4021" s="1" t="str">
        <f t="shared" si="213"/>
        <v xml:space="preserve">Rösjön </v>
      </c>
      <c r="M4021" s="1" t="s">
        <v>214</v>
      </c>
      <c r="N4021" s="1">
        <v>4</v>
      </c>
      <c r="O4021" s="1">
        <v>4</v>
      </c>
      <c r="Q4021" s="1">
        <v>4.5999999999999996</v>
      </c>
      <c r="R4021" s="1">
        <v>5.3</v>
      </c>
      <c r="S4021" s="1">
        <v>40</v>
      </c>
    </row>
    <row r="4022" spans="1:91" x14ac:dyDescent="0.3">
      <c r="A4022" s="1">
        <v>70209</v>
      </c>
      <c r="B4022" s="1" t="s">
        <v>260</v>
      </c>
      <c r="C4022" s="1" t="s">
        <v>231</v>
      </c>
      <c r="D4022" s="2">
        <f t="shared" si="214"/>
        <v>2019</v>
      </c>
      <c r="E4022" s="2">
        <f t="shared" si="215"/>
        <v>2</v>
      </c>
      <c r="G4022" s="4">
        <v>43521</v>
      </c>
      <c r="H4022" s="1">
        <v>6593594</v>
      </c>
      <c r="I4022" s="1">
        <v>669799</v>
      </c>
      <c r="J4022" s="1" t="s">
        <v>189</v>
      </c>
      <c r="L4022" s="1" t="str">
        <f t="shared" si="213"/>
        <v xml:space="preserve">Rösjön </v>
      </c>
      <c r="M4022" s="1" t="s">
        <v>217</v>
      </c>
      <c r="N4022" s="1">
        <v>5</v>
      </c>
      <c r="O4022" s="1">
        <v>5</v>
      </c>
      <c r="Q4022" s="1">
        <v>4.7</v>
      </c>
      <c r="R4022" s="1">
        <v>4.5</v>
      </c>
      <c r="S4022" s="1">
        <v>34</v>
      </c>
    </row>
    <row r="4023" spans="1:91" x14ac:dyDescent="0.3">
      <c r="A4023" s="1">
        <v>70210</v>
      </c>
      <c r="B4023" s="1" t="s">
        <v>260</v>
      </c>
      <c r="C4023" s="1" t="s">
        <v>231</v>
      </c>
      <c r="D4023" s="2">
        <f t="shared" si="214"/>
        <v>2019</v>
      </c>
      <c r="E4023" s="2">
        <f t="shared" si="215"/>
        <v>2</v>
      </c>
      <c r="G4023" s="4">
        <v>43521</v>
      </c>
      <c r="H4023" s="1">
        <v>6593594</v>
      </c>
      <c r="I4023" s="1">
        <v>669799</v>
      </c>
      <c r="J4023" s="1" t="s">
        <v>189</v>
      </c>
      <c r="L4023" s="1" t="str">
        <f t="shared" si="213"/>
        <v xml:space="preserve">Rösjön </v>
      </c>
      <c r="M4023" s="1" t="s">
        <v>218</v>
      </c>
      <c r="N4023" s="1">
        <v>6</v>
      </c>
      <c r="O4023" s="1">
        <v>6</v>
      </c>
      <c r="Q4023" s="1">
        <v>4.8</v>
      </c>
      <c r="R4023" s="1">
        <v>4.3</v>
      </c>
      <c r="S4023" s="1">
        <v>33</v>
      </c>
    </row>
    <row r="4024" spans="1:91" x14ac:dyDescent="0.3">
      <c r="A4024" s="1">
        <v>70211</v>
      </c>
      <c r="B4024" s="1" t="s">
        <v>260</v>
      </c>
      <c r="C4024" s="1" t="s">
        <v>231</v>
      </c>
      <c r="D4024" s="2">
        <f t="shared" si="214"/>
        <v>2019</v>
      </c>
      <c r="E4024" s="2">
        <f t="shared" si="215"/>
        <v>2</v>
      </c>
      <c r="G4024" s="4">
        <v>43521</v>
      </c>
      <c r="H4024" s="1">
        <v>6593594</v>
      </c>
      <c r="I4024" s="1">
        <v>669799</v>
      </c>
      <c r="J4024" s="1" t="s">
        <v>189</v>
      </c>
      <c r="L4024" s="1" t="str">
        <f t="shared" si="213"/>
        <v xml:space="preserve">Rösjön </v>
      </c>
      <c r="M4024" s="1" t="s">
        <v>184</v>
      </c>
      <c r="N4024" s="1">
        <v>7</v>
      </c>
      <c r="O4024" s="1">
        <v>7</v>
      </c>
      <c r="Q4024" s="1">
        <v>4.8</v>
      </c>
      <c r="R4024" s="1">
        <v>4</v>
      </c>
      <c r="S4024" s="1">
        <v>30</v>
      </c>
      <c r="W4024" s="1">
        <v>10.1008</v>
      </c>
      <c r="X4024" s="1">
        <v>2.46314924915483E-2</v>
      </c>
      <c r="Y4024" s="1">
        <v>4.5999999999999999E-2</v>
      </c>
      <c r="Z4024" s="1">
        <v>1.33</v>
      </c>
      <c r="AA4024" s="1">
        <v>1.75</v>
      </c>
      <c r="AD4024" s="1">
        <v>369.26</v>
      </c>
      <c r="AE4024" s="1">
        <v>7.3</v>
      </c>
      <c r="AK4024" s="1">
        <v>19.399999999999999</v>
      </c>
      <c r="AL4024" s="1">
        <v>864.31</v>
      </c>
    </row>
    <row r="4025" spans="1:91" x14ac:dyDescent="0.3">
      <c r="A4025" s="1">
        <v>70212</v>
      </c>
      <c r="B4025" s="1" t="s">
        <v>260</v>
      </c>
      <c r="C4025" s="1" t="s">
        <v>231</v>
      </c>
      <c r="D4025" s="2">
        <f t="shared" si="214"/>
        <v>2019</v>
      </c>
      <c r="E4025" s="2">
        <f t="shared" si="215"/>
        <v>2</v>
      </c>
      <c r="G4025" s="4">
        <v>43521</v>
      </c>
      <c r="H4025" s="1">
        <v>6594739</v>
      </c>
      <c r="I4025" s="1">
        <v>668531</v>
      </c>
      <c r="J4025" s="1" t="s">
        <v>192</v>
      </c>
      <c r="L4025" s="1" t="str">
        <f t="shared" si="213"/>
        <v xml:space="preserve">Väsjön </v>
      </c>
      <c r="M4025" s="1" t="s">
        <v>177</v>
      </c>
      <c r="N4025" s="1">
        <v>0.5</v>
      </c>
      <c r="O4025" s="1">
        <v>0.5</v>
      </c>
      <c r="P4025" s="1">
        <v>2</v>
      </c>
      <c r="Q4025" s="1">
        <v>3</v>
      </c>
      <c r="R4025" s="1">
        <v>6.3</v>
      </c>
      <c r="S4025" s="1">
        <v>46</v>
      </c>
      <c r="W4025" s="1">
        <v>73.830699999999993</v>
      </c>
      <c r="X4025" s="1">
        <v>0.22443512094013809</v>
      </c>
      <c r="Y4025" s="1">
        <v>0.13</v>
      </c>
      <c r="Z4025" s="1">
        <v>1.9</v>
      </c>
      <c r="AA4025" s="1">
        <v>8</v>
      </c>
      <c r="AD4025" s="1">
        <v>326.32</v>
      </c>
      <c r="AE4025" s="1">
        <v>7.46</v>
      </c>
      <c r="AI4025" s="1">
        <v>13.52</v>
      </c>
      <c r="AJ4025" s="1">
        <v>13.42</v>
      </c>
      <c r="AK4025" s="1">
        <v>29.07</v>
      </c>
      <c r="AL4025" s="1">
        <v>1035.99</v>
      </c>
      <c r="AR4025" s="1">
        <v>52.1</v>
      </c>
      <c r="AS4025" s="1">
        <v>0.29399999999999898</v>
      </c>
      <c r="AT4025" s="1">
        <v>4.76</v>
      </c>
      <c r="AU4025" s="1">
        <v>6.76</v>
      </c>
      <c r="AW4025" s="1">
        <v>39</v>
      </c>
      <c r="AY4025" s="1">
        <v>4.07</v>
      </c>
      <c r="AZ4025" s="1">
        <v>350</v>
      </c>
      <c r="BA4025" s="1">
        <v>0.82699999999999896</v>
      </c>
      <c r="BB4025" s="1">
        <v>38.1</v>
      </c>
      <c r="BC4025" s="1">
        <v>9.2399999999999895E-3</v>
      </c>
      <c r="BD4025" s="1">
        <v>0.19400000000000001</v>
      </c>
      <c r="BE4025" s="1">
        <v>0.52</v>
      </c>
      <c r="BF4025" s="1">
        <v>1.99</v>
      </c>
      <c r="BG4025" s="1">
        <v>1E-3</v>
      </c>
      <c r="BH4025" s="1">
        <v>197</v>
      </c>
      <c r="BI4025" s="1">
        <v>1.95</v>
      </c>
      <c r="BJ4025" s="1">
        <v>1.1000000000000001</v>
      </c>
      <c r="BK4025" s="1">
        <v>12.7</v>
      </c>
      <c r="BL4025" s="1">
        <v>0.47499999999999898</v>
      </c>
      <c r="BM4025" s="1">
        <v>138</v>
      </c>
      <c r="BN4025" s="1">
        <v>0.70899999999999896</v>
      </c>
      <c r="BO4025" s="1">
        <v>4.97</v>
      </c>
      <c r="BQ4025" s="1">
        <v>58.2</v>
      </c>
      <c r="BR4025" s="1">
        <v>9.1299999999999906E-3</v>
      </c>
      <c r="BS4025" s="1">
        <v>0.127</v>
      </c>
      <c r="BT4025" s="1">
        <v>0.153</v>
      </c>
      <c r="BU4025" s="1">
        <v>1.52</v>
      </c>
      <c r="BV4025" s="1">
        <v>180</v>
      </c>
      <c r="BW4025" s="1">
        <v>0.82299999999999895</v>
      </c>
      <c r="BX4025" s="1">
        <v>6.8900000000000003E-2</v>
      </c>
      <c r="BY4025" s="1">
        <v>4.93</v>
      </c>
      <c r="BZ4025" s="1">
        <v>52.3</v>
      </c>
      <c r="CA4025" s="1">
        <v>6.75</v>
      </c>
      <c r="CC4025" s="1">
        <v>5.8500000000000003E-2</v>
      </c>
      <c r="CD4025" s="1">
        <v>4.68</v>
      </c>
      <c r="CE4025" s="1">
        <v>38.1</v>
      </c>
      <c r="CF4025" s="1">
        <v>3.57</v>
      </c>
      <c r="CG4025" s="1">
        <v>0.68300000000000005</v>
      </c>
      <c r="CH4025" s="1">
        <v>35.4</v>
      </c>
      <c r="CI4025" s="1">
        <v>1E-3</v>
      </c>
      <c r="CJ4025" s="1">
        <v>1.99</v>
      </c>
      <c r="CK4025" s="1">
        <v>8.0299999999999905</v>
      </c>
      <c r="CL4025" s="1">
        <v>0.30099999999999899</v>
      </c>
      <c r="CM4025" s="1">
        <v>137</v>
      </c>
    </row>
    <row r="4026" spans="1:91" x14ac:dyDescent="0.3">
      <c r="A4026" s="1">
        <v>70213</v>
      </c>
      <c r="B4026" s="1" t="s">
        <v>260</v>
      </c>
      <c r="C4026" s="1" t="s">
        <v>231</v>
      </c>
      <c r="D4026" s="2">
        <f t="shared" si="214"/>
        <v>2019</v>
      </c>
      <c r="E4026" s="2">
        <f t="shared" si="215"/>
        <v>2</v>
      </c>
      <c r="G4026" s="4">
        <v>43521</v>
      </c>
      <c r="H4026" s="1">
        <v>6594739</v>
      </c>
      <c r="I4026" s="1">
        <v>668531</v>
      </c>
      <c r="J4026" s="1" t="s">
        <v>192</v>
      </c>
      <c r="L4026" s="1" t="str">
        <f t="shared" si="213"/>
        <v xml:space="preserve">Väsjön </v>
      </c>
      <c r="M4026" s="1" t="s">
        <v>211</v>
      </c>
      <c r="N4026" s="1">
        <v>1</v>
      </c>
      <c r="O4026" s="1">
        <v>1</v>
      </c>
      <c r="Q4026" s="1">
        <v>3.4</v>
      </c>
      <c r="R4026" s="1">
        <v>3.4</v>
      </c>
      <c r="S4026" s="1">
        <v>25</v>
      </c>
    </row>
    <row r="4027" spans="1:91" x14ac:dyDescent="0.3">
      <c r="A4027" s="1">
        <v>70214</v>
      </c>
      <c r="B4027" s="1" t="s">
        <v>260</v>
      </c>
      <c r="C4027" s="1" t="s">
        <v>231</v>
      </c>
      <c r="D4027" s="2">
        <f t="shared" si="214"/>
        <v>2019</v>
      </c>
      <c r="E4027" s="2">
        <f t="shared" si="215"/>
        <v>2</v>
      </c>
      <c r="G4027" s="4">
        <v>43521</v>
      </c>
      <c r="H4027" s="1">
        <v>6594739</v>
      </c>
      <c r="I4027" s="1">
        <v>668531</v>
      </c>
      <c r="J4027" s="1" t="s">
        <v>192</v>
      </c>
      <c r="L4027" s="1" t="str">
        <f t="shared" si="213"/>
        <v xml:space="preserve">Väsjön </v>
      </c>
      <c r="M4027" s="1" t="s">
        <v>212</v>
      </c>
      <c r="N4027" s="1">
        <v>2</v>
      </c>
      <c r="O4027" s="1">
        <v>2</v>
      </c>
      <c r="Q4027" s="1">
        <v>3.7</v>
      </c>
      <c r="R4027" s="1">
        <v>0.8</v>
      </c>
      <c r="S4027" s="1">
        <v>6</v>
      </c>
    </row>
    <row r="4028" spans="1:91" x14ac:dyDescent="0.3">
      <c r="A4028" s="1">
        <v>70215</v>
      </c>
      <c r="B4028" s="1" t="s">
        <v>260</v>
      </c>
      <c r="C4028" s="1" t="s">
        <v>231</v>
      </c>
      <c r="D4028" s="2">
        <f t="shared" si="214"/>
        <v>2019</v>
      </c>
      <c r="E4028" s="2">
        <f t="shared" si="215"/>
        <v>2</v>
      </c>
      <c r="G4028" s="4">
        <v>43521</v>
      </c>
      <c r="H4028" s="1">
        <v>6594739</v>
      </c>
      <c r="I4028" s="1">
        <v>668531</v>
      </c>
      <c r="J4028" s="1" t="s">
        <v>192</v>
      </c>
      <c r="L4028" s="1" t="str">
        <f t="shared" si="213"/>
        <v xml:space="preserve">Väsjön </v>
      </c>
      <c r="M4028" s="1" t="s">
        <v>184</v>
      </c>
      <c r="N4028" s="1">
        <v>2.5</v>
      </c>
      <c r="O4028" s="1">
        <v>2.5</v>
      </c>
      <c r="Q4028" s="1">
        <v>4.0999999999999996</v>
      </c>
      <c r="R4028" s="1">
        <v>0.3</v>
      </c>
      <c r="S4028" s="1">
        <v>2</v>
      </c>
      <c r="W4028" s="1">
        <v>144.8039</v>
      </c>
      <c r="X4028" s="1">
        <v>0.40084280220187379</v>
      </c>
      <c r="Y4028" s="1">
        <v>0.10299999999999999</v>
      </c>
      <c r="Z4028" s="1">
        <v>1.1599999999999999</v>
      </c>
      <c r="AA4028" s="1">
        <v>5.7</v>
      </c>
      <c r="AD4028" s="1">
        <v>200.68</v>
      </c>
      <c r="AE4028" s="1">
        <v>7.38</v>
      </c>
      <c r="AK4028" s="1">
        <v>27.99</v>
      </c>
      <c r="AL4028" s="1">
        <v>1023.13</v>
      </c>
    </row>
    <row r="4029" spans="1:91" x14ac:dyDescent="0.3">
      <c r="A4029" s="1">
        <v>70216</v>
      </c>
      <c r="B4029" s="1" t="s">
        <v>260</v>
      </c>
      <c r="C4029" s="1" t="s">
        <v>231</v>
      </c>
      <c r="D4029" s="2">
        <f t="shared" si="214"/>
        <v>2019</v>
      </c>
      <c r="E4029" s="2">
        <f t="shared" si="215"/>
        <v>2</v>
      </c>
      <c r="G4029" s="4">
        <v>43521</v>
      </c>
      <c r="H4029" s="1">
        <v>6595222</v>
      </c>
      <c r="I4029" s="1">
        <v>667935</v>
      </c>
      <c r="J4029" s="1" t="s">
        <v>190</v>
      </c>
      <c r="L4029" s="1" t="str">
        <f t="shared" si="213"/>
        <v xml:space="preserve">Snuggan </v>
      </c>
      <c r="M4029" s="1" t="s">
        <v>177</v>
      </c>
      <c r="N4029" s="1">
        <v>0.5</v>
      </c>
      <c r="O4029" s="1">
        <v>0.5</v>
      </c>
      <c r="P4029" s="1">
        <v>0.8</v>
      </c>
      <c r="Q4029" s="1">
        <v>2.1</v>
      </c>
      <c r="R4029" s="1">
        <v>8.4</v>
      </c>
      <c r="S4029" s="1">
        <v>60</v>
      </c>
      <c r="W4029" s="1">
        <v>421.6592</v>
      </c>
      <c r="X4029" s="1">
        <v>1.9805854975968099E-2</v>
      </c>
      <c r="Y4029" s="1">
        <v>0.53200000000000003</v>
      </c>
      <c r="Z4029" s="1">
        <v>0.62</v>
      </c>
      <c r="AA4029" s="1">
        <v>1.67</v>
      </c>
      <c r="AD4029" s="1">
        <v>76.09</v>
      </c>
      <c r="AE4029" s="1">
        <v>5.68</v>
      </c>
      <c r="AK4029" s="1">
        <v>28.19</v>
      </c>
      <c r="AL4029" s="1">
        <v>1382.56</v>
      </c>
    </row>
    <row r="4030" spans="1:91" x14ac:dyDescent="0.3">
      <c r="A4030" s="1">
        <v>70217</v>
      </c>
      <c r="B4030" s="1" t="s">
        <v>260</v>
      </c>
      <c r="C4030" s="1" t="s">
        <v>231</v>
      </c>
      <c r="D4030" s="2">
        <f t="shared" si="214"/>
        <v>2019</v>
      </c>
      <c r="E4030" s="2">
        <f t="shared" si="215"/>
        <v>2</v>
      </c>
      <c r="G4030" s="4">
        <v>43521</v>
      </c>
      <c r="H4030" s="1">
        <v>6595222</v>
      </c>
      <c r="I4030" s="1">
        <v>667935</v>
      </c>
      <c r="J4030" s="1" t="s">
        <v>190</v>
      </c>
      <c r="L4030" s="1" t="str">
        <f t="shared" ref="L4030:L4093" si="216">CONCATENATE(J4030," ",K4030)</f>
        <v xml:space="preserve">Snuggan </v>
      </c>
      <c r="M4030" s="1" t="s">
        <v>211</v>
      </c>
      <c r="N4030" s="1">
        <v>1</v>
      </c>
      <c r="O4030" s="1">
        <v>1</v>
      </c>
      <c r="Q4030" s="1">
        <v>3</v>
      </c>
      <c r="R4030" s="1">
        <v>6.8</v>
      </c>
      <c r="S4030" s="1">
        <v>50</v>
      </c>
    </row>
    <row r="4031" spans="1:91" x14ac:dyDescent="0.3">
      <c r="A4031" s="1">
        <v>70218</v>
      </c>
      <c r="B4031" s="1" t="s">
        <v>260</v>
      </c>
      <c r="C4031" s="1" t="s">
        <v>231</v>
      </c>
      <c r="D4031" s="2">
        <f t="shared" si="214"/>
        <v>2019</v>
      </c>
      <c r="E4031" s="2">
        <f t="shared" si="215"/>
        <v>2</v>
      </c>
      <c r="G4031" s="4">
        <v>43521</v>
      </c>
      <c r="H4031" s="1">
        <v>6595222</v>
      </c>
      <c r="I4031" s="1">
        <v>667935</v>
      </c>
      <c r="J4031" s="1" t="s">
        <v>190</v>
      </c>
      <c r="L4031" s="1" t="str">
        <f t="shared" si="216"/>
        <v xml:space="preserve">Snuggan </v>
      </c>
      <c r="M4031" s="1" t="s">
        <v>212</v>
      </c>
      <c r="N4031" s="1">
        <v>2</v>
      </c>
      <c r="O4031" s="1">
        <v>2</v>
      </c>
      <c r="Q4031" s="1">
        <v>4.0999999999999996</v>
      </c>
      <c r="R4031" s="1">
        <v>3.3</v>
      </c>
      <c r="S4031" s="1">
        <v>25</v>
      </c>
    </row>
    <row r="4032" spans="1:91" x14ac:dyDescent="0.3">
      <c r="A4032" s="1">
        <v>70219</v>
      </c>
      <c r="B4032" s="1" t="s">
        <v>260</v>
      </c>
      <c r="C4032" s="1" t="s">
        <v>231</v>
      </c>
      <c r="D4032" s="2">
        <f t="shared" si="214"/>
        <v>2019</v>
      </c>
      <c r="E4032" s="2">
        <f t="shared" si="215"/>
        <v>2</v>
      </c>
      <c r="G4032" s="4">
        <v>43521</v>
      </c>
      <c r="H4032" s="1">
        <v>6595222</v>
      </c>
      <c r="I4032" s="1">
        <v>667935</v>
      </c>
      <c r="J4032" s="1" t="s">
        <v>190</v>
      </c>
      <c r="L4032" s="1" t="str">
        <f t="shared" si="216"/>
        <v xml:space="preserve">Snuggan </v>
      </c>
      <c r="M4032" s="1" t="s">
        <v>184</v>
      </c>
      <c r="N4032" s="1">
        <v>3</v>
      </c>
      <c r="O4032" s="1">
        <v>3</v>
      </c>
      <c r="Q4032" s="1">
        <v>4.4000000000000004</v>
      </c>
      <c r="R4032" s="1">
        <v>4.0999999999999996</v>
      </c>
      <c r="S4032" s="1">
        <v>32</v>
      </c>
      <c r="W4032" s="1">
        <v>490.86020000000002</v>
      </c>
      <c r="X4032" s="1">
        <v>2.7225401549072901E-2</v>
      </c>
      <c r="Y4032" s="1">
        <v>0.59</v>
      </c>
      <c r="Z4032" s="1">
        <v>0.7</v>
      </c>
      <c r="AA4032" s="1">
        <v>1.88</v>
      </c>
      <c r="AD4032" s="1">
        <v>60.17</v>
      </c>
      <c r="AE4032" s="1">
        <v>5.67</v>
      </c>
      <c r="AK4032" s="1">
        <v>25.84</v>
      </c>
      <c r="AL4032" s="1">
        <v>1397.17</v>
      </c>
    </row>
    <row r="4033" spans="1:38" x14ac:dyDescent="0.3">
      <c r="A4033" s="1">
        <v>70220</v>
      </c>
      <c r="B4033" s="1" t="s">
        <v>260</v>
      </c>
      <c r="C4033" s="1" t="s">
        <v>231</v>
      </c>
      <c r="D4033" s="2">
        <f t="shared" si="214"/>
        <v>2019</v>
      </c>
      <c r="E4033" s="2">
        <f t="shared" si="215"/>
        <v>2</v>
      </c>
      <c r="G4033" s="4">
        <v>43521</v>
      </c>
      <c r="H4033" s="1">
        <v>6597388</v>
      </c>
      <c r="I4033" s="1">
        <v>674663</v>
      </c>
      <c r="J4033" s="1" t="s">
        <v>185</v>
      </c>
      <c r="L4033" s="1" t="str">
        <f t="shared" si="216"/>
        <v xml:space="preserve">Gullsjön </v>
      </c>
      <c r="M4033" s="1" t="s">
        <v>177</v>
      </c>
      <c r="N4033" s="1">
        <v>0.5</v>
      </c>
      <c r="O4033" s="1">
        <v>0.5</v>
      </c>
      <c r="P4033" s="1">
        <v>1.5</v>
      </c>
      <c r="Q4033" s="1">
        <v>3</v>
      </c>
      <c r="R4033" s="1">
        <v>0.8</v>
      </c>
      <c r="S4033" s="1">
        <v>6</v>
      </c>
      <c r="W4033" s="1">
        <v>0</v>
      </c>
      <c r="X4033" s="1">
        <v>0</v>
      </c>
      <c r="Y4033" s="1">
        <v>0.13</v>
      </c>
      <c r="Z4033" s="1">
        <v>0.5</v>
      </c>
      <c r="AA4033" s="1">
        <v>4.3</v>
      </c>
      <c r="AD4033" s="1">
        <v>41.64</v>
      </c>
      <c r="AE4033" s="1">
        <v>6.87</v>
      </c>
      <c r="AK4033" s="1">
        <v>37.799999999999997</v>
      </c>
      <c r="AL4033" s="1">
        <v>868.75</v>
      </c>
    </row>
    <row r="4034" spans="1:38" x14ac:dyDescent="0.3">
      <c r="A4034" s="1">
        <v>70221</v>
      </c>
      <c r="B4034" s="1" t="s">
        <v>260</v>
      </c>
      <c r="C4034" s="1" t="s">
        <v>231</v>
      </c>
      <c r="D4034" s="2">
        <f t="shared" si="214"/>
        <v>2019</v>
      </c>
      <c r="E4034" s="2">
        <f t="shared" si="215"/>
        <v>2</v>
      </c>
      <c r="G4034" s="4">
        <v>43521</v>
      </c>
      <c r="H4034" s="1">
        <v>6597388</v>
      </c>
      <c r="I4034" s="1">
        <v>674663</v>
      </c>
      <c r="J4034" s="1" t="s">
        <v>185</v>
      </c>
      <c r="L4034" s="1" t="str">
        <f t="shared" si="216"/>
        <v xml:space="preserve">Gullsjön </v>
      </c>
      <c r="M4034" s="1" t="s">
        <v>211</v>
      </c>
      <c r="N4034" s="1">
        <v>1</v>
      </c>
      <c r="O4034" s="1">
        <v>1</v>
      </c>
      <c r="Q4034" s="1">
        <v>3.3</v>
      </c>
      <c r="R4034" s="1">
        <v>0.3</v>
      </c>
      <c r="S4034" s="1">
        <v>2</v>
      </c>
    </row>
    <row r="4035" spans="1:38" x14ac:dyDescent="0.3">
      <c r="A4035" s="1">
        <v>70222</v>
      </c>
      <c r="B4035" s="1" t="s">
        <v>260</v>
      </c>
      <c r="C4035" s="1" t="s">
        <v>231</v>
      </c>
      <c r="D4035" s="2">
        <f t="shared" si="214"/>
        <v>2019</v>
      </c>
      <c r="E4035" s="2">
        <f t="shared" si="215"/>
        <v>2</v>
      </c>
      <c r="G4035" s="4">
        <v>43521</v>
      </c>
      <c r="H4035" s="1">
        <v>6597388</v>
      </c>
      <c r="I4035" s="1">
        <v>674663</v>
      </c>
      <c r="J4035" s="1" t="s">
        <v>185</v>
      </c>
      <c r="L4035" s="1" t="str">
        <f t="shared" si="216"/>
        <v xml:space="preserve">Gullsjön </v>
      </c>
      <c r="M4035" s="1" t="s">
        <v>184</v>
      </c>
      <c r="N4035" s="1">
        <v>2</v>
      </c>
      <c r="O4035" s="1">
        <v>2</v>
      </c>
      <c r="Q4035" s="1">
        <v>4.2</v>
      </c>
      <c r="R4035" s="1">
        <v>0.6</v>
      </c>
      <c r="S4035" s="1">
        <v>4</v>
      </c>
      <c r="W4035" s="1">
        <v>73.072000000000003</v>
      </c>
      <c r="X4035" s="1">
        <v>5.3750102865451198E-2</v>
      </c>
      <c r="Y4035" s="1">
        <v>0.14099999999999999</v>
      </c>
      <c r="Z4035" s="1">
        <v>0</v>
      </c>
      <c r="AA4035" s="1">
        <v>7.6</v>
      </c>
      <c r="AD4035" s="1">
        <v>235.68</v>
      </c>
      <c r="AE4035" s="1">
        <v>6.8</v>
      </c>
      <c r="AK4035" s="1">
        <v>41.3</v>
      </c>
      <c r="AL4035" s="1">
        <v>1214.27</v>
      </c>
    </row>
    <row r="4036" spans="1:38" x14ac:dyDescent="0.3">
      <c r="A4036" s="1">
        <v>70223</v>
      </c>
      <c r="B4036" s="1" t="s">
        <v>260</v>
      </c>
      <c r="C4036" s="1" t="s">
        <v>231</v>
      </c>
      <c r="D4036" s="2">
        <f t="shared" si="214"/>
        <v>2019</v>
      </c>
      <c r="E4036" s="2">
        <f t="shared" si="215"/>
        <v>2</v>
      </c>
      <c r="G4036" s="4">
        <v>43521</v>
      </c>
      <c r="H4036" s="1">
        <v>6595294</v>
      </c>
      <c r="I4036" s="1">
        <v>670194</v>
      </c>
      <c r="J4036" s="1" t="s">
        <v>207</v>
      </c>
      <c r="L4036" s="1" t="str">
        <f t="shared" si="216"/>
        <v xml:space="preserve">Käringsjön </v>
      </c>
      <c r="M4036" s="1" t="s">
        <v>177</v>
      </c>
      <c r="N4036" s="1">
        <v>0.5</v>
      </c>
      <c r="O4036" s="1">
        <v>1</v>
      </c>
      <c r="P4036" s="1">
        <v>0.8</v>
      </c>
      <c r="Q4036" s="1">
        <v>2.2000000000000002</v>
      </c>
      <c r="R4036" s="1">
        <v>4.5999999999999996</v>
      </c>
      <c r="S4036" s="1">
        <v>33</v>
      </c>
      <c r="W4036" s="1">
        <v>0</v>
      </c>
      <c r="X4036" s="1">
        <v>0</v>
      </c>
      <c r="Y4036" s="1">
        <v>0.55000000000000004</v>
      </c>
      <c r="Z4036" s="1">
        <v>1.28</v>
      </c>
      <c r="AA4036" s="1">
        <v>1.87</v>
      </c>
      <c r="AD4036" s="1">
        <v>167.3</v>
      </c>
      <c r="AE4036" s="1">
        <v>6.93</v>
      </c>
      <c r="AK4036" s="1">
        <v>26.58</v>
      </c>
      <c r="AL4036" s="1">
        <v>1207.9000000000001</v>
      </c>
    </row>
    <row r="4037" spans="1:38" x14ac:dyDescent="0.3">
      <c r="A4037" s="1">
        <v>70224</v>
      </c>
      <c r="B4037" s="1" t="s">
        <v>260</v>
      </c>
      <c r="C4037" s="1" t="s">
        <v>231</v>
      </c>
      <c r="D4037" s="2">
        <f t="shared" si="214"/>
        <v>2019</v>
      </c>
      <c r="E4037" s="2">
        <f t="shared" si="215"/>
        <v>2</v>
      </c>
      <c r="G4037" s="4">
        <v>43521</v>
      </c>
      <c r="H4037" s="1">
        <v>6595294</v>
      </c>
      <c r="I4037" s="1">
        <v>670194</v>
      </c>
      <c r="J4037" s="1" t="s">
        <v>207</v>
      </c>
      <c r="L4037" s="1" t="str">
        <f t="shared" si="216"/>
        <v xml:space="preserve">Käringsjön </v>
      </c>
      <c r="M4037" s="1" t="s">
        <v>211</v>
      </c>
      <c r="N4037" s="1">
        <v>1</v>
      </c>
      <c r="O4037" s="1">
        <v>1</v>
      </c>
      <c r="Q4037" s="1">
        <v>2.6</v>
      </c>
      <c r="R4037" s="1">
        <v>3</v>
      </c>
      <c r="S4037" s="1">
        <v>22</v>
      </c>
    </row>
    <row r="4038" spans="1:38" x14ac:dyDescent="0.3">
      <c r="A4038" s="1">
        <v>70225</v>
      </c>
      <c r="B4038" s="1" t="s">
        <v>260</v>
      </c>
      <c r="C4038" s="1" t="s">
        <v>231</v>
      </c>
      <c r="D4038" s="2">
        <f t="shared" ref="D4038:D4101" si="217">YEAR(G4038)</f>
        <v>2019</v>
      </c>
      <c r="E4038" s="2">
        <f t="shared" ref="E4038:E4101" si="218">MONTH(G4038)</f>
        <v>2</v>
      </c>
      <c r="G4038" s="4">
        <v>43521</v>
      </c>
      <c r="H4038" s="1">
        <v>6595294</v>
      </c>
      <c r="I4038" s="1">
        <v>670194</v>
      </c>
      <c r="J4038" s="1" t="s">
        <v>207</v>
      </c>
      <c r="L4038" s="1" t="str">
        <f t="shared" si="216"/>
        <v xml:space="preserve">Käringsjön </v>
      </c>
      <c r="M4038" s="1" t="s">
        <v>212</v>
      </c>
      <c r="N4038" s="1">
        <v>2</v>
      </c>
      <c r="O4038" s="1">
        <v>2</v>
      </c>
      <c r="Q4038" s="1">
        <v>3.7</v>
      </c>
      <c r="R4038" s="1">
        <v>0.9</v>
      </c>
      <c r="S4038" s="1">
        <v>7</v>
      </c>
    </row>
    <row r="4039" spans="1:38" x14ac:dyDescent="0.3">
      <c r="A4039" s="1">
        <v>70226</v>
      </c>
      <c r="B4039" s="1" t="s">
        <v>260</v>
      </c>
      <c r="C4039" s="1" t="s">
        <v>231</v>
      </c>
      <c r="D4039" s="2">
        <f t="shared" si="217"/>
        <v>2019</v>
      </c>
      <c r="E4039" s="2">
        <f t="shared" si="218"/>
        <v>2</v>
      </c>
      <c r="G4039" s="4">
        <v>43521</v>
      </c>
      <c r="H4039" s="1">
        <v>6595294</v>
      </c>
      <c r="I4039" s="1">
        <v>670194</v>
      </c>
      <c r="J4039" s="1" t="s">
        <v>207</v>
      </c>
      <c r="L4039" s="1" t="str">
        <f t="shared" si="216"/>
        <v xml:space="preserve">Käringsjön </v>
      </c>
      <c r="M4039" s="1" t="s">
        <v>213</v>
      </c>
      <c r="N4039" s="1">
        <v>3</v>
      </c>
      <c r="O4039" s="1">
        <v>3</v>
      </c>
      <c r="Q4039" s="1">
        <v>4.0999999999999996</v>
      </c>
      <c r="R4039" s="1">
        <v>0.3</v>
      </c>
      <c r="S4039" s="1">
        <v>2</v>
      </c>
    </row>
    <row r="4040" spans="1:38" x14ac:dyDescent="0.3">
      <c r="A4040" s="1">
        <v>70227</v>
      </c>
      <c r="B4040" s="1" t="s">
        <v>260</v>
      </c>
      <c r="C4040" s="1" t="s">
        <v>231</v>
      </c>
      <c r="D4040" s="2">
        <f t="shared" si="217"/>
        <v>2019</v>
      </c>
      <c r="E4040" s="2">
        <f t="shared" si="218"/>
        <v>2</v>
      </c>
      <c r="G4040" s="4">
        <v>43521</v>
      </c>
      <c r="H4040" s="1">
        <v>6595294</v>
      </c>
      <c r="I4040" s="1">
        <v>670194</v>
      </c>
      <c r="J4040" s="1" t="s">
        <v>207</v>
      </c>
      <c r="L4040" s="1" t="str">
        <f t="shared" si="216"/>
        <v xml:space="preserve">Käringsjön </v>
      </c>
      <c r="M4040" s="1" t="s">
        <v>184</v>
      </c>
      <c r="N4040" s="1">
        <v>4</v>
      </c>
      <c r="O4040" s="1">
        <v>4</v>
      </c>
      <c r="Q4040" s="1">
        <v>4.4000000000000004</v>
      </c>
      <c r="R4040" s="1">
        <v>0.2</v>
      </c>
      <c r="S4040" s="1">
        <v>1</v>
      </c>
      <c r="W4040" s="1">
        <v>11.763400000000001</v>
      </c>
      <c r="X4040" s="1">
        <v>8.7952581865852995E-3</v>
      </c>
      <c r="Y4040" s="1">
        <v>0.59899999999999998</v>
      </c>
      <c r="Z4040" s="1">
        <v>7.26</v>
      </c>
      <c r="AA4040" s="1">
        <v>2.7</v>
      </c>
      <c r="AD4040" s="1">
        <v>199.93</v>
      </c>
      <c r="AE4040" s="1">
        <v>6.8</v>
      </c>
      <c r="AK4040" s="1">
        <v>28.74</v>
      </c>
      <c r="AL4040" s="1">
        <v>1259.19</v>
      </c>
    </row>
    <row r="4041" spans="1:38" x14ac:dyDescent="0.3">
      <c r="A4041" s="1">
        <v>70228</v>
      </c>
      <c r="B4041" s="1" t="s">
        <v>260</v>
      </c>
      <c r="C4041" s="1" t="s">
        <v>231</v>
      </c>
      <c r="D4041" s="2">
        <f t="shared" si="217"/>
        <v>2019</v>
      </c>
      <c r="E4041" s="2">
        <f t="shared" si="218"/>
        <v>2</v>
      </c>
      <c r="G4041" s="4">
        <v>43521</v>
      </c>
      <c r="H4041" s="1">
        <v>6594218</v>
      </c>
      <c r="I4041" s="1">
        <v>670947</v>
      </c>
      <c r="J4041" s="1" t="s">
        <v>201</v>
      </c>
      <c r="L4041" s="1" t="str">
        <f t="shared" si="216"/>
        <v xml:space="preserve">Mörtsjön </v>
      </c>
      <c r="M4041" s="1" t="s">
        <v>177</v>
      </c>
      <c r="N4041" s="1">
        <v>0.5</v>
      </c>
      <c r="O4041" s="1">
        <v>0.5</v>
      </c>
      <c r="P4041" s="1">
        <v>2.9</v>
      </c>
      <c r="Q4041" s="1">
        <v>2.9</v>
      </c>
      <c r="R4041" s="1">
        <v>6.3</v>
      </c>
      <c r="S4041" s="1">
        <v>46</v>
      </c>
      <c r="W4041" s="1">
        <v>26.656199999999998</v>
      </c>
      <c r="X4041" s="1">
        <v>6.1009580292782799E-2</v>
      </c>
      <c r="Y4041" s="1">
        <v>0.112</v>
      </c>
      <c r="Z4041" s="1">
        <v>4.43</v>
      </c>
      <c r="AA4041" s="1">
        <v>1.7</v>
      </c>
      <c r="AD4041" s="1">
        <v>434.33</v>
      </c>
      <c r="AE4041" s="1">
        <v>7.34</v>
      </c>
      <c r="AK4041" s="1">
        <v>25.84</v>
      </c>
      <c r="AL4041" s="1">
        <v>1035.8399999999999</v>
      </c>
    </row>
    <row r="4042" spans="1:38" x14ac:dyDescent="0.3">
      <c r="A4042" s="1">
        <v>70229</v>
      </c>
      <c r="B4042" s="1" t="s">
        <v>260</v>
      </c>
      <c r="C4042" s="1" t="s">
        <v>231</v>
      </c>
      <c r="D4042" s="2">
        <f t="shared" si="217"/>
        <v>2019</v>
      </c>
      <c r="E4042" s="2">
        <f t="shared" si="218"/>
        <v>2</v>
      </c>
      <c r="G4042" s="4">
        <v>43521</v>
      </c>
      <c r="H4042" s="1">
        <v>6594218</v>
      </c>
      <c r="I4042" s="1">
        <v>670947</v>
      </c>
      <c r="J4042" s="1" t="s">
        <v>201</v>
      </c>
      <c r="L4042" s="1" t="str">
        <f t="shared" si="216"/>
        <v xml:space="preserve">Mörtsjön </v>
      </c>
      <c r="M4042" s="1" t="s">
        <v>211</v>
      </c>
      <c r="N4042" s="1">
        <v>1</v>
      </c>
      <c r="O4042" s="1">
        <v>1</v>
      </c>
      <c r="Q4042" s="1">
        <v>3.4</v>
      </c>
      <c r="R4042" s="1">
        <v>5.6</v>
      </c>
      <c r="S4042" s="1">
        <v>41</v>
      </c>
    </row>
    <row r="4043" spans="1:38" x14ac:dyDescent="0.3">
      <c r="A4043" s="1">
        <v>70230</v>
      </c>
      <c r="B4043" s="1" t="s">
        <v>260</v>
      </c>
      <c r="C4043" s="1" t="s">
        <v>231</v>
      </c>
      <c r="D4043" s="2">
        <f t="shared" si="217"/>
        <v>2019</v>
      </c>
      <c r="E4043" s="2">
        <f t="shared" si="218"/>
        <v>2</v>
      </c>
      <c r="G4043" s="4">
        <v>43521</v>
      </c>
      <c r="H4043" s="1">
        <v>6594218</v>
      </c>
      <c r="I4043" s="1">
        <v>670947</v>
      </c>
      <c r="J4043" s="1" t="s">
        <v>201</v>
      </c>
      <c r="L4043" s="1" t="str">
        <f t="shared" si="216"/>
        <v xml:space="preserve">Mörtsjön </v>
      </c>
      <c r="M4043" s="1" t="s">
        <v>212</v>
      </c>
      <c r="N4043" s="1">
        <v>2</v>
      </c>
      <c r="O4043" s="1">
        <v>2</v>
      </c>
      <c r="Q4043" s="1">
        <v>4.5999999999999996</v>
      </c>
      <c r="R4043" s="1">
        <v>1.1000000000000001</v>
      </c>
      <c r="S4043" s="1">
        <v>8</v>
      </c>
    </row>
    <row r="4044" spans="1:38" x14ac:dyDescent="0.3">
      <c r="A4044" s="1">
        <v>70231</v>
      </c>
      <c r="B4044" s="1" t="s">
        <v>260</v>
      </c>
      <c r="C4044" s="1" t="s">
        <v>231</v>
      </c>
      <c r="D4044" s="2">
        <f t="shared" si="217"/>
        <v>2019</v>
      </c>
      <c r="E4044" s="2">
        <f t="shared" si="218"/>
        <v>2</v>
      </c>
      <c r="G4044" s="4">
        <v>43521</v>
      </c>
      <c r="H4044" s="1">
        <v>6594218</v>
      </c>
      <c r="I4044" s="1">
        <v>670947</v>
      </c>
      <c r="J4044" s="1" t="s">
        <v>201</v>
      </c>
      <c r="L4044" s="1" t="str">
        <f t="shared" si="216"/>
        <v xml:space="preserve">Mörtsjön </v>
      </c>
      <c r="M4044" s="1" t="s">
        <v>213</v>
      </c>
      <c r="N4044" s="1">
        <v>3</v>
      </c>
      <c r="O4044" s="1">
        <v>3</v>
      </c>
      <c r="Q4044" s="1">
        <v>4.7</v>
      </c>
      <c r="R4044" s="1">
        <v>3.7</v>
      </c>
      <c r="S4044" s="1">
        <v>28</v>
      </c>
    </row>
    <row r="4045" spans="1:38" x14ac:dyDescent="0.3">
      <c r="A4045" s="1">
        <v>70232</v>
      </c>
      <c r="B4045" s="1" t="s">
        <v>260</v>
      </c>
      <c r="C4045" s="1" t="s">
        <v>231</v>
      </c>
      <c r="D4045" s="2">
        <f t="shared" si="217"/>
        <v>2019</v>
      </c>
      <c r="E4045" s="2">
        <f t="shared" si="218"/>
        <v>2</v>
      </c>
      <c r="G4045" s="4">
        <v>43521</v>
      </c>
      <c r="H4045" s="1">
        <v>6594218</v>
      </c>
      <c r="I4045" s="1">
        <v>670947</v>
      </c>
      <c r="J4045" s="1" t="s">
        <v>201</v>
      </c>
      <c r="L4045" s="1" t="str">
        <f t="shared" si="216"/>
        <v xml:space="preserve">Mörtsjön </v>
      </c>
      <c r="M4045" s="1" t="s">
        <v>184</v>
      </c>
      <c r="N4045" s="1">
        <v>4</v>
      </c>
      <c r="O4045" s="1">
        <v>4</v>
      </c>
      <c r="Q4045" s="1">
        <v>4.8</v>
      </c>
      <c r="R4045" s="1">
        <v>4.2</v>
      </c>
      <c r="S4045" s="1">
        <v>32</v>
      </c>
      <c r="W4045" s="1">
        <v>63.877699999999997</v>
      </c>
      <c r="X4045" s="1">
        <v>0.15577014572384121</v>
      </c>
      <c r="Y4045" s="1">
        <v>0.13100000000000001</v>
      </c>
      <c r="Z4045" s="1">
        <v>7.86</v>
      </c>
      <c r="AA4045" s="1">
        <v>2.2000000000000002</v>
      </c>
      <c r="AD4045" s="1">
        <v>849.19</v>
      </c>
      <c r="AE4045" s="1">
        <v>7.3</v>
      </c>
      <c r="AK4045" s="1">
        <v>28.15</v>
      </c>
      <c r="AL4045" s="1">
        <v>1433.7</v>
      </c>
    </row>
    <row r="4046" spans="1:38" x14ac:dyDescent="0.3">
      <c r="A4046" s="1">
        <v>70233</v>
      </c>
      <c r="B4046" s="1" t="s">
        <v>260</v>
      </c>
      <c r="C4046" s="1" t="s">
        <v>231</v>
      </c>
      <c r="D4046" s="2">
        <f t="shared" si="217"/>
        <v>2019</v>
      </c>
      <c r="E4046" s="2">
        <f t="shared" si="218"/>
        <v>2</v>
      </c>
      <c r="G4046" s="4">
        <v>43521</v>
      </c>
      <c r="H4046" s="1">
        <v>6598995</v>
      </c>
      <c r="I4046" s="1">
        <v>667864</v>
      </c>
      <c r="J4046" s="1" t="s">
        <v>186</v>
      </c>
      <c r="K4046" s="29" t="s">
        <v>211</v>
      </c>
      <c r="L4046" s="1" t="str">
        <f t="shared" si="216"/>
        <v>Norrviken 1</v>
      </c>
      <c r="M4046" s="1" t="s">
        <v>177</v>
      </c>
      <c r="N4046" s="1">
        <v>0.5</v>
      </c>
      <c r="O4046" s="1">
        <v>0.5</v>
      </c>
      <c r="P4046" s="1">
        <v>1.5</v>
      </c>
      <c r="Q4046" s="1">
        <v>1.1000000000000001</v>
      </c>
      <c r="R4046" s="1">
        <v>10.7</v>
      </c>
      <c r="S4046" s="1">
        <v>77</v>
      </c>
      <c r="W4046" s="1">
        <v>144.5583</v>
      </c>
      <c r="X4046" s="1">
        <v>0.32715044923857578</v>
      </c>
      <c r="Y4046" s="1">
        <v>7.1999999999999995E-2</v>
      </c>
      <c r="Z4046" s="1">
        <v>2.38</v>
      </c>
      <c r="AA4046" s="1">
        <v>6</v>
      </c>
      <c r="AD4046" s="1">
        <v>1081.56</v>
      </c>
      <c r="AE4046" s="1">
        <v>7.4</v>
      </c>
      <c r="AK4046" s="1">
        <v>44.07</v>
      </c>
      <c r="AL4046" s="1">
        <v>1811.73</v>
      </c>
    </row>
    <row r="4047" spans="1:38" x14ac:dyDescent="0.3">
      <c r="A4047" s="1">
        <v>70234</v>
      </c>
      <c r="B4047" s="1" t="s">
        <v>260</v>
      </c>
      <c r="C4047" s="1" t="s">
        <v>231</v>
      </c>
      <c r="D4047" s="2">
        <f t="shared" si="217"/>
        <v>2019</v>
      </c>
      <c r="E4047" s="2">
        <f t="shared" si="218"/>
        <v>2</v>
      </c>
      <c r="G4047" s="4">
        <v>43521</v>
      </c>
      <c r="H4047" s="1">
        <v>6598995</v>
      </c>
      <c r="I4047" s="1">
        <v>667864</v>
      </c>
      <c r="J4047" s="1" t="s">
        <v>186</v>
      </c>
      <c r="K4047" s="29" t="s">
        <v>211</v>
      </c>
      <c r="L4047" s="1" t="str">
        <f t="shared" si="216"/>
        <v>Norrviken 1</v>
      </c>
      <c r="M4047" s="1" t="s">
        <v>211</v>
      </c>
      <c r="N4047" s="1">
        <v>1</v>
      </c>
      <c r="O4047" s="1">
        <v>1</v>
      </c>
      <c r="Q4047" s="1">
        <v>2</v>
      </c>
      <c r="R4047" s="1">
        <v>11.2</v>
      </c>
      <c r="S4047" s="1">
        <v>83</v>
      </c>
    </row>
    <row r="4048" spans="1:38" x14ac:dyDescent="0.3">
      <c r="A4048" s="1">
        <v>70235</v>
      </c>
      <c r="B4048" s="1" t="s">
        <v>260</v>
      </c>
      <c r="C4048" s="1" t="s">
        <v>231</v>
      </c>
      <c r="D4048" s="2">
        <f t="shared" si="217"/>
        <v>2019</v>
      </c>
      <c r="E4048" s="2">
        <f t="shared" si="218"/>
        <v>2</v>
      </c>
      <c r="G4048" s="4">
        <v>43521</v>
      </c>
      <c r="H4048" s="1">
        <v>6598995</v>
      </c>
      <c r="I4048" s="1">
        <v>667864</v>
      </c>
      <c r="J4048" s="1" t="s">
        <v>186</v>
      </c>
      <c r="K4048" s="29" t="s">
        <v>211</v>
      </c>
      <c r="L4048" s="1" t="str">
        <f t="shared" si="216"/>
        <v>Norrviken 1</v>
      </c>
      <c r="M4048" s="1" t="s">
        <v>212</v>
      </c>
      <c r="N4048" s="1">
        <v>2</v>
      </c>
      <c r="O4048" s="1">
        <v>2</v>
      </c>
      <c r="Q4048" s="1">
        <v>2</v>
      </c>
      <c r="R4048" s="1">
        <v>9</v>
      </c>
      <c r="S4048" s="1">
        <v>67</v>
      </c>
    </row>
    <row r="4049" spans="1:38" x14ac:dyDescent="0.3">
      <c r="A4049" s="1">
        <v>70236</v>
      </c>
      <c r="B4049" s="1" t="s">
        <v>260</v>
      </c>
      <c r="C4049" s="1" t="s">
        <v>231</v>
      </c>
      <c r="D4049" s="2">
        <f t="shared" si="217"/>
        <v>2019</v>
      </c>
      <c r="E4049" s="2">
        <f t="shared" si="218"/>
        <v>2</v>
      </c>
      <c r="G4049" s="4">
        <v>43521</v>
      </c>
      <c r="H4049" s="1">
        <v>6598995</v>
      </c>
      <c r="I4049" s="1">
        <v>667864</v>
      </c>
      <c r="J4049" s="1" t="s">
        <v>186</v>
      </c>
      <c r="K4049" s="29" t="s">
        <v>211</v>
      </c>
      <c r="L4049" s="1" t="str">
        <f t="shared" si="216"/>
        <v>Norrviken 1</v>
      </c>
      <c r="M4049" s="1" t="s">
        <v>184</v>
      </c>
      <c r="N4049" s="1">
        <v>2.5</v>
      </c>
      <c r="O4049" s="1">
        <v>2.5</v>
      </c>
      <c r="Q4049" s="1">
        <v>2.1</v>
      </c>
      <c r="R4049" s="1">
        <v>8</v>
      </c>
      <c r="S4049" s="1">
        <v>59</v>
      </c>
      <c r="W4049" s="1">
        <v>162.70310000000001</v>
      </c>
      <c r="X4049" s="1">
        <v>0.35669341710237418</v>
      </c>
      <c r="Y4049" s="1">
        <v>9.2999999999999999E-2</v>
      </c>
      <c r="Z4049" s="1">
        <v>5.35</v>
      </c>
      <c r="AA4049" s="1">
        <v>9.1</v>
      </c>
      <c r="AD4049" s="1">
        <v>1498.18</v>
      </c>
      <c r="AE4049" s="1">
        <v>7.35</v>
      </c>
      <c r="AK4049" s="1">
        <v>45.5</v>
      </c>
      <c r="AL4049" s="1">
        <v>2339.6799999999998</v>
      </c>
    </row>
    <row r="4050" spans="1:38" x14ac:dyDescent="0.3">
      <c r="A4050" s="1">
        <v>70237</v>
      </c>
      <c r="B4050" s="1" t="s">
        <v>260</v>
      </c>
      <c r="C4050" s="1" t="s">
        <v>231</v>
      </c>
      <c r="D4050" s="2">
        <f t="shared" si="217"/>
        <v>2019</v>
      </c>
      <c r="E4050" s="2">
        <f t="shared" si="218"/>
        <v>2</v>
      </c>
      <c r="G4050" s="4">
        <v>43521</v>
      </c>
      <c r="H4050" s="1">
        <v>6596347</v>
      </c>
      <c r="I4050" s="1">
        <v>665902</v>
      </c>
      <c r="J4050" s="1" t="s">
        <v>186</v>
      </c>
      <c r="K4050" s="29" t="s">
        <v>212</v>
      </c>
      <c r="L4050" s="1" t="str">
        <f t="shared" si="216"/>
        <v>Norrviken 2</v>
      </c>
      <c r="M4050" s="1" t="s">
        <v>177</v>
      </c>
      <c r="N4050" s="1">
        <v>0.5</v>
      </c>
      <c r="O4050" s="1">
        <v>0.5</v>
      </c>
      <c r="P4050" s="1">
        <v>2.6</v>
      </c>
      <c r="Q4050" s="1">
        <v>3.1</v>
      </c>
      <c r="R4050" s="1">
        <v>13.1</v>
      </c>
      <c r="S4050" s="1">
        <v>101</v>
      </c>
      <c r="W4050" s="1">
        <v>1.8130999999999999</v>
      </c>
      <c r="X4050" s="1">
        <v>1.6302480557615101E-2</v>
      </c>
      <c r="Y4050" s="1">
        <v>3.9E-2</v>
      </c>
      <c r="Z4050" s="1">
        <v>30.96</v>
      </c>
      <c r="AA4050" s="1">
        <v>3.2</v>
      </c>
      <c r="AD4050" s="1">
        <v>254.08</v>
      </c>
      <c r="AE4050" s="1">
        <v>7.93</v>
      </c>
      <c r="AK4050" s="1">
        <v>76.06</v>
      </c>
      <c r="AL4050" s="1">
        <v>944.78</v>
      </c>
    </row>
    <row r="4051" spans="1:38" x14ac:dyDescent="0.3">
      <c r="A4051" s="1">
        <v>70238</v>
      </c>
      <c r="B4051" s="1" t="s">
        <v>260</v>
      </c>
      <c r="C4051" s="1" t="s">
        <v>231</v>
      </c>
      <c r="D4051" s="2">
        <f t="shared" si="217"/>
        <v>2019</v>
      </c>
      <c r="E4051" s="2">
        <f t="shared" si="218"/>
        <v>2</v>
      </c>
      <c r="G4051" s="4">
        <v>43521</v>
      </c>
      <c r="H4051" s="1">
        <v>6596347</v>
      </c>
      <c r="I4051" s="1">
        <v>665902</v>
      </c>
      <c r="J4051" s="1" t="s">
        <v>186</v>
      </c>
      <c r="K4051" s="29" t="s">
        <v>212</v>
      </c>
      <c r="L4051" s="1" t="str">
        <f t="shared" si="216"/>
        <v>Norrviken 2</v>
      </c>
      <c r="M4051" s="1" t="s">
        <v>211</v>
      </c>
      <c r="N4051" s="1">
        <v>1</v>
      </c>
      <c r="O4051" s="1">
        <v>1</v>
      </c>
      <c r="Q4051" s="1">
        <v>3.5</v>
      </c>
      <c r="R4051" s="1">
        <v>12.9</v>
      </c>
      <c r="S4051" s="1">
        <v>99</v>
      </c>
    </row>
    <row r="4052" spans="1:38" x14ac:dyDescent="0.3">
      <c r="A4052" s="1">
        <v>70239</v>
      </c>
      <c r="B4052" s="1" t="s">
        <v>260</v>
      </c>
      <c r="C4052" s="1" t="s">
        <v>231</v>
      </c>
      <c r="D4052" s="2">
        <f t="shared" si="217"/>
        <v>2019</v>
      </c>
      <c r="E4052" s="2">
        <f t="shared" si="218"/>
        <v>2</v>
      </c>
      <c r="G4052" s="4">
        <v>43521</v>
      </c>
      <c r="H4052" s="1">
        <v>6596347</v>
      </c>
      <c r="I4052" s="1">
        <v>665902</v>
      </c>
      <c r="J4052" s="1" t="s">
        <v>186</v>
      </c>
      <c r="K4052" s="29" t="s">
        <v>212</v>
      </c>
      <c r="L4052" s="1" t="str">
        <f t="shared" si="216"/>
        <v>Norrviken 2</v>
      </c>
      <c r="M4052" s="1" t="s">
        <v>212</v>
      </c>
      <c r="N4052" s="1">
        <v>2</v>
      </c>
      <c r="O4052" s="1">
        <v>2</v>
      </c>
      <c r="Q4052" s="1">
        <v>3.4</v>
      </c>
      <c r="R4052" s="1">
        <v>11.4</v>
      </c>
      <c r="S4052" s="1">
        <v>88</v>
      </c>
    </row>
    <row r="4053" spans="1:38" x14ac:dyDescent="0.3">
      <c r="A4053" s="1">
        <v>70240</v>
      </c>
      <c r="B4053" s="1" t="s">
        <v>260</v>
      </c>
      <c r="C4053" s="1" t="s">
        <v>231</v>
      </c>
      <c r="D4053" s="2">
        <f t="shared" si="217"/>
        <v>2019</v>
      </c>
      <c r="E4053" s="2">
        <f t="shared" si="218"/>
        <v>2</v>
      </c>
      <c r="G4053" s="4">
        <v>43521</v>
      </c>
      <c r="H4053" s="1">
        <v>6596347</v>
      </c>
      <c r="I4053" s="1">
        <v>665902</v>
      </c>
      <c r="J4053" s="1" t="s">
        <v>186</v>
      </c>
      <c r="K4053" s="29" t="s">
        <v>212</v>
      </c>
      <c r="L4053" s="1" t="str">
        <f t="shared" si="216"/>
        <v>Norrviken 2</v>
      </c>
      <c r="M4053" s="1" t="s">
        <v>213</v>
      </c>
      <c r="N4053" s="1">
        <v>3</v>
      </c>
      <c r="O4053" s="1">
        <v>3</v>
      </c>
      <c r="Q4053" s="1">
        <v>3.3</v>
      </c>
      <c r="R4053" s="1">
        <v>10.8</v>
      </c>
      <c r="S4053" s="1">
        <v>83</v>
      </c>
    </row>
    <row r="4054" spans="1:38" x14ac:dyDescent="0.3">
      <c r="A4054" s="1">
        <v>70241</v>
      </c>
      <c r="B4054" s="1" t="s">
        <v>260</v>
      </c>
      <c r="C4054" s="1" t="s">
        <v>231</v>
      </c>
      <c r="D4054" s="2">
        <f t="shared" si="217"/>
        <v>2019</v>
      </c>
      <c r="E4054" s="2">
        <f t="shared" si="218"/>
        <v>2</v>
      </c>
      <c r="G4054" s="4">
        <v>43521</v>
      </c>
      <c r="H4054" s="1">
        <v>6596347</v>
      </c>
      <c r="I4054" s="1">
        <v>665902</v>
      </c>
      <c r="J4054" s="1" t="s">
        <v>186</v>
      </c>
      <c r="K4054" s="29" t="s">
        <v>212</v>
      </c>
      <c r="L4054" s="1" t="str">
        <f t="shared" si="216"/>
        <v>Norrviken 2</v>
      </c>
      <c r="M4054" s="1" t="s">
        <v>214</v>
      </c>
      <c r="N4054" s="1">
        <v>4</v>
      </c>
      <c r="O4054" s="1">
        <v>4</v>
      </c>
      <c r="Q4054" s="1">
        <v>3.3</v>
      </c>
      <c r="R4054" s="1">
        <v>10.7</v>
      </c>
      <c r="S4054" s="1">
        <v>82</v>
      </c>
    </row>
    <row r="4055" spans="1:38" x14ac:dyDescent="0.3">
      <c r="A4055" s="1">
        <v>70242</v>
      </c>
      <c r="B4055" s="1" t="s">
        <v>260</v>
      </c>
      <c r="C4055" s="1" t="s">
        <v>231</v>
      </c>
      <c r="D4055" s="2">
        <f t="shared" si="217"/>
        <v>2019</v>
      </c>
      <c r="E4055" s="2">
        <f t="shared" si="218"/>
        <v>2</v>
      </c>
      <c r="G4055" s="4">
        <v>43521</v>
      </c>
      <c r="H4055" s="1">
        <v>6596347</v>
      </c>
      <c r="I4055" s="1">
        <v>665902</v>
      </c>
      <c r="J4055" s="1" t="s">
        <v>186</v>
      </c>
      <c r="K4055" s="29" t="s">
        <v>212</v>
      </c>
      <c r="L4055" s="1" t="str">
        <f t="shared" si="216"/>
        <v>Norrviken 2</v>
      </c>
      <c r="M4055" s="1" t="s">
        <v>217</v>
      </c>
      <c r="N4055" s="1">
        <v>5</v>
      </c>
      <c r="O4055" s="1">
        <v>5</v>
      </c>
      <c r="Q4055" s="1">
        <v>3.3</v>
      </c>
      <c r="R4055" s="1">
        <v>10.6</v>
      </c>
      <c r="S4055" s="1">
        <v>81</v>
      </c>
    </row>
    <row r="4056" spans="1:38" x14ac:dyDescent="0.3">
      <c r="A4056" s="1">
        <v>70243</v>
      </c>
      <c r="B4056" s="1" t="s">
        <v>260</v>
      </c>
      <c r="C4056" s="1" t="s">
        <v>231</v>
      </c>
      <c r="D4056" s="2">
        <f t="shared" si="217"/>
        <v>2019</v>
      </c>
      <c r="E4056" s="2">
        <f t="shared" si="218"/>
        <v>2</v>
      </c>
      <c r="G4056" s="4">
        <v>43521</v>
      </c>
      <c r="H4056" s="1">
        <v>6596347</v>
      </c>
      <c r="I4056" s="1">
        <v>665902</v>
      </c>
      <c r="J4056" s="1" t="s">
        <v>186</v>
      </c>
      <c r="K4056" s="29" t="s">
        <v>212</v>
      </c>
      <c r="L4056" s="1" t="str">
        <f t="shared" si="216"/>
        <v>Norrviken 2</v>
      </c>
      <c r="M4056" s="1" t="s">
        <v>218</v>
      </c>
      <c r="N4056" s="1">
        <v>6</v>
      </c>
      <c r="O4056" s="1">
        <v>6</v>
      </c>
      <c r="Q4056" s="1">
        <v>3.3</v>
      </c>
      <c r="R4056" s="1">
        <v>10.4</v>
      </c>
      <c r="S4056" s="1">
        <v>80</v>
      </c>
    </row>
    <row r="4057" spans="1:38" x14ac:dyDescent="0.3">
      <c r="A4057" s="1">
        <v>70244</v>
      </c>
      <c r="B4057" s="1" t="s">
        <v>260</v>
      </c>
      <c r="C4057" s="1" t="s">
        <v>231</v>
      </c>
      <c r="D4057" s="2">
        <f t="shared" si="217"/>
        <v>2019</v>
      </c>
      <c r="E4057" s="2">
        <f t="shared" si="218"/>
        <v>2</v>
      </c>
      <c r="G4057" s="4">
        <v>43521</v>
      </c>
      <c r="H4057" s="1">
        <v>6596347</v>
      </c>
      <c r="I4057" s="1">
        <v>665902</v>
      </c>
      <c r="J4057" s="1" t="s">
        <v>186</v>
      </c>
      <c r="K4057" s="29" t="s">
        <v>212</v>
      </c>
      <c r="L4057" s="1" t="str">
        <f t="shared" si="216"/>
        <v>Norrviken 2</v>
      </c>
      <c r="M4057" s="1" t="s">
        <v>219</v>
      </c>
      <c r="N4057" s="1">
        <v>7</v>
      </c>
      <c r="O4057" s="1">
        <v>7</v>
      </c>
      <c r="Q4057" s="1">
        <v>3</v>
      </c>
      <c r="R4057" s="1">
        <v>9.4</v>
      </c>
      <c r="S4057" s="1">
        <v>72</v>
      </c>
    </row>
    <row r="4058" spans="1:38" x14ac:dyDescent="0.3">
      <c r="A4058" s="1">
        <v>70245</v>
      </c>
      <c r="B4058" s="1" t="s">
        <v>260</v>
      </c>
      <c r="C4058" s="1" t="s">
        <v>231</v>
      </c>
      <c r="D4058" s="2">
        <f t="shared" si="217"/>
        <v>2019</v>
      </c>
      <c r="E4058" s="2">
        <f t="shared" si="218"/>
        <v>2</v>
      </c>
      <c r="G4058" s="4">
        <v>43521</v>
      </c>
      <c r="H4058" s="1">
        <v>6596347</v>
      </c>
      <c r="I4058" s="1">
        <v>665902</v>
      </c>
      <c r="J4058" s="1" t="s">
        <v>186</v>
      </c>
      <c r="K4058" s="29" t="s">
        <v>212</v>
      </c>
      <c r="L4058" s="1" t="str">
        <f t="shared" si="216"/>
        <v>Norrviken 2</v>
      </c>
      <c r="M4058" s="1" t="s">
        <v>220</v>
      </c>
      <c r="N4058" s="1">
        <v>8</v>
      </c>
      <c r="O4058" s="1">
        <v>8</v>
      </c>
      <c r="Q4058" s="1">
        <v>2.8</v>
      </c>
      <c r="R4058" s="1">
        <v>6.1</v>
      </c>
      <c r="S4058" s="1">
        <v>46</v>
      </c>
    </row>
    <row r="4059" spans="1:38" x14ac:dyDescent="0.3">
      <c r="A4059" s="1">
        <v>70246</v>
      </c>
      <c r="B4059" s="1" t="s">
        <v>260</v>
      </c>
      <c r="C4059" s="1" t="s">
        <v>231</v>
      </c>
      <c r="D4059" s="2">
        <f t="shared" si="217"/>
        <v>2019</v>
      </c>
      <c r="E4059" s="2">
        <f t="shared" si="218"/>
        <v>2</v>
      </c>
      <c r="G4059" s="4">
        <v>43521</v>
      </c>
      <c r="H4059" s="1">
        <v>6596347</v>
      </c>
      <c r="I4059" s="1">
        <v>665902</v>
      </c>
      <c r="J4059" s="1" t="s">
        <v>186</v>
      </c>
      <c r="K4059" s="29" t="s">
        <v>212</v>
      </c>
      <c r="L4059" s="1" t="str">
        <f t="shared" si="216"/>
        <v>Norrviken 2</v>
      </c>
      <c r="M4059" s="1" t="s">
        <v>184</v>
      </c>
      <c r="N4059" s="1">
        <v>9</v>
      </c>
      <c r="O4059" s="1">
        <v>9</v>
      </c>
      <c r="Q4059" s="1">
        <v>3.6</v>
      </c>
      <c r="R4059" s="1">
        <v>1.6</v>
      </c>
      <c r="S4059" s="1">
        <v>12</v>
      </c>
      <c r="W4059" s="1">
        <v>104.6464</v>
      </c>
      <c r="X4059" s="1">
        <v>0.33415166604143792</v>
      </c>
      <c r="Y4059" s="1">
        <v>5.8000000000000003E-2</v>
      </c>
      <c r="Z4059" s="1">
        <v>42.59</v>
      </c>
      <c r="AA4059" s="1">
        <v>5.3</v>
      </c>
      <c r="AD4059" s="1">
        <v>780.5</v>
      </c>
      <c r="AE4059" s="1">
        <v>7.46</v>
      </c>
      <c r="AK4059" s="1">
        <v>69.099999999999994</v>
      </c>
      <c r="AL4059" s="1">
        <v>1550.86</v>
      </c>
    </row>
    <row r="4060" spans="1:38" x14ac:dyDescent="0.3">
      <c r="A4060" s="1">
        <v>70247</v>
      </c>
      <c r="B4060" s="1" t="s">
        <v>260</v>
      </c>
      <c r="C4060" s="1" t="s">
        <v>231</v>
      </c>
      <c r="D4060" s="2">
        <f t="shared" si="217"/>
        <v>2019</v>
      </c>
      <c r="E4060" s="2">
        <f t="shared" si="218"/>
        <v>2</v>
      </c>
      <c r="G4060" s="4">
        <v>43521</v>
      </c>
      <c r="H4060" s="1">
        <v>6594617</v>
      </c>
      <c r="I4060" s="1">
        <v>666323</v>
      </c>
      <c r="J4060" s="1" t="s">
        <v>186</v>
      </c>
      <c r="K4060" s="29" t="s">
        <v>213</v>
      </c>
      <c r="L4060" s="1" t="str">
        <f t="shared" si="216"/>
        <v>Norrviken 3</v>
      </c>
      <c r="M4060" s="1" t="s">
        <v>177</v>
      </c>
      <c r="N4060" s="1">
        <v>0.5</v>
      </c>
      <c r="O4060" s="1">
        <v>0.5</v>
      </c>
      <c r="P4060" s="1">
        <v>3</v>
      </c>
      <c r="Q4060" s="1">
        <v>3.3</v>
      </c>
      <c r="R4060" s="1">
        <v>12.7</v>
      </c>
      <c r="S4060" s="1">
        <v>98</v>
      </c>
      <c r="W4060" s="1">
        <v>3.153</v>
      </c>
      <c r="X4060" s="1">
        <v>2.4005382299742899E-2</v>
      </c>
      <c r="Y4060" s="1">
        <v>3.4000000000000002E-2</v>
      </c>
      <c r="Z4060" s="1">
        <v>38.869999999999997</v>
      </c>
      <c r="AA4060" s="1">
        <v>1.9</v>
      </c>
      <c r="AD4060" s="1">
        <v>336.38</v>
      </c>
      <c r="AE4060" s="1">
        <v>7.85</v>
      </c>
      <c r="AK4060" s="1">
        <v>74.209999999999994</v>
      </c>
      <c r="AL4060" s="1">
        <v>919.07</v>
      </c>
    </row>
    <row r="4061" spans="1:38" x14ac:dyDescent="0.3">
      <c r="A4061" s="1">
        <v>70248</v>
      </c>
      <c r="B4061" s="1" t="s">
        <v>260</v>
      </c>
      <c r="C4061" s="1" t="s">
        <v>231</v>
      </c>
      <c r="D4061" s="2">
        <f t="shared" si="217"/>
        <v>2019</v>
      </c>
      <c r="E4061" s="2">
        <f t="shared" si="218"/>
        <v>2</v>
      </c>
      <c r="G4061" s="4">
        <v>43521</v>
      </c>
      <c r="H4061" s="1">
        <v>6594617</v>
      </c>
      <c r="I4061" s="1">
        <v>666323</v>
      </c>
      <c r="J4061" s="1" t="s">
        <v>186</v>
      </c>
      <c r="K4061" s="29" t="s">
        <v>213</v>
      </c>
      <c r="L4061" s="1" t="str">
        <f t="shared" si="216"/>
        <v>Norrviken 3</v>
      </c>
      <c r="M4061" s="1" t="s">
        <v>211</v>
      </c>
      <c r="N4061" s="1">
        <v>1</v>
      </c>
      <c r="O4061" s="1">
        <v>1</v>
      </c>
      <c r="Q4061" s="1">
        <v>3.7</v>
      </c>
      <c r="R4061" s="1">
        <v>12.2</v>
      </c>
      <c r="S4061" s="1">
        <v>94</v>
      </c>
    </row>
    <row r="4062" spans="1:38" x14ac:dyDescent="0.3">
      <c r="A4062" s="1">
        <v>70249</v>
      </c>
      <c r="B4062" s="1" t="s">
        <v>260</v>
      </c>
      <c r="C4062" s="1" t="s">
        <v>231</v>
      </c>
      <c r="D4062" s="2">
        <f t="shared" si="217"/>
        <v>2019</v>
      </c>
      <c r="E4062" s="2">
        <f t="shared" si="218"/>
        <v>2</v>
      </c>
      <c r="G4062" s="4">
        <v>43521</v>
      </c>
      <c r="H4062" s="1">
        <v>6594617</v>
      </c>
      <c r="I4062" s="1">
        <v>666323</v>
      </c>
      <c r="J4062" s="1" t="s">
        <v>186</v>
      </c>
      <c r="K4062" s="29" t="s">
        <v>213</v>
      </c>
      <c r="L4062" s="1" t="str">
        <f t="shared" si="216"/>
        <v>Norrviken 3</v>
      </c>
      <c r="M4062" s="1" t="s">
        <v>212</v>
      </c>
      <c r="N4062" s="1">
        <v>2</v>
      </c>
      <c r="O4062" s="1">
        <v>2</v>
      </c>
      <c r="Q4062" s="1">
        <v>3.6</v>
      </c>
      <c r="R4062" s="1">
        <v>12.2</v>
      </c>
      <c r="S4062" s="1">
        <v>94</v>
      </c>
    </row>
    <row r="4063" spans="1:38" x14ac:dyDescent="0.3">
      <c r="A4063" s="1">
        <v>70250</v>
      </c>
      <c r="B4063" s="1" t="s">
        <v>260</v>
      </c>
      <c r="C4063" s="1" t="s">
        <v>231</v>
      </c>
      <c r="D4063" s="2">
        <f t="shared" si="217"/>
        <v>2019</v>
      </c>
      <c r="E4063" s="2">
        <f t="shared" si="218"/>
        <v>2</v>
      </c>
      <c r="G4063" s="4">
        <v>43521</v>
      </c>
      <c r="H4063" s="1">
        <v>6594617</v>
      </c>
      <c r="I4063" s="1">
        <v>666323</v>
      </c>
      <c r="J4063" s="1" t="s">
        <v>186</v>
      </c>
      <c r="K4063" s="29" t="s">
        <v>213</v>
      </c>
      <c r="L4063" s="1" t="str">
        <f t="shared" si="216"/>
        <v>Norrviken 3</v>
      </c>
      <c r="M4063" s="1" t="s">
        <v>213</v>
      </c>
      <c r="N4063" s="1">
        <v>3</v>
      </c>
      <c r="O4063" s="1">
        <v>3</v>
      </c>
      <c r="Q4063" s="1">
        <v>3.4</v>
      </c>
      <c r="R4063" s="1">
        <v>9.1999999999999993</v>
      </c>
      <c r="S4063" s="1">
        <v>71</v>
      </c>
    </row>
    <row r="4064" spans="1:38" x14ac:dyDescent="0.3">
      <c r="A4064" s="1">
        <v>70251</v>
      </c>
      <c r="B4064" s="1" t="s">
        <v>260</v>
      </c>
      <c r="C4064" s="1" t="s">
        <v>231</v>
      </c>
      <c r="D4064" s="2">
        <f t="shared" si="217"/>
        <v>2019</v>
      </c>
      <c r="E4064" s="2">
        <f t="shared" si="218"/>
        <v>2</v>
      </c>
      <c r="G4064" s="4">
        <v>43521</v>
      </c>
      <c r="H4064" s="1">
        <v>6594617</v>
      </c>
      <c r="I4064" s="1">
        <v>666323</v>
      </c>
      <c r="J4064" s="1" t="s">
        <v>186</v>
      </c>
      <c r="K4064" s="29" t="s">
        <v>213</v>
      </c>
      <c r="L4064" s="1" t="str">
        <f t="shared" si="216"/>
        <v>Norrviken 3</v>
      </c>
      <c r="M4064" s="1" t="s">
        <v>214</v>
      </c>
      <c r="N4064" s="1">
        <v>4</v>
      </c>
      <c r="O4064" s="1">
        <v>4</v>
      </c>
      <c r="Q4064" s="1">
        <v>3.2</v>
      </c>
      <c r="R4064" s="1">
        <v>8.4</v>
      </c>
      <c r="S4064" s="1">
        <v>64</v>
      </c>
    </row>
    <row r="4065" spans="1:38" x14ac:dyDescent="0.3">
      <c r="A4065" s="1">
        <v>70252</v>
      </c>
      <c r="B4065" s="1" t="s">
        <v>260</v>
      </c>
      <c r="C4065" s="1" t="s">
        <v>231</v>
      </c>
      <c r="D4065" s="2">
        <f t="shared" si="217"/>
        <v>2019</v>
      </c>
      <c r="E4065" s="2">
        <f t="shared" si="218"/>
        <v>2</v>
      </c>
      <c r="G4065" s="4">
        <v>43521</v>
      </c>
      <c r="H4065" s="1">
        <v>6594617</v>
      </c>
      <c r="I4065" s="1">
        <v>666323</v>
      </c>
      <c r="J4065" s="1" t="s">
        <v>186</v>
      </c>
      <c r="K4065" s="29" t="s">
        <v>213</v>
      </c>
      <c r="L4065" s="1" t="str">
        <f t="shared" si="216"/>
        <v>Norrviken 3</v>
      </c>
      <c r="M4065" s="1" t="s">
        <v>217</v>
      </c>
      <c r="N4065" s="1">
        <v>5</v>
      </c>
      <c r="O4065" s="1">
        <v>5</v>
      </c>
      <c r="Q4065" s="1">
        <v>3</v>
      </c>
      <c r="R4065" s="1">
        <v>7.7</v>
      </c>
      <c r="S4065" s="1">
        <v>59</v>
      </c>
    </row>
    <row r="4066" spans="1:38" x14ac:dyDescent="0.3">
      <c r="A4066" s="1">
        <v>70253</v>
      </c>
      <c r="B4066" s="1" t="s">
        <v>260</v>
      </c>
      <c r="C4066" s="1" t="s">
        <v>231</v>
      </c>
      <c r="D4066" s="2">
        <f t="shared" si="217"/>
        <v>2019</v>
      </c>
      <c r="E4066" s="2">
        <f t="shared" si="218"/>
        <v>2</v>
      </c>
      <c r="G4066" s="4">
        <v>43521</v>
      </c>
      <c r="H4066" s="1">
        <v>6594617</v>
      </c>
      <c r="I4066" s="1">
        <v>666323</v>
      </c>
      <c r="J4066" s="1" t="s">
        <v>186</v>
      </c>
      <c r="K4066" s="29" t="s">
        <v>213</v>
      </c>
      <c r="L4066" s="1" t="str">
        <f t="shared" si="216"/>
        <v>Norrviken 3</v>
      </c>
      <c r="M4066" s="1" t="s">
        <v>218</v>
      </c>
      <c r="N4066" s="1">
        <v>6</v>
      </c>
      <c r="O4066" s="1">
        <v>6</v>
      </c>
      <c r="Q4066" s="1">
        <v>2.9</v>
      </c>
      <c r="R4066" s="1">
        <v>6.7</v>
      </c>
      <c r="S4066" s="1">
        <v>51</v>
      </c>
    </row>
    <row r="4067" spans="1:38" x14ac:dyDescent="0.3">
      <c r="A4067" s="1">
        <v>70254</v>
      </c>
      <c r="B4067" s="1" t="s">
        <v>260</v>
      </c>
      <c r="C4067" s="1" t="s">
        <v>231</v>
      </c>
      <c r="D4067" s="2">
        <f t="shared" si="217"/>
        <v>2019</v>
      </c>
      <c r="E4067" s="2">
        <f t="shared" si="218"/>
        <v>2</v>
      </c>
      <c r="G4067" s="4">
        <v>43521</v>
      </c>
      <c r="H4067" s="1">
        <v>6594617</v>
      </c>
      <c r="I4067" s="1">
        <v>666323</v>
      </c>
      <c r="J4067" s="1" t="s">
        <v>186</v>
      </c>
      <c r="K4067" s="29" t="s">
        <v>213</v>
      </c>
      <c r="L4067" s="1" t="str">
        <f t="shared" si="216"/>
        <v>Norrviken 3</v>
      </c>
      <c r="M4067" s="1" t="s">
        <v>219</v>
      </c>
      <c r="N4067" s="1">
        <v>7</v>
      </c>
      <c r="O4067" s="1">
        <v>7</v>
      </c>
      <c r="Q4067" s="1">
        <v>2.9</v>
      </c>
      <c r="R4067" s="1">
        <v>6</v>
      </c>
      <c r="S4067" s="1">
        <v>46</v>
      </c>
    </row>
    <row r="4068" spans="1:38" x14ac:dyDescent="0.3">
      <c r="A4068" s="1">
        <v>70255</v>
      </c>
      <c r="B4068" s="1" t="s">
        <v>260</v>
      </c>
      <c r="C4068" s="1" t="s">
        <v>231</v>
      </c>
      <c r="D4068" s="2">
        <f t="shared" si="217"/>
        <v>2019</v>
      </c>
      <c r="E4068" s="2">
        <f t="shared" si="218"/>
        <v>2</v>
      </c>
      <c r="G4068" s="4">
        <v>43521</v>
      </c>
      <c r="H4068" s="1">
        <v>6594617</v>
      </c>
      <c r="I4068" s="1">
        <v>666323</v>
      </c>
      <c r="J4068" s="1" t="s">
        <v>186</v>
      </c>
      <c r="K4068" s="29" t="s">
        <v>213</v>
      </c>
      <c r="L4068" s="1" t="str">
        <f t="shared" si="216"/>
        <v>Norrviken 3</v>
      </c>
      <c r="M4068" s="1" t="s">
        <v>220</v>
      </c>
      <c r="N4068" s="1">
        <v>8</v>
      </c>
      <c r="O4068" s="1">
        <v>8</v>
      </c>
      <c r="Q4068" s="1">
        <v>2.9</v>
      </c>
      <c r="R4068" s="1">
        <v>5.8</v>
      </c>
      <c r="S4068" s="1">
        <v>44</v>
      </c>
    </row>
    <row r="4069" spans="1:38" x14ac:dyDescent="0.3">
      <c r="A4069" s="1">
        <v>70256</v>
      </c>
      <c r="B4069" s="1" t="s">
        <v>260</v>
      </c>
      <c r="C4069" s="1" t="s">
        <v>231</v>
      </c>
      <c r="D4069" s="2">
        <f t="shared" si="217"/>
        <v>2019</v>
      </c>
      <c r="E4069" s="2">
        <f t="shared" si="218"/>
        <v>2</v>
      </c>
      <c r="G4069" s="4">
        <v>43521</v>
      </c>
      <c r="H4069" s="1">
        <v>6594617</v>
      </c>
      <c r="I4069" s="1">
        <v>666323</v>
      </c>
      <c r="J4069" s="1" t="s">
        <v>186</v>
      </c>
      <c r="K4069" s="29" t="s">
        <v>213</v>
      </c>
      <c r="L4069" s="1" t="str">
        <f t="shared" si="216"/>
        <v>Norrviken 3</v>
      </c>
      <c r="M4069" s="1" t="s">
        <v>221</v>
      </c>
      <c r="N4069" s="1">
        <v>9</v>
      </c>
      <c r="O4069" s="1">
        <v>9</v>
      </c>
      <c r="Q4069" s="1">
        <v>3.2</v>
      </c>
      <c r="R4069" s="1">
        <v>4</v>
      </c>
      <c r="S4069" s="1">
        <v>30</v>
      </c>
    </row>
    <row r="4070" spans="1:38" x14ac:dyDescent="0.3">
      <c r="A4070" s="1">
        <v>70257</v>
      </c>
      <c r="B4070" s="1" t="s">
        <v>260</v>
      </c>
      <c r="C4070" s="1" t="s">
        <v>231</v>
      </c>
      <c r="D4070" s="2">
        <f t="shared" si="217"/>
        <v>2019</v>
      </c>
      <c r="E4070" s="2">
        <f t="shared" si="218"/>
        <v>2</v>
      </c>
      <c r="G4070" s="4">
        <v>43521</v>
      </c>
      <c r="H4070" s="1">
        <v>6594617</v>
      </c>
      <c r="I4070" s="1">
        <v>666323</v>
      </c>
      <c r="J4070" s="1" t="s">
        <v>186</v>
      </c>
      <c r="K4070" s="29" t="s">
        <v>213</v>
      </c>
      <c r="L4070" s="1" t="str">
        <f t="shared" si="216"/>
        <v>Norrviken 3</v>
      </c>
      <c r="M4070" s="1" t="s">
        <v>222</v>
      </c>
      <c r="N4070" s="1">
        <v>10</v>
      </c>
      <c r="O4070" s="1">
        <v>10</v>
      </c>
      <c r="Q4070" s="1">
        <v>3.1</v>
      </c>
      <c r="R4070" s="1">
        <v>4.5</v>
      </c>
      <c r="S4070" s="1">
        <v>34</v>
      </c>
    </row>
    <row r="4071" spans="1:38" x14ac:dyDescent="0.3">
      <c r="A4071" s="1">
        <v>70258</v>
      </c>
      <c r="B4071" s="1" t="s">
        <v>260</v>
      </c>
      <c r="C4071" s="1" t="s">
        <v>231</v>
      </c>
      <c r="D4071" s="2">
        <f t="shared" si="217"/>
        <v>2019</v>
      </c>
      <c r="E4071" s="2">
        <f t="shared" si="218"/>
        <v>2</v>
      </c>
      <c r="G4071" s="4">
        <v>43521</v>
      </c>
      <c r="H4071" s="1">
        <v>6594617</v>
      </c>
      <c r="I4071" s="1">
        <v>666323</v>
      </c>
      <c r="J4071" s="1" t="s">
        <v>186</v>
      </c>
      <c r="K4071" s="29" t="s">
        <v>213</v>
      </c>
      <c r="L4071" s="1" t="str">
        <f t="shared" si="216"/>
        <v>Norrviken 3</v>
      </c>
      <c r="M4071" s="1" t="s">
        <v>223</v>
      </c>
      <c r="N4071" s="1">
        <v>11</v>
      </c>
      <c r="O4071" s="1">
        <v>11</v>
      </c>
    </row>
    <row r="4072" spans="1:38" x14ac:dyDescent="0.3">
      <c r="A4072" s="1">
        <v>70259</v>
      </c>
      <c r="B4072" s="1" t="s">
        <v>260</v>
      </c>
      <c r="C4072" s="1" t="s">
        <v>231</v>
      </c>
      <c r="D4072" s="2">
        <f t="shared" si="217"/>
        <v>2019</v>
      </c>
      <c r="E4072" s="2">
        <f t="shared" si="218"/>
        <v>2</v>
      </c>
      <c r="G4072" s="4">
        <v>43521</v>
      </c>
      <c r="H4072" s="1">
        <v>6594617</v>
      </c>
      <c r="I4072" s="1">
        <v>666323</v>
      </c>
      <c r="J4072" s="1" t="s">
        <v>186</v>
      </c>
      <c r="K4072" s="29" t="s">
        <v>213</v>
      </c>
      <c r="L4072" s="1" t="str">
        <f t="shared" si="216"/>
        <v>Norrviken 3</v>
      </c>
      <c r="M4072" s="1" t="s">
        <v>184</v>
      </c>
      <c r="N4072" s="1">
        <v>11.5</v>
      </c>
      <c r="O4072" s="1">
        <v>11.5</v>
      </c>
      <c r="Q4072" s="1">
        <v>3.8</v>
      </c>
      <c r="R4072" s="1">
        <v>1.3</v>
      </c>
      <c r="S4072" s="1">
        <v>10</v>
      </c>
      <c r="W4072" s="1">
        <v>245.78530000000001</v>
      </c>
      <c r="X4072" s="1">
        <v>0.61971397716347043</v>
      </c>
      <c r="Y4072" s="1">
        <v>5.2999999999999999E-2</v>
      </c>
      <c r="Z4072" s="1">
        <v>100.51</v>
      </c>
      <c r="AA4072" s="1">
        <v>3.6</v>
      </c>
      <c r="AD4072" s="1">
        <v>940.05</v>
      </c>
      <c r="AE4072" s="1">
        <v>7.35</v>
      </c>
      <c r="AK4072" s="1">
        <v>117.72</v>
      </c>
      <c r="AL4072" s="1">
        <v>1816.13</v>
      </c>
    </row>
    <row r="4073" spans="1:38" x14ac:dyDescent="0.3">
      <c r="A4073" s="1">
        <v>70260</v>
      </c>
      <c r="B4073" s="1" t="s">
        <v>260</v>
      </c>
      <c r="C4073" s="1" t="s">
        <v>231</v>
      </c>
      <c r="D4073" s="2">
        <f t="shared" si="217"/>
        <v>2019</v>
      </c>
      <c r="E4073" s="2">
        <f t="shared" si="218"/>
        <v>2</v>
      </c>
      <c r="G4073" s="4">
        <v>43521</v>
      </c>
      <c r="H4073" s="1">
        <v>6597022</v>
      </c>
      <c r="I4073" s="1">
        <v>665518</v>
      </c>
      <c r="J4073" s="1" t="s">
        <v>186</v>
      </c>
      <c r="K4073" s="29" t="s">
        <v>214</v>
      </c>
      <c r="L4073" s="1" t="str">
        <f t="shared" si="216"/>
        <v>Norrviken 4</v>
      </c>
      <c r="M4073" s="1" t="s">
        <v>177</v>
      </c>
      <c r="N4073" s="1">
        <v>0.5</v>
      </c>
      <c r="O4073" s="1">
        <v>0.5</v>
      </c>
      <c r="P4073" s="1">
        <v>2</v>
      </c>
      <c r="Q4073" s="1">
        <v>3.7</v>
      </c>
      <c r="R4073" s="1">
        <v>14.4</v>
      </c>
      <c r="S4073" s="1">
        <v>112</v>
      </c>
      <c r="W4073" s="1">
        <v>1.3752</v>
      </c>
      <c r="X4073" s="1">
        <v>1.8269594765784599E-2</v>
      </c>
      <c r="Y4073" s="1">
        <v>3.5999999999999997E-2</v>
      </c>
      <c r="Z4073" s="1">
        <v>16.5</v>
      </c>
      <c r="AA4073" s="1">
        <v>2</v>
      </c>
      <c r="AD4073" s="1">
        <v>249.25</v>
      </c>
      <c r="AE4073" s="1">
        <v>8.08</v>
      </c>
      <c r="AK4073" s="1">
        <v>76.08</v>
      </c>
      <c r="AL4073" s="1">
        <v>968.01</v>
      </c>
    </row>
    <row r="4074" spans="1:38" x14ac:dyDescent="0.3">
      <c r="A4074" s="1">
        <v>70261</v>
      </c>
      <c r="B4074" s="1" t="s">
        <v>260</v>
      </c>
      <c r="C4074" s="1" t="s">
        <v>231</v>
      </c>
      <c r="D4074" s="2">
        <f t="shared" si="217"/>
        <v>2019</v>
      </c>
      <c r="E4074" s="2">
        <f t="shared" si="218"/>
        <v>2</v>
      </c>
      <c r="G4074" s="4">
        <v>43521</v>
      </c>
      <c r="H4074" s="1">
        <v>6597022</v>
      </c>
      <c r="I4074" s="1">
        <v>665518</v>
      </c>
      <c r="J4074" s="1" t="s">
        <v>186</v>
      </c>
      <c r="K4074" s="29" t="s">
        <v>214</v>
      </c>
      <c r="L4074" s="1" t="str">
        <f t="shared" si="216"/>
        <v>Norrviken 4</v>
      </c>
      <c r="M4074" s="1" t="s">
        <v>211</v>
      </c>
      <c r="N4074" s="1">
        <v>1</v>
      </c>
      <c r="O4074" s="1">
        <v>1</v>
      </c>
      <c r="Q4074" s="1">
        <v>3.8</v>
      </c>
      <c r="R4074" s="1">
        <v>14</v>
      </c>
      <c r="S4074" s="1">
        <v>108</v>
      </c>
    </row>
    <row r="4075" spans="1:38" x14ac:dyDescent="0.3">
      <c r="A4075" s="1">
        <v>70262</v>
      </c>
      <c r="B4075" s="1" t="s">
        <v>260</v>
      </c>
      <c r="C4075" s="1" t="s">
        <v>231</v>
      </c>
      <c r="D4075" s="2">
        <f t="shared" si="217"/>
        <v>2019</v>
      </c>
      <c r="E4075" s="2">
        <f t="shared" si="218"/>
        <v>2</v>
      </c>
      <c r="G4075" s="4">
        <v>43521</v>
      </c>
      <c r="H4075" s="1">
        <v>6597022</v>
      </c>
      <c r="I4075" s="1">
        <v>665518</v>
      </c>
      <c r="J4075" s="1" t="s">
        <v>186</v>
      </c>
      <c r="K4075" s="29" t="s">
        <v>214</v>
      </c>
      <c r="L4075" s="1" t="str">
        <f t="shared" si="216"/>
        <v>Norrviken 4</v>
      </c>
      <c r="M4075" s="1" t="s">
        <v>184</v>
      </c>
      <c r="N4075" s="1">
        <v>2</v>
      </c>
      <c r="O4075" s="1">
        <v>2</v>
      </c>
      <c r="Q4075" s="1">
        <v>3.6</v>
      </c>
      <c r="R4075" s="1">
        <v>12.8</v>
      </c>
      <c r="S4075" s="1">
        <v>99</v>
      </c>
      <c r="W4075" s="1">
        <v>0</v>
      </c>
      <c r="X4075" s="1">
        <v>0</v>
      </c>
      <c r="Y4075" s="1">
        <v>4.4999999999999998E-2</v>
      </c>
      <c r="Z4075" s="1">
        <v>17.09</v>
      </c>
      <c r="AA4075" s="1">
        <v>2.4</v>
      </c>
      <c r="AD4075" s="1">
        <v>254.24</v>
      </c>
      <c r="AE4075" s="1">
        <v>8.0500000000000007</v>
      </c>
      <c r="AK4075" s="1">
        <v>77.19</v>
      </c>
      <c r="AL4075" s="1">
        <v>939.38</v>
      </c>
    </row>
    <row r="4076" spans="1:38" x14ac:dyDescent="0.3">
      <c r="A4076" s="1">
        <v>70263</v>
      </c>
      <c r="B4076" s="1" t="s">
        <v>260</v>
      </c>
      <c r="C4076" s="1" t="s">
        <v>231</v>
      </c>
      <c r="D4076" s="2">
        <f t="shared" si="217"/>
        <v>2019</v>
      </c>
      <c r="E4076" s="2">
        <f t="shared" si="218"/>
        <v>2</v>
      </c>
      <c r="G4076" s="4">
        <v>43521</v>
      </c>
      <c r="H4076" s="1">
        <v>6599384</v>
      </c>
      <c r="I4076" s="1">
        <v>662805</v>
      </c>
      <c r="J4076" s="1" t="s">
        <v>182</v>
      </c>
      <c r="L4076" s="1" t="str">
        <f t="shared" si="216"/>
        <v xml:space="preserve">Edssjön </v>
      </c>
      <c r="M4076" s="1" t="s">
        <v>177</v>
      </c>
      <c r="N4076" s="1">
        <v>0.5</v>
      </c>
      <c r="O4076" s="1">
        <v>0.5</v>
      </c>
      <c r="P4076" s="1">
        <v>2.4</v>
      </c>
      <c r="Q4076" s="1">
        <v>3.1</v>
      </c>
      <c r="R4076" s="1">
        <v>10.199999999999999</v>
      </c>
      <c r="S4076" s="1">
        <v>74</v>
      </c>
      <c r="W4076" s="1">
        <v>15.1082</v>
      </c>
      <c r="X4076" s="1">
        <v>6.6840799243915006E-2</v>
      </c>
      <c r="Y4076" s="1">
        <v>0.05</v>
      </c>
      <c r="Z4076" s="1">
        <v>40.58</v>
      </c>
      <c r="AA4076" s="1">
        <v>3</v>
      </c>
      <c r="AD4076" s="1">
        <v>605.61</v>
      </c>
      <c r="AE4076" s="1">
        <v>7.62</v>
      </c>
      <c r="AK4076" s="1">
        <v>70.31</v>
      </c>
      <c r="AL4076" s="1">
        <v>1135.4000000000001</v>
      </c>
    </row>
    <row r="4077" spans="1:38" x14ac:dyDescent="0.3">
      <c r="A4077" s="1">
        <v>70264</v>
      </c>
      <c r="B4077" s="1" t="s">
        <v>260</v>
      </c>
      <c r="C4077" s="1" t="s">
        <v>231</v>
      </c>
      <c r="D4077" s="2">
        <f t="shared" si="217"/>
        <v>2019</v>
      </c>
      <c r="E4077" s="2">
        <f t="shared" si="218"/>
        <v>2</v>
      </c>
      <c r="G4077" s="4">
        <v>43521</v>
      </c>
      <c r="H4077" s="1">
        <v>6599384</v>
      </c>
      <c r="I4077" s="1">
        <v>662805</v>
      </c>
      <c r="J4077" s="1" t="s">
        <v>182</v>
      </c>
      <c r="L4077" s="1" t="str">
        <f t="shared" si="216"/>
        <v xml:space="preserve">Edssjön </v>
      </c>
      <c r="M4077" s="1" t="s">
        <v>211</v>
      </c>
      <c r="N4077" s="1">
        <v>1</v>
      </c>
      <c r="O4077" s="1">
        <v>1</v>
      </c>
      <c r="Q4077" s="1">
        <v>3.2</v>
      </c>
      <c r="R4077" s="1">
        <v>10.3</v>
      </c>
      <c r="S4077" s="1">
        <v>75</v>
      </c>
    </row>
    <row r="4078" spans="1:38" x14ac:dyDescent="0.3">
      <c r="A4078" s="1">
        <v>70265</v>
      </c>
      <c r="B4078" s="1" t="s">
        <v>260</v>
      </c>
      <c r="C4078" s="1" t="s">
        <v>231</v>
      </c>
      <c r="D4078" s="2">
        <f t="shared" si="217"/>
        <v>2019</v>
      </c>
      <c r="E4078" s="2">
        <f t="shared" si="218"/>
        <v>2</v>
      </c>
      <c r="G4078" s="4">
        <v>43521</v>
      </c>
      <c r="H4078" s="1">
        <v>6599384</v>
      </c>
      <c r="I4078" s="1">
        <v>662805</v>
      </c>
      <c r="J4078" s="1" t="s">
        <v>182</v>
      </c>
      <c r="L4078" s="1" t="str">
        <f t="shared" si="216"/>
        <v xml:space="preserve">Edssjön </v>
      </c>
      <c r="M4078" s="1" t="s">
        <v>212</v>
      </c>
      <c r="N4078" s="1">
        <v>2</v>
      </c>
      <c r="O4078" s="1">
        <v>2</v>
      </c>
      <c r="Q4078" s="1">
        <v>3.6</v>
      </c>
      <c r="R4078" s="1">
        <v>5.7</v>
      </c>
      <c r="S4078" s="1">
        <v>42</v>
      </c>
    </row>
    <row r="4079" spans="1:38" x14ac:dyDescent="0.3">
      <c r="A4079" s="1">
        <v>70266</v>
      </c>
      <c r="B4079" s="1" t="s">
        <v>260</v>
      </c>
      <c r="C4079" s="1" t="s">
        <v>231</v>
      </c>
      <c r="D4079" s="2">
        <f t="shared" si="217"/>
        <v>2019</v>
      </c>
      <c r="E4079" s="2">
        <f t="shared" si="218"/>
        <v>2</v>
      </c>
      <c r="G4079" s="4">
        <v>43521</v>
      </c>
      <c r="H4079" s="1">
        <v>6599384</v>
      </c>
      <c r="I4079" s="1">
        <v>662805</v>
      </c>
      <c r="J4079" s="1" t="s">
        <v>182</v>
      </c>
      <c r="L4079" s="1" t="str">
        <f t="shared" si="216"/>
        <v xml:space="preserve">Edssjön </v>
      </c>
      <c r="M4079" s="1" t="s">
        <v>213</v>
      </c>
      <c r="N4079" s="1">
        <v>3</v>
      </c>
      <c r="O4079" s="1">
        <v>3</v>
      </c>
      <c r="Q4079" s="1">
        <v>3.7</v>
      </c>
      <c r="R4079" s="1">
        <v>2.5</v>
      </c>
      <c r="S4079" s="1">
        <v>18</v>
      </c>
    </row>
    <row r="4080" spans="1:38" x14ac:dyDescent="0.3">
      <c r="A4080" s="1">
        <v>70267</v>
      </c>
      <c r="B4080" s="1" t="s">
        <v>260</v>
      </c>
      <c r="C4080" s="1" t="s">
        <v>231</v>
      </c>
      <c r="D4080" s="2">
        <f t="shared" si="217"/>
        <v>2019</v>
      </c>
      <c r="E4080" s="2">
        <f t="shared" si="218"/>
        <v>2</v>
      </c>
      <c r="G4080" s="4">
        <v>43521</v>
      </c>
      <c r="H4080" s="1">
        <v>6599384</v>
      </c>
      <c r="I4080" s="1">
        <v>662805</v>
      </c>
      <c r="J4080" s="1" t="s">
        <v>182</v>
      </c>
      <c r="L4080" s="1" t="str">
        <f t="shared" si="216"/>
        <v xml:space="preserve">Edssjön </v>
      </c>
      <c r="M4080" s="1" t="s">
        <v>214</v>
      </c>
      <c r="N4080" s="1">
        <v>4</v>
      </c>
      <c r="O4080" s="1">
        <v>4</v>
      </c>
      <c r="Q4080" s="1">
        <v>3.8</v>
      </c>
      <c r="R4080" s="1">
        <v>2.5</v>
      </c>
      <c r="S4080" s="1">
        <v>18</v>
      </c>
    </row>
    <row r="4081" spans="1:91" x14ac:dyDescent="0.3">
      <c r="A4081" s="1">
        <v>70268</v>
      </c>
      <c r="B4081" s="1" t="s">
        <v>260</v>
      </c>
      <c r="C4081" s="1" t="s">
        <v>231</v>
      </c>
      <c r="D4081" s="2">
        <f t="shared" si="217"/>
        <v>2019</v>
      </c>
      <c r="E4081" s="2">
        <f t="shared" si="218"/>
        <v>2</v>
      </c>
      <c r="G4081" s="4">
        <v>43521</v>
      </c>
      <c r="H4081" s="1">
        <v>6599384</v>
      </c>
      <c r="I4081" s="1">
        <v>662805</v>
      </c>
      <c r="J4081" s="1" t="s">
        <v>182</v>
      </c>
      <c r="L4081" s="1" t="str">
        <f t="shared" si="216"/>
        <v xml:space="preserve">Edssjön </v>
      </c>
      <c r="M4081" s="1" t="s">
        <v>184</v>
      </c>
      <c r="N4081" s="1">
        <v>4.5</v>
      </c>
      <c r="O4081" s="1">
        <v>4.5</v>
      </c>
      <c r="Q4081" s="1">
        <v>4</v>
      </c>
      <c r="R4081" s="1">
        <v>4.2</v>
      </c>
      <c r="S4081" s="1">
        <v>31</v>
      </c>
      <c r="W4081" s="1">
        <v>36.600499999999997</v>
      </c>
      <c r="X4081" s="1">
        <v>0.1180128772666271</v>
      </c>
      <c r="Y4081" s="1">
        <v>5.7000000000000002E-2</v>
      </c>
      <c r="Z4081" s="1">
        <v>44.2</v>
      </c>
      <c r="AA4081" s="1">
        <v>3.8</v>
      </c>
      <c r="AD4081" s="1">
        <v>1400.09</v>
      </c>
      <c r="AE4081" s="1">
        <v>7.45</v>
      </c>
      <c r="AK4081" s="1">
        <v>68.48</v>
      </c>
      <c r="AL4081" s="1">
        <v>2002.05</v>
      </c>
    </row>
    <row r="4082" spans="1:91" x14ac:dyDescent="0.3">
      <c r="A4082" s="1">
        <v>70269</v>
      </c>
      <c r="B4082" s="1" t="s">
        <v>260</v>
      </c>
      <c r="C4082" s="1" t="s">
        <v>231</v>
      </c>
      <c r="D4082" s="2">
        <f t="shared" si="217"/>
        <v>2019</v>
      </c>
      <c r="E4082" s="2">
        <f t="shared" si="218"/>
        <v>2</v>
      </c>
      <c r="G4082" s="4">
        <v>43521</v>
      </c>
      <c r="H4082" s="1">
        <v>6605701</v>
      </c>
      <c r="I4082" s="1">
        <v>661059</v>
      </c>
      <c r="J4082" s="1" t="s">
        <v>187</v>
      </c>
      <c r="L4082" s="1" t="str">
        <f t="shared" si="216"/>
        <v xml:space="preserve">Oxundasjön </v>
      </c>
      <c r="M4082" s="1" t="s">
        <v>177</v>
      </c>
      <c r="N4082" s="1">
        <v>0.5</v>
      </c>
      <c r="O4082" s="1">
        <v>0.5</v>
      </c>
      <c r="P4082" s="1">
        <v>1.3</v>
      </c>
      <c r="Q4082" s="1">
        <v>3.2</v>
      </c>
      <c r="R4082" s="1">
        <v>10.3</v>
      </c>
      <c r="S4082" s="1">
        <v>75</v>
      </c>
      <c r="W4082" s="1">
        <v>1.3575999999999999</v>
      </c>
      <c r="X4082" s="1">
        <v>4.5986325621497001E-3</v>
      </c>
      <c r="Y4082" s="1">
        <v>0.16200000000000001</v>
      </c>
      <c r="Z4082" s="1">
        <v>21.84</v>
      </c>
      <c r="AA4082" s="1">
        <v>13.6</v>
      </c>
      <c r="AD4082" s="1">
        <v>833.07</v>
      </c>
      <c r="AE4082" s="1">
        <v>7.5</v>
      </c>
      <c r="AK4082" s="1">
        <v>59.86</v>
      </c>
      <c r="AL4082" s="1">
        <v>1413.09</v>
      </c>
    </row>
    <row r="4083" spans="1:91" x14ac:dyDescent="0.3">
      <c r="A4083" s="1">
        <v>70270</v>
      </c>
      <c r="B4083" s="1" t="s">
        <v>260</v>
      </c>
      <c r="C4083" s="1" t="s">
        <v>231</v>
      </c>
      <c r="D4083" s="2">
        <f t="shared" si="217"/>
        <v>2019</v>
      </c>
      <c r="E4083" s="2">
        <f t="shared" si="218"/>
        <v>2</v>
      </c>
      <c r="G4083" s="4">
        <v>43521</v>
      </c>
      <c r="H4083" s="1">
        <v>6605701</v>
      </c>
      <c r="I4083" s="1">
        <v>661059</v>
      </c>
      <c r="J4083" s="1" t="s">
        <v>187</v>
      </c>
      <c r="L4083" s="1" t="str">
        <f t="shared" si="216"/>
        <v xml:space="preserve">Oxundasjön </v>
      </c>
      <c r="M4083" s="1" t="s">
        <v>211</v>
      </c>
      <c r="N4083" s="1">
        <v>1</v>
      </c>
      <c r="O4083" s="1">
        <v>1</v>
      </c>
      <c r="Q4083" s="1">
        <v>3.2</v>
      </c>
      <c r="R4083" s="1">
        <v>9.1999999999999993</v>
      </c>
      <c r="S4083" s="1">
        <v>67</v>
      </c>
    </row>
    <row r="4084" spans="1:91" x14ac:dyDescent="0.3">
      <c r="A4084" s="1">
        <v>70271</v>
      </c>
      <c r="B4084" s="1" t="s">
        <v>260</v>
      </c>
      <c r="C4084" s="1" t="s">
        <v>231</v>
      </c>
      <c r="D4084" s="2">
        <f t="shared" si="217"/>
        <v>2019</v>
      </c>
      <c r="E4084" s="2">
        <f t="shared" si="218"/>
        <v>2</v>
      </c>
      <c r="G4084" s="4">
        <v>43521</v>
      </c>
      <c r="H4084" s="1">
        <v>6605701</v>
      </c>
      <c r="I4084" s="1">
        <v>661059</v>
      </c>
      <c r="J4084" s="1" t="s">
        <v>187</v>
      </c>
      <c r="L4084" s="1" t="str">
        <f t="shared" si="216"/>
        <v xml:space="preserve">Oxundasjön </v>
      </c>
      <c r="M4084" s="1" t="s">
        <v>212</v>
      </c>
      <c r="N4084" s="1">
        <v>2</v>
      </c>
      <c r="O4084" s="1">
        <v>2</v>
      </c>
      <c r="Q4084" s="1">
        <v>2.9</v>
      </c>
      <c r="R4084" s="1">
        <v>8.1999999999999993</v>
      </c>
      <c r="S4084" s="1">
        <v>60</v>
      </c>
    </row>
    <row r="4085" spans="1:91" x14ac:dyDescent="0.3">
      <c r="A4085" s="1">
        <v>70272</v>
      </c>
      <c r="B4085" s="1" t="s">
        <v>260</v>
      </c>
      <c r="C4085" s="1" t="s">
        <v>231</v>
      </c>
      <c r="D4085" s="2">
        <f t="shared" si="217"/>
        <v>2019</v>
      </c>
      <c r="E4085" s="2">
        <f t="shared" si="218"/>
        <v>2</v>
      </c>
      <c r="G4085" s="4">
        <v>43521</v>
      </c>
      <c r="H4085" s="1">
        <v>6605701</v>
      </c>
      <c r="I4085" s="1">
        <v>661059</v>
      </c>
      <c r="J4085" s="1" t="s">
        <v>187</v>
      </c>
      <c r="L4085" s="1" t="str">
        <f t="shared" si="216"/>
        <v xml:space="preserve">Oxundasjön </v>
      </c>
      <c r="M4085" s="1" t="s">
        <v>213</v>
      </c>
      <c r="N4085" s="1">
        <v>3</v>
      </c>
      <c r="O4085" s="1">
        <v>3</v>
      </c>
      <c r="Q4085" s="1">
        <v>3.6</v>
      </c>
      <c r="R4085" s="1">
        <v>6.2</v>
      </c>
      <c r="S4085" s="1">
        <v>46</v>
      </c>
    </row>
    <row r="4086" spans="1:91" x14ac:dyDescent="0.3">
      <c r="A4086" s="1">
        <v>70273</v>
      </c>
      <c r="B4086" s="1" t="s">
        <v>260</v>
      </c>
      <c r="C4086" s="1" t="s">
        <v>231</v>
      </c>
      <c r="D4086" s="2">
        <f t="shared" si="217"/>
        <v>2019</v>
      </c>
      <c r="E4086" s="2">
        <f t="shared" si="218"/>
        <v>2</v>
      </c>
      <c r="G4086" s="4">
        <v>43521</v>
      </c>
      <c r="H4086" s="1">
        <v>6605701</v>
      </c>
      <c r="I4086" s="1">
        <v>661059</v>
      </c>
      <c r="J4086" s="1" t="s">
        <v>187</v>
      </c>
      <c r="L4086" s="1" t="str">
        <f t="shared" si="216"/>
        <v xml:space="preserve">Oxundasjön </v>
      </c>
      <c r="M4086" s="1" t="s">
        <v>214</v>
      </c>
      <c r="N4086" s="1">
        <v>4</v>
      </c>
      <c r="O4086" s="1">
        <v>4</v>
      </c>
      <c r="Q4086" s="1">
        <v>3.6</v>
      </c>
      <c r="R4086" s="1">
        <v>5.4</v>
      </c>
      <c r="S4086" s="1">
        <v>40</v>
      </c>
    </row>
    <row r="4087" spans="1:91" x14ac:dyDescent="0.3">
      <c r="A4087" s="1">
        <v>70274</v>
      </c>
      <c r="B4087" s="1" t="s">
        <v>260</v>
      </c>
      <c r="C4087" s="1" t="s">
        <v>231</v>
      </c>
      <c r="D4087" s="2">
        <f t="shared" si="217"/>
        <v>2019</v>
      </c>
      <c r="E4087" s="2">
        <f t="shared" si="218"/>
        <v>2</v>
      </c>
      <c r="G4087" s="4">
        <v>43521</v>
      </c>
      <c r="H4087" s="1">
        <v>6605701</v>
      </c>
      <c r="I4087" s="1">
        <v>661059</v>
      </c>
      <c r="J4087" s="1" t="s">
        <v>187</v>
      </c>
      <c r="L4087" s="1" t="str">
        <f t="shared" si="216"/>
        <v xml:space="preserve">Oxundasjön </v>
      </c>
      <c r="M4087" s="1" t="s">
        <v>217</v>
      </c>
      <c r="N4087" s="1">
        <v>5</v>
      </c>
      <c r="O4087" s="1">
        <v>5</v>
      </c>
      <c r="Q4087" s="1">
        <v>3.7</v>
      </c>
      <c r="R4087" s="1">
        <v>4.8</v>
      </c>
      <c r="S4087" s="1">
        <v>36</v>
      </c>
    </row>
    <row r="4088" spans="1:91" x14ac:dyDescent="0.3">
      <c r="A4088" s="1">
        <v>70275</v>
      </c>
      <c r="B4088" s="1" t="s">
        <v>260</v>
      </c>
      <c r="C4088" s="1" t="s">
        <v>231</v>
      </c>
      <c r="D4088" s="2">
        <f t="shared" si="217"/>
        <v>2019</v>
      </c>
      <c r="E4088" s="2">
        <f t="shared" si="218"/>
        <v>2</v>
      </c>
      <c r="G4088" s="4">
        <v>43521</v>
      </c>
      <c r="H4088" s="1">
        <v>6605701</v>
      </c>
      <c r="I4088" s="1">
        <v>661059</v>
      </c>
      <c r="J4088" s="1" t="s">
        <v>187</v>
      </c>
      <c r="L4088" s="1" t="str">
        <f t="shared" si="216"/>
        <v xml:space="preserve">Oxundasjön </v>
      </c>
      <c r="M4088" s="1" t="s">
        <v>184</v>
      </c>
      <c r="N4088" s="1">
        <v>5.5</v>
      </c>
      <c r="O4088" s="1">
        <v>5.5</v>
      </c>
      <c r="Q4088" s="1">
        <v>4.0999999999999996</v>
      </c>
      <c r="R4088" s="1">
        <v>3.5</v>
      </c>
      <c r="S4088" s="1">
        <v>26</v>
      </c>
      <c r="W4088" s="1">
        <v>3.5484</v>
      </c>
      <c r="X4088" s="1">
        <v>1.29373092691378E-2</v>
      </c>
      <c r="Y4088" s="1">
        <v>0.04</v>
      </c>
      <c r="Z4088" s="1">
        <v>21.12</v>
      </c>
      <c r="AA4088" s="1">
        <v>2.5</v>
      </c>
      <c r="AD4088" s="1">
        <v>560.41999999999996</v>
      </c>
      <c r="AE4088" s="1">
        <v>7.5</v>
      </c>
      <c r="AK4088" s="1">
        <v>38.04</v>
      </c>
      <c r="AL4088" s="1">
        <v>1056.9000000000001</v>
      </c>
    </row>
    <row r="4089" spans="1:91" x14ac:dyDescent="0.3">
      <c r="A4089" s="1">
        <v>71050</v>
      </c>
      <c r="B4089" s="1" t="s">
        <v>261</v>
      </c>
      <c r="C4089" s="1" t="s">
        <v>262</v>
      </c>
      <c r="D4089" s="2">
        <f t="shared" si="217"/>
        <v>2019</v>
      </c>
      <c r="E4089" s="2">
        <f t="shared" si="218"/>
        <v>4</v>
      </c>
      <c r="G4089" s="4">
        <v>43564</v>
      </c>
      <c r="H4089" s="1">
        <v>6593563</v>
      </c>
      <c r="I4089" s="1">
        <v>669814</v>
      </c>
      <c r="J4089" s="1" t="s">
        <v>189</v>
      </c>
      <c r="L4089" s="1" t="str">
        <f t="shared" si="216"/>
        <v xml:space="preserve">Rösjön </v>
      </c>
      <c r="M4089" s="1" t="s">
        <v>177</v>
      </c>
      <c r="N4089" s="1">
        <v>0.5</v>
      </c>
      <c r="O4089" s="1">
        <v>0.5</v>
      </c>
      <c r="P4089" s="1">
        <v>2.9</v>
      </c>
      <c r="Q4089" s="1">
        <v>4.9000000000000004</v>
      </c>
      <c r="R4089" s="1">
        <v>11.1</v>
      </c>
      <c r="S4089" s="1">
        <v>89</v>
      </c>
      <c r="W4089" s="1">
        <v>7.9237000000000002</v>
      </c>
      <c r="X4089" s="1">
        <v>7.6986648933544496E-2</v>
      </c>
      <c r="Y4089" s="1">
        <v>3.5999999999999997E-2</v>
      </c>
      <c r="Z4089" s="1">
        <v>0.18</v>
      </c>
      <c r="AA4089" s="1">
        <v>2</v>
      </c>
      <c r="AD4089" s="1">
        <v>151.24</v>
      </c>
      <c r="AE4089" s="1">
        <v>7.9</v>
      </c>
      <c r="AI4089" s="1">
        <v>9.5860000000000003</v>
      </c>
      <c r="AJ4089" s="1">
        <v>8.8940000000000001</v>
      </c>
      <c r="AK4089" s="1">
        <v>18.82</v>
      </c>
      <c r="AL4089" s="1">
        <v>844.28</v>
      </c>
      <c r="AR4089" s="1">
        <v>33</v>
      </c>
      <c r="AS4089" s="1">
        <v>3.2500000000000001E-2</v>
      </c>
      <c r="AT4089" s="1">
        <v>2.4300000000000002</v>
      </c>
      <c r="AU4089" s="1">
        <v>4.37</v>
      </c>
      <c r="AW4089" s="1">
        <v>16.5</v>
      </c>
      <c r="AY4089" s="1">
        <v>1.32</v>
      </c>
      <c r="AZ4089" s="1">
        <v>29</v>
      </c>
      <c r="BA4089" s="1">
        <v>0.622</v>
      </c>
      <c r="BB4089" s="1">
        <v>18.7</v>
      </c>
      <c r="BC4089" s="1">
        <v>1E-3</v>
      </c>
      <c r="BD4089" s="1">
        <v>2.7400000000000001E-2</v>
      </c>
      <c r="BE4089" s="1">
        <v>7.4399999999999897E-2</v>
      </c>
      <c r="BF4089" s="1">
        <v>1.07</v>
      </c>
      <c r="BG4089" s="1">
        <v>1E-3</v>
      </c>
      <c r="BH4089" s="1">
        <v>8.5299999999999905</v>
      </c>
      <c r="BI4089" s="1">
        <v>0.65900000000000003</v>
      </c>
      <c r="BJ4089" s="1">
        <v>0.64600000000000002</v>
      </c>
      <c r="BK4089" s="1">
        <v>12.8</v>
      </c>
      <c r="BL4089" s="1">
        <v>5.65999999999999E-2</v>
      </c>
      <c r="BM4089" s="1">
        <v>83.2</v>
      </c>
      <c r="BN4089" s="1">
        <v>0.22</v>
      </c>
      <c r="BO4089" s="1">
        <v>4.0999999999999899</v>
      </c>
      <c r="BQ4089" s="1">
        <v>5.85</v>
      </c>
      <c r="BR4089" s="1">
        <v>2.5000000000000001E-3</v>
      </c>
      <c r="BS4089" s="1">
        <v>2.01E-2</v>
      </c>
      <c r="BT4089" s="1">
        <v>4.68999999999999E-2</v>
      </c>
      <c r="BU4089" s="1">
        <v>0.68</v>
      </c>
      <c r="BV4089" s="1">
        <v>0.31900000000000001</v>
      </c>
      <c r="BW4089" s="1">
        <v>0.49099999999999899</v>
      </c>
      <c r="BX4089" s="1">
        <v>5.0000000000000001E-3</v>
      </c>
      <c r="BY4089" s="1">
        <v>4.53</v>
      </c>
      <c r="BZ4089" s="1">
        <v>33</v>
      </c>
      <c r="CA4089" s="1">
        <v>4.33</v>
      </c>
      <c r="CC4089" s="1">
        <v>6.0200000000000002E-3</v>
      </c>
      <c r="CD4089" s="1">
        <v>2.4</v>
      </c>
      <c r="CE4089" s="1">
        <v>16.399999999999899</v>
      </c>
      <c r="CF4089" s="1">
        <v>1.26</v>
      </c>
      <c r="CG4089" s="1">
        <v>0.51400000000000001</v>
      </c>
      <c r="CH4089" s="1">
        <v>16.899999999999899</v>
      </c>
      <c r="CI4089" s="1">
        <v>1E-3</v>
      </c>
      <c r="CJ4089" s="1">
        <v>0.70299999999999896</v>
      </c>
      <c r="CK4089" s="1">
        <v>7.28</v>
      </c>
      <c r="CL4089" s="1">
        <v>0.185</v>
      </c>
      <c r="CM4089" s="1">
        <v>82.8</v>
      </c>
    </row>
    <row r="4090" spans="1:91" x14ac:dyDescent="0.3">
      <c r="A4090" s="1">
        <v>71051</v>
      </c>
      <c r="B4090" s="1" t="s">
        <v>261</v>
      </c>
      <c r="C4090" s="1" t="s">
        <v>262</v>
      </c>
      <c r="D4090" s="2">
        <f t="shared" si="217"/>
        <v>2019</v>
      </c>
      <c r="E4090" s="2">
        <f t="shared" si="218"/>
        <v>4</v>
      </c>
      <c r="G4090" s="4">
        <v>43564</v>
      </c>
      <c r="H4090" s="1">
        <v>6593563</v>
      </c>
      <c r="I4090" s="1">
        <v>669814</v>
      </c>
      <c r="J4090" s="1" t="s">
        <v>189</v>
      </c>
      <c r="L4090" s="1" t="str">
        <f t="shared" si="216"/>
        <v xml:space="preserve">Rösjön </v>
      </c>
      <c r="M4090" s="1" t="s">
        <v>211</v>
      </c>
      <c r="N4090" s="1">
        <v>1</v>
      </c>
      <c r="O4090" s="1">
        <v>1</v>
      </c>
      <c r="Q4090" s="1">
        <v>4.9000000000000004</v>
      </c>
      <c r="R4090" s="1">
        <v>11.2</v>
      </c>
      <c r="S4090" s="1">
        <v>91</v>
      </c>
    </row>
    <row r="4091" spans="1:91" x14ac:dyDescent="0.3">
      <c r="A4091" s="1">
        <v>71052</v>
      </c>
      <c r="B4091" s="1" t="s">
        <v>261</v>
      </c>
      <c r="C4091" s="1" t="s">
        <v>262</v>
      </c>
      <c r="D4091" s="2">
        <f t="shared" si="217"/>
        <v>2019</v>
      </c>
      <c r="E4091" s="2">
        <f t="shared" si="218"/>
        <v>4</v>
      </c>
      <c r="G4091" s="4">
        <v>43564</v>
      </c>
      <c r="H4091" s="1">
        <v>6593563</v>
      </c>
      <c r="I4091" s="1">
        <v>669814</v>
      </c>
      <c r="J4091" s="1" t="s">
        <v>189</v>
      </c>
      <c r="L4091" s="1" t="str">
        <f t="shared" si="216"/>
        <v xml:space="preserve">Rösjön </v>
      </c>
      <c r="M4091" s="1" t="s">
        <v>212</v>
      </c>
      <c r="N4091" s="1">
        <v>2</v>
      </c>
      <c r="O4091" s="1">
        <v>2</v>
      </c>
      <c r="Q4091" s="1">
        <v>5</v>
      </c>
      <c r="R4091" s="1">
        <v>11.7</v>
      </c>
      <c r="S4091" s="1">
        <v>95</v>
      </c>
    </row>
    <row r="4092" spans="1:91" x14ac:dyDescent="0.3">
      <c r="A4092" s="1">
        <v>71053</v>
      </c>
      <c r="B4092" s="1" t="s">
        <v>261</v>
      </c>
      <c r="C4092" s="1" t="s">
        <v>262</v>
      </c>
      <c r="D4092" s="2">
        <f t="shared" si="217"/>
        <v>2019</v>
      </c>
      <c r="E4092" s="2">
        <f t="shared" si="218"/>
        <v>4</v>
      </c>
      <c r="G4092" s="4">
        <v>43564</v>
      </c>
      <c r="H4092" s="1">
        <v>6593563</v>
      </c>
      <c r="I4092" s="1">
        <v>669814</v>
      </c>
      <c r="J4092" s="1" t="s">
        <v>189</v>
      </c>
      <c r="L4092" s="1" t="str">
        <f t="shared" si="216"/>
        <v xml:space="preserve">Rösjön </v>
      </c>
      <c r="M4092" s="1" t="s">
        <v>213</v>
      </c>
      <c r="N4092" s="1">
        <v>3</v>
      </c>
      <c r="O4092" s="1">
        <v>3</v>
      </c>
      <c r="Q4092" s="1">
        <v>5</v>
      </c>
      <c r="R4092" s="1">
        <v>12.2</v>
      </c>
      <c r="S4092" s="1">
        <v>99</v>
      </c>
    </row>
    <row r="4093" spans="1:91" x14ac:dyDescent="0.3">
      <c r="A4093" s="1">
        <v>71054</v>
      </c>
      <c r="B4093" s="1" t="s">
        <v>261</v>
      </c>
      <c r="C4093" s="1" t="s">
        <v>262</v>
      </c>
      <c r="D4093" s="2">
        <f t="shared" si="217"/>
        <v>2019</v>
      </c>
      <c r="E4093" s="2">
        <f t="shared" si="218"/>
        <v>4</v>
      </c>
      <c r="G4093" s="4">
        <v>43564</v>
      </c>
      <c r="H4093" s="1">
        <v>6593563</v>
      </c>
      <c r="I4093" s="1">
        <v>669814</v>
      </c>
      <c r="J4093" s="1" t="s">
        <v>189</v>
      </c>
      <c r="L4093" s="1" t="str">
        <f t="shared" si="216"/>
        <v xml:space="preserve">Rösjön </v>
      </c>
      <c r="M4093" s="1" t="s">
        <v>214</v>
      </c>
      <c r="N4093" s="1">
        <v>4</v>
      </c>
      <c r="O4093" s="1">
        <v>4</v>
      </c>
      <c r="Q4093" s="1">
        <v>5</v>
      </c>
      <c r="R4093" s="1">
        <v>12.2</v>
      </c>
      <c r="S4093" s="1">
        <v>99</v>
      </c>
    </row>
    <row r="4094" spans="1:91" x14ac:dyDescent="0.3">
      <c r="A4094" s="1">
        <v>71055</v>
      </c>
      <c r="B4094" s="1" t="s">
        <v>261</v>
      </c>
      <c r="C4094" s="1" t="s">
        <v>262</v>
      </c>
      <c r="D4094" s="2">
        <f t="shared" si="217"/>
        <v>2019</v>
      </c>
      <c r="E4094" s="2">
        <f t="shared" si="218"/>
        <v>4</v>
      </c>
      <c r="G4094" s="4">
        <v>43564</v>
      </c>
      <c r="H4094" s="1">
        <v>6593563</v>
      </c>
      <c r="I4094" s="1">
        <v>669814</v>
      </c>
      <c r="J4094" s="1" t="s">
        <v>189</v>
      </c>
      <c r="L4094" s="1" t="str">
        <f t="shared" ref="L4094:L4157" si="219">CONCATENATE(J4094," ",K4094)</f>
        <v xml:space="preserve">Rösjön </v>
      </c>
      <c r="M4094" s="1" t="s">
        <v>217</v>
      </c>
      <c r="N4094" s="1">
        <v>5</v>
      </c>
      <c r="O4094" s="1">
        <v>5</v>
      </c>
      <c r="Q4094" s="1">
        <v>5.0999999999999996</v>
      </c>
      <c r="R4094" s="1">
        <v>12.4</v>
      </c>
      <c r="S4094" s="1">
        <v>101</v>
      </c>
    </row>
    <row r="4095" spans="1:91" x14ac:dyDescent="0.3">
      <c r="A4095" s="1">
        <v>71056</v>
      </c>
      <c r="B4095" s="1" t="s">
        <v>261</v>
      </c>
      <c r="C4095" s="1" t="s">
        <v>262</v>
      </c>
      <c r="D4095" s="2">
        <f t="shared" si="217"/>
        <v>2019</v>
      </c>
      <c r="E4095" s="2">
        <f t="shared" si="218"/>
        <v>4</v>
      </c>
      <c r="G4095" s="4">
        <v>43564</v>
      </c>
      <c r="H4095" s="1">
        <v>6593563</v>
      </c>
      <c r="I4095" s="1">
        <v>669814</v>
      </c>
      <c r="J4095" s="1" t="s">
        <v>189</v>
      </c>
      <c r="L4095" s="1" t="str">
        <f t="shared" si="219"/>
        <v xml:space="preserve">Rösjön </v>
      </c>
      <c r="M4095" s="1" t="s">
        <v>218</v>
      </c>
      <c r="N4095" s="1">
        <v>6</v>
      </c>
      <c r="O4095" s="1">
        <v>6</v>
      </c>
      <c r="Q4095" s="1">
        <v>5.0999999999999996</v>
      </c>
      <c r="R4095" s="1">
        <v>12.6</v>
      </c>
      <c r="S4095" s="1">
        <v>102</v>
      </c>
    </row>
    <row r="4096" spans="1:91" x14ac:dyDescent="0.3">
      <c r="A4096" s="1">
        <v>71057</v>
      </c>
      <c r="B4096" s="1" t="s">
        <v>261</v>
      </c>
      <c r="C4096" s="1" t="s">
        <v>262</v>
      </c>
      <c r="D4096" s="2">
        <f t="shared" si="217"/>
        <v>2019</v>
      </c>
      <c r="E4096" s="2">
        <f t="shared" si="218"/>
        <v>4</v>
      </c>
      <c r="G4096" s="4">
        <v>43564</v>
      </c>
      <c r="H4096" s="1">
        <v>6593563</v>
      </c>
      <c r="I4096" s="1">
        <v>669814</v>
      </c>
      <c r="J4096" s="1" t="s">
        <v>189</v>
      </c>
      <c r="L4096" s="1" t="str">
        <f t="shared" si="219"/>
        <v xml:space="preserve">Rösjön </v>
      </c>
      <c r="M4096" s="1" t="s">
        <v>184</v>
      </c>
      <c r="N4096" s="1">
        <v>7</v>
      </c>
      <c r="O4096" s="1">
        <v>7</v>
      </c>
      <c r="Q4096" s="1">
        <v>5.0999999999999996</v>
      </c>
      <c r="R4096" s="1">
        <v>12.6</v>
      </c>
      <c r="S4096" s="1">
        <v>102</v>
      </c>
    </row>
    <row r="4097" spans="1:91" x14ac:dyDescent="0.3">
      <c r="A4097" s="1">
        <v>71058</v>
      </c>
      <c r="B4097" s="1" t="s">
        <v>261</v>
      </c>
      <c r="C4097" s="1" t="s">
        <v>262</v>
      </c>
      <c r="D4097" s="2">
        <f t="shared" si="217"/>
        <v>2019</v>
      </c>
      <c r="E4097" s="2">
        <f t="shared" si="218"/>
        <v>4</v>
      </c>
      <c r="G4097" s="4">
        <v>43564</v>
      </c>
      <c r="H4097" s="1">
        <v>6594775</v>
      </c>
      <c r="I4097" s="1">
        <v>668514</v>
      </c>
      <c r="J4097" s="1" t="s">
        <v>192</v>
      </c>
      <c r="L4097" s="1" t="str">
        <f t="shared" si="219"/>
        <v xml:space="preserve">Väsjön </v>
      </c>
      <c r="M4097" s="1" t="s">
        <v>177</v>
      </c>
      <c r="N4097" s="1">
        <v>0.5</v>
      </c>
      <c r="O4097" s="1">
        <v>0.5</v>
      </c>
      <c r="P4097" s="1">
        <v>2.4</v>
      </c>
      <c r="Q4097" s="1">
        <v>5</v>
      </c>
      <c r="R4097" s="1">
        <v>12.3</v>
      </c>
      <c r="S4097" s="1">
        <v>96</v>
      </c>
      <c r="W4097" s="1">
        <v>6.5758999999999999</v>
      </c>
      <c r="X4097" s="1">
        <v>9.4821041991398305E-2</v>
      </c>
      <c r="Y4097" s="1">
        <v>7.0999999999999994E-2</v>
      </c>
      <c r="Z4097" s="1">
        <v>0.86</v>
      </c>
      <c r="AA4097" s="1">
        <v>2.4</v>
      </c>
      <c r="AD4097" s="1">
        <v>21.42</v>
      </c>
      <c r="AE4097" s="1">
        <v>8.07</v>
      </c>
      <c r="AI4097" s="1">
        <v>13.27</v>
      </c>
      <c r="AJ4097" s="1">
        <v>12.5</v>
      </c>
      <c r="AK4097" s="1">
        <v>31.06</v>
      </c>
      <c r="AL4097" s="1">
        <v>858.85</v>
      </c>
      <c r="AR4097" s="1">
        <v>66.099999999999895</v>
      </c>
      <c r="AS4097" s="1">
        <v>4.05999999999999E-2</v>
      </c>
      <c r="AT4097" s="1">
        <v>5.96</v>
      </c>
      <c r="AU4097" s="1">
        <v>8.65</v>
      </c>
      <c r="AW4097" s="1">
        <v>46.4</v>
      </c>
      <c r="AY4097" s="1">
        <v>3.05</v>
      </c>
      <c r="AZ4097" s="1">
        <v>37.1</v>
      </c>
      <c r="BA4097" s="1">
        <v>0.85799999999999899</v>
      </c>
      <c r="BB4097" s="1">
        <v>33.4</v>
      </c>
      <c r="BC4097" s="1">
        <v>2.5300000000000001E-3</v>
      </c>
      <c r="BD4097" s="1">
        <v>6.3E-2</v>
      </c>
      <c r="BE4097" s="1">
        <v>0.1</v>
      </c>
      <c r="BF4097" s="1">
        <v>0.85199999999999898</v>
      </c>
      <c r="BG4097" s="1">
        <v>1E-3</v>
      </c>
      <c r="BH4097" s="1">
        <v>31.8</v>
      </c>
      <c r="BI4097" s="1">
        <v>1.78</v>
      </c>
      <c r="BJ4097" s="1">
        <v>0.56599999999999895</v>
      </c>
      <c r="BK4097" s="1">
        <v>14.7</v>
      </c>
      <c r="BL4097" s="1">
        <v>5.5899999999999901E-2</v>
      </c>
      <c r="BM4097" s="1">
        <v>169</v>
      </c>
      <c r="BN4097" s="1">
        <v>0.32200000000000001</v>
      </c>
      <c r="BO4097" s="1">
        <v>1.35</v>
      </c>
      <c r="BQ4097" s="1">
        <v>9.34</v>
      </c>
      <c r="BR4097" s="1">
        <v>2.7399999999999898E-3</v>
      </c>
      <c r="BS4097" s="1">
        <v>5.57E-2</v>
      </c>
      <c r="BT4097" s="1">
        <v>7.3700000000000002E-2</v>
      </c>
      <c r="BU4097" s="1">
        <v>0.67800000000000005</v>
      </c>
      <c r="BV4097" s="1">
        <v>22.7</v>
      </c>
      <c r="BW4097" s="1">
        <v>0.51900000000000002</v>
      </c>
      <c r="BX4097" s="1">
        <v>2.2700000000000001E-2</v>
      </c>
      <c r="BY4097" s="1">
        <v>2.92</v>
      </c>
      <c r="BZ4097" s="1">
        <v>65.5</v>
      </c>
      <c r="CA4097" s="1">
        <v>8.5500000000000007</v>
      </c>
      <c r="CC4097" s="1">
        <v>1.6500000000000001E-2</v>
      </c>
      <c r="CD4097" s="1">
        <v>5.9</v>
      </c>
      <c r="CE4097" s="1">
        <v>46.8</v>
      </c>
      <c r="CF4097" s="1">
        <v>2.96</v>
      </c>
      <c r="CG4097" s="1">
        <v>0.82099999999999895</v>
      </c>
      <c r="CH4097" s="1">
        <v>32.700000000000003</v>
      </c>
      <c r="CI4097" s="1">
        <v>1E-3</v>
      </c>
      <c r="CJ4097" s="1">
        <v>1.84</v>
      </c>
      <c r="CK4097" s="1">
        <v>9.65</v>
      </c>
      <c r="CL4097" s="1">
        <v>0.26</v>
      </c>
      <c r="CM4097" s="1">
        <v>168</v>
      </c>
    </row>
    <row r="4098" spans="1:91" x14ac:dyDescent="0.3">
      <c r="A4098" s="1">
        <v>71059</v>
      </c>
      <c r="B4098" s="1" t="s">
        <v>261</v>
      </c>
      <c r="C4098" s="1" t="s">
        <v>262</v>
      </c>
      <c r="D4098" s="2">
        <f t="shared" si="217"/>
        <v>2019</v>
      </c>
      <c r="E4098" s="2">
        <f t="shared" si="218"/>
        <v>4</v>
      </c>
      <c r="G4098" s="4">
        <v>43564</v>
      </c>
      <c r="H4098" s="1">
        <v>6594775</v>
      </c>
      <c r="I4098" s="1">
        <v>668514</v>
      </c>
      <c r="J4098" s="1" t="s">
        <v>192</v>
      </c>
      <c r="L4098" s="1" t="str">
        <f t="shared" si="219"/>
        <v xml:space="preserve">Väsjön </v>
      </c>
      <c r="M4098" s="1" t="s">
        <v>211</v>
      </c>
      <c r="N4098" s="1">
        <v>1</v>
      </c>
      <c r="O4098" s="1">
        <v>1</v>
      </c>
      <c r="Q4098" s="1">
        <v>5.0999999999999996</v>
      </c>
      <c r="R4098" s="1">
        <v>12.5</v>
      </c>
      <c r="S4098" s="1">
        <v>98</v>
      </c>
    </row>
    <row r="4099" spans="1:91" x14ac:dyDescent="0.3">
      <c r="A4099" s="1">
        <v>71060</v>
      </c>
      <c r="B4099" s="1" t="s">
        <v>261</v>
      </c>
      <c r="C4099" s="1" t="s">
        <v>262</v>
      </c>
      <c r="D4099" s="2">
        <f t="shared" si="217"/>
        <v>2019</v>
      </c>
      <c r="E4099" s="2">
        <f t="shared" si="218"/>
        <v>4</v>
      </c>
      <c r="G4099" s="4">
        <v>43564</v>
      </c>
      <c r="H4099" s="1">
        <v>6594775</v>
      </c>
      <c r="I4099" s="1">
        <v>668514</v>
      </c>
      <c r="J4099" s="1" t="s">
        <v>192</v>
      </c>
      <c r="L4099" s="1" t="str">
        <f t="shared" si="219"/>
        <v xml:space="preserve">Väsjön </v>
      </c>
      <c r="M4099" s="1" t="s">
        <v>212</v>
      </c>
      <c r="N4099" s="1">
        <v>2</v>
      </c>
      <c r="O4099" s="1">
        <v>2</v>
      </c>
      <c r="Q4099" s="1">
        <v>5.2</v>
      </c>
      <c r="R4099" s="1">
        <v>12.8</v>
      </c>
      <c r="S4099" s="1">
        <v>100</v>
      </c>
    </row>
    <row r="4100" spans="1:91" x14ac:dyDescent="0.3">
      <c r="A4100" s="1">
        <v>71061</v>
      </c>
      <c r="B4100" s="1" t="s">
        <v>261</v>
      </c>
      <c r="C4100" s="1" t="s">
        <v>262</v>
      </c>
      <c r="D4100" s="2">
        <f t="shared" si="217"/>
        <v>2019</v>
      </c>
      <c r="E4100" s="2">
        <f t="shared" si="218"/>
        <v>4</v>
      </c>
      <c r="G4100" s="4">
        <v>43564</v>
      </c>
      <c r="H4100" s="1">
        <v>6594775</v>
      </c>
      <c r="I4100" s="1">
        <v>668514</v>
      </c>
      <c r="J4100" s="1" t="s">
        <v>192</v>
      </c>
      <c r="L4100" s="1" t="str">
        <f t="shared" si="219"/>
        <v xml:space="preserve">Väsjön </v>
      </c>
      <c r="M4100" s="1" t="s">
        <v>184</v>
      </c>
      <c r="N4100" s="1">
        <v>2.5</v>
      </c>
      <c r="O4100" s="1">
        <v>2.5</v>
      </c>
      <c r="Q4100" s="1">
        <v>5.3</v>
      </c>
      <c r="R4100" s="1">
        <v>13.2</v>
      </c>
      <c r="S4100" s="1">
        <v>104</v>
      </c>
    </row>
    <row r="4101" spans="1:91" x14ac:dyDescent="0.3">
      <c r="A4101" s="1">
        <v>74222</v>
      </c>
      <c r="B4101" s="1" t="s">
        <v>260</v>
      </c>
      <c r="C4101" s="1" t="s">
        <v>231</v>
      </c>
      <c r="D4101" s="2">
        <f t="shared" si="217"/>
        <v>2019</v>
      </c>
      <c r="E4101" s="2">
        <f t="shared" si="218"/>
        <v>8</v>
      </c>
      <c r="G4101" s="4">
        <v>43690</v>
      </c>
      <c r="H4101" s="1">
        <v>6598995</v>
      </c>
      <c r="I4101" s="1">
        <v>667864</v>
      </c>
      <c r="J4101" s="1" t="s">
        <v>186</v>
      </c>
      <c r="K4101" s="29" t="s">
        <v>211</v>
      </c>
      <c r="L4101" s="1" t="str">
        <f t="shared" si="219"/>
        <v>Norrviken 1</v>
      </c>
      <c r="M4101" s="1" t="s">
        <v>177</v>
      </c>
      <c r="N4101" s="1">
        <v>0.5</v>
      </c>
      <c r="O4101" s="1">
        <v>0.5</v>
      </c>
      <c r="P4101" s="1">
        <v>1</v>
      </c>
      <c r="Q4101" s="1">
        <v>19.8</v>
      </c>
      <c r="R4101" s="1">
        <v>10.5</v>
      </c>
      <c r="S4101" s="1">
        <v>116</v>
      </c>
      <c r="V4101" s="1">
        <v>2.4431811765</v>
      </c>
      <c r="W4101" s="1">
        <v>6.2255000000000003</v>
      </c>
      <c r="X4101" s="1">
        <v>1.0377118998754509</v>
      </c>
      <c r="Y4101" s="1">
        <v>5.2999999999999999E-2</v>
      </c>
      <c r="Z4101" s="1">
        <v>7.68</v>
      </c>
      <c r="AA4101" s="1">
        <v>11.2</v>
      </c>
      <c r="AB4101" s="1">
        <v>77.725260000000006</v>
      </c>
      <c r="AD4101" s="1">
        <v>3.55</v>
      </c>
      <c r="AE4101" s="1">
        <v>8.7100000000000009</v>
      </c>
      <c r="AK4101" s="1">
        <v>116.53</v>
      </c>
      <c r="AL4101" s="1">
        <v>1320.88</v>
      </c>
    </row>
    <row r="4102" spans="1:91" x14ac:dyDescent="0.3">
      <c r="A4102" s="1">
        <v>74223</v>
      </c>
      <c r="B4102" s="1" t="s">
        <v>260</v>
      </c>
      <c r="C4102" s="1" t="s">
        <v>231</v>
      </c>
      <c r="D4102" s="2">
        <f t="shared" ref="D4102:D4165" si="220">YEAR(G4102)</f>
        <v>2019</v>
      </c>
      <c r="E4102" s="2">
        <f t="shared" ref="E4102:E4165" si="221">MONTH(G4102)</f>
        <v>8</v>
      </c>
      <c r="G4102" s="4">
        <v>43690</v>
      </c>
      <c r="H4102" s="1">
        <v>6598995</v>
      </c>
      <c r="I4102" s="1">
        <v>667864</v>
      </c>
      <c r="J4102" s="1" t="s">
        <v>186</v>
      </c>
      <c r="K4102" s="29" t="s">
        <v>211</v>
      </c>
      <c r="L4102" s="1" t="str">
        <f t="shared" si="219"/>
        <v>Norrviken 1</v>
      </c>
      <c r="M4102" s="1" t="s">
        <v>211</v>
      </c>
      <c r="N4102" s="1">
        <v>1</v>
      </c>
      <c r="O4102" s="1">
        <v>1</v>
      </c>
      <c r="Q4102" s="1">
        <v>19.899999999999999</v>
      </c>
      <c r="R4102" s="1">
        <v>10.5</v>
      </c>
      <c r="S4102" s="1">
        <v>116</v>
      </c>
    </row>
    <row r="4103" spans="1:91" x14ac:dyDescent="0.3">
      <c r="A4103" s="1">
        <v>74224</v>
      </c>
      <c r="B4103" s="1" t="s">
        <v>260</v>
      </c>
      <c r="C4103" s="1" t="s">
        <v>231</v>
      </c>
      <c r="D4103" s="2">
        <f t="shared" si="220"/>
        <v>2019</v>
      </c>
      <c r="E4103" s="2">
        <f t="shared" si="221"/>
        <v>8</v>
      </c>
      <c r="G4103" s="4">
        <v>43690</v>
      </c>
      <c r="H4103" s="1">
        <v>6598995</v>
      </c>
      <c r="I4103" s="1">
        <v>667864</v>
      </c>
      <c r="J4103" s="1" t="s">
        <v>186</v>
      </c>
      <c r="K4103" s="29" t="s">
        <v>211</v>
      </c>
      <c r="L4103" s="1" t="str">
        <f t="shared" si="219"/>
        <v>Norrviken 1</v>
      </c>
      <c r="M4103" s="1" t="s">
        <v>212</v>
      </c>
      <c r="N4103" s="1">
        <v>2</v>
      </c>
      <c r="O4103" s="1">
        <v>2</v>
      </c>
      <c r="Q4103" s="1">
        <v>19.899999999999999</v>
      </c>
      <c r="R4103" s="1">
        <v>10.1</v>
      </c>
      <c r="S4103" s="1">
        <v>111</v>
      </c>
    </row>
    <row r="4104" spans="1:91" x14ac:dyDescent="0.3">
      <c r="A4104" s="1">
        <v>74225</v>
      </c>
      <c r="B4104" s="1" t="s">
        <v>260</v>
      </c>
      <c r="C4104" s="1" t="s">
        <v>231</v>
      </c>
      <c r="D4104" s="2">
        <f t="shared" si="220"/>
        <v>2019</v>
      </c>
      <c r="E4104" s="2">
        <f t="shared" si="221"/>
        <v>8</v>
      </c>
      <c r="G4104" s="4">
        <v>43690</v>
      </c>
      <c r="H4104" s="1">
        <v>6598995</v>
      </c>
      <c r="I4104" s="1">
        <v>667864</v>
      </c>
      <c r="J4104" s="1" t="s">
        <v>186</v>
      </c>
      <c r="K4104" s="29" t="s">
        <v>211</v>
      </c>
      <c r="L4104" s="1" t="str">
        <f t="shared" si="219"/>
        <v>Norrviken 1</v>
      </c>
      <c r="M4104" s="1" t="s">
        <v>184</v>
      </c>
      <c r="N4104" s="1">
        <v>2.5</v>
      </c>
      <c r="O4104" s="1">
        <v>2.5</v>
      </c>
      <c r="Q4104" s="1">
        <v>19.899999999999999</v>
      </c>
      <c r="R4104" s="1">
        <v>9</v>
      </c>
      <c r="S4104" s="1">
        <v>100</v>
      </c>
      <c r="V4104" s="1">
        <v>2.4431811765</v>
      </c>
      <c r="W4104" s="1">
        <v>7.0876999999999999</v>
      </c>
      <c r="X4104" s="1">
        <v>1.1218761237938786</v>
      </c>
      <c r="Y4104" s="1">
        <v>5.3999999999999999E-2</v>
      </c>
      <c r="Z4104" s="1">
        <v>4.45</v>
      </c>
      <c r="AA4104" s="1">
        <v>12.7</v>
      </c>
      <c r="AD4104" s="1">
        <v>2.04</v>
      </c>
      <c r="AE4104" s="1">
        <v>8.68</v>
      </c>
      <c r="AK4104" s="1">
        <v>113.99</v>
      </c>
      <c r="AL4104" s="1">
        <v>1280.7</v>
      </c>
    </row>
    <row r="4105" spans="1:91" x14ac:dyDescent="0.3">
      <c r="A4105" s="1">
        <v>74226</v>
      </c>
      <c r="B4105" s="1" t="s">
        <v>260</v>
      </c>
      <c r="C4105" s="1" t="s">
        <v>231</v>
      </c>
      <c r="D4105" s="2">
        <f t="shared" si="220"/>
        <v>2019</v>
      </c>
      <c r="E4105" s="2">
        <f t="shared" si="221"/>
        <v>8</v>
      </c>
      <c r="G4105" s="4">
        <v>43690</v>
      </c>
      <c r="J4105" s="1" t="s">
        <v>186</v>
      </c>
      <c r="K4105" s="29" t="s">
        <v>211</v>
      </c>
      <c r="L4105" s="1" t="str">
        <f t="shared" si="219"/>
        <v>Norrviken 1</v>
      </c>
      <c r="M4105" s="1" t="s">
        <v>225</v>
      </c>
      <c r="N4105" s="1">
        <v>2</v>
      </c>
      <c r="O4105" s="1">
        <v>0</v>
      </c>
      <c r="AB4105" s="1">
        <v>77.725260000000006</v>
      </c>
    </row>
    <row r="4106" spans="1:91" x14ac:dyDescent="0.3">
      <c r="A4106" s="1">
        <v>74227</v>
      </c>
      <c r="B4106" s="1" t="s">
        <v>260</v>
      </c>
      <c r="C4106" s="1" t="s">
        <v>231</v>
      </c>
      <c r="D4106" s="2">
        <f t="shared" si="220"/>
        <v>2019</v>
      </c>
      <c r="E4106" s="2">
        <f t="shared" si="221"/>
        <v>8</v>
      </c>
      <c r="G4106" s="4">
        <v>43690</v>
      </c>
      <c r="H4106" s="1">
        <v>6596347</v>
      </c>
      <c r="I4106" s="1">
        <v>665902</v>
      </c>
      <c r="J4106" s="1" t="s">
        <v>186</v>
      </c>
      <c r="K4106" s="29" t="s">
        <v>212</v>
      </c>
      <c r="L4106" s="1" t="str">
        <f t="shared" si="219"/>
        <v>Norrviken 2</v>
      </c>
      <c r="M4106" s="1" t="s">
        <v>177</v>
      </c>
      <c r="N4106" s="1">
        <v>0.5</v>
      </c>
      <c r="O4106" s="1">
        <v>0.5</v>
      </c>
      <c r="P4106" s="1">
        <v>1.9</v>
      </c>
      <c r="Q4106" s="1">
        <v>19.8</v>
      </c>
      <c r="R4106" s="1">
        <v>8.4</v>
      </c>
      <c r="S4106" s="1">
        <v>92</v>
      </c>
      <c r="V4106" s="1">
        <v>2.4239435293999998</v>
      </c>
      <c r="W4106" s="1">
        <v>45.420200000000001</v>
      </c>
      <c r="X4106" s="1">
        <v>3.8049349260864895</v>
      </c>
      <c r="Y4106" s="1">
        <v>4.3999999999999997E-2</v>
      </c>
      <c r="Z4106" s="1">
        <v>24.9</v>
      </c>
      <c r="AA4106" s="1">
        <v>6.8</v>
      </c>
      <c r="AB4106" s="1">
        <v>18.803879999999999</v>
      </c>
      <c r="AD4106" s="1">
        <v>10.87</v>
      </c>
      <c r="AE4106" s="1">
        <v>8.3699999999999992</v>
      </c>
      <c r="AK4106" s="1">
        <v>83.01</v>
      </c>
      <c r="AL4106" s="1">
        <v>963.21</v>
      </c>
    </row>
    <row r="4107" spans="1:91" x14ac:dyDescent="0.3">
      <c r="A4107" s="1">
        <v>74228</v>
      </c>
      <c r="B4107" s="1" t="s">
        <v>260</v>
      </c>
      <c r="C4107" s="1" t="s">
        <v>231</v>
      </c>
      <c r="D4107" s="2">
        <f t="shared" si="220"/>
        <v>2019</v>
      </c>
      <c r="E4107" s="2">
        <f t="shared" si="221"/>
        <v>8</v>
      </c>
      <c r="G4107" s="4">
        <v>43690</v>
      </c>
      <c r="H4107" s="1">
        <v>6596347</v>
      </c>
      <c r="I4107" s="1">
        <v>665902</v>
      </c>
      <c r="J4107" s="1" t="s">
        <v>186</v>
      </c>
      <c r="K4107" s="29" t="s">
        <v>212</v>
      </c>
      <c r="L4107" s="1" t="str">
        <f t="shared" si="219"/>
        <v>Norrviken 2</v>
      </c>
      <c r="M4107" s="1" t="s">
        <v>211</v>
      </c>
      <c r="N4107" s="1">
        <v>1</v>
      </c>
      <c r="O4107" s="1">
        <v>1</v>
      </c>
      <c r="Q4107" s="1">
        <v>19.899999999999999</v>
      </c>
      <c r="R4107" s="1">
        <v>8.3000000000000007</v>
      </c>
      <c r="S4107" s="1">
        <v>92</v>
      </c>
    </row>
    <row r="4108" spans="1:91" x14ac:dyDescent="0.3">
      <c r="A4108" s="1">
        <v>74229</v>
      </c>
      <c r="B4108" s="1" t="s">
        <v>260</v>
      </c>
      <c r="C4108" s="1" t="s">
        <v>231</v>
      </c>
      <c r="D4108" s="2">
        <f t="shared" si="220"/>
        <v>2019</v>
      </c>
      <c r="E4108" s="2">
        <f t="shared" si="221"/>
        <v>8</v>
      </c>
      <c r="G4108" s="4">
        <v>43690</v>
      </c>
      <c r="H4108" s="1">
        <v>6596347</v>
      </c>
      <c r="I4108" s="1">
        <v>665902</v>
      </c>
      <c r="J4108" s="1" t="s">
        <v>186</v>
      </c>
      <c r="K4108" s="29" t="s">
        <v>212</v>
      </c>
      <c r="L4108" s="1" t="str">
        <f t="shared" si="219"/>
        <v>Norrviken 2</v>
      </c>
      <c r="M4108" s="1" t="s">
        <v>212</v>
      </c>
      <c r="N4108" s="1">
        <v>2</v>
      </c>
      <c r="O4108" s="1">
        <v>2</v>
      </c>
      <c r="Q4108" s="1">
        <v>20</v>
      </c>
      <c r="R4108" s="1">
        <v>8.1999999999999993</v>
      </c>
      <c r="S4108" s="1">
        <v>91</v>
      </c>
    </row>
    <row r="4109" spans="1:91" x14ac:dyDescent="0.3">
      <c r="A4109" s="1">
        <v>74230</v>
      </c>
      <c r="B4109" s="1" t="s">
        <v>260</v>
      </c>
      <c r="C4109" s="1" t="s">
        <v>231</v>
      </c>
      <c r="D4109" s="2">
        <f t="shared" si="220"/>
        <v>2019</v>
      </c>
      <c r="E4109" s="2">
        <f t="shared" si="221"/>
        <v>8</v>
      </c>
      <c r="G4109" s="4">
        <v>43690</v>
      </c>
      <c r="H4109" s="1">
        <v>6596347</v>
      </c>
      <c r="I4109" s="1">
        <v>665902</v>
      </c>
      <c r="J4109" s="1" t="s">
        <v>186</v>
      </c>
      <c r="K4109" s="29" t="s">
        <v>212</v>
      </c>
      <c r="L4109" s="1" t="str">
        <f t="shared" si="219"/>
        <v>Norrviken 2</v>
      </c>
      <c r="M4109" s="1" t="s">
        <v>213</v>
      </c>
      <c r="N4109" s="1">
        <v>3</v>
      </c>
      <c r="O4109" s="1">
        <v>3</v>
      </c>
      <c r="Q4109" s="1">
        <v>20</v>
      </c>
      <c r="R4109" s="1">
        <v>8.1999999999999993</v>
      </c>
      <c r="S4109" s="1">
        <v>91</v>
      </c>
    </row>
    <row r="4110" spans="1:91" x14ac:dyDescent="0.3">
      <c r="A4110" s="1">
        <v>74231</v>
      </c>
      <c r="B4110" s="1" t="s">
        <v>260</v>
      </c>
      <c r="C4110" s="1" t="s">
        <v>231</v>
      </c>
      <c r="D4110" s="2">
        <f t="shared" si="220"/>
        <v>2019</v>
      </c>
      <c r="E4110" s="2">
        <f t="shared" si="221"/>
        <v>8</v>
      </c>
      <c r="G4110" s="4">
        <v>43690</v>
      </c>
      <c r="H4110" s="1">
        <v>6596347</v>
      </c>
      <c r="I4110" s="1">
        <v>665902</v>
      </c>
      <c r="J4110" s="1" t="s">
        <v>186</v>
      </c>
      <c r="K4110" s="29" t="s">
        <v>212</v>
      </c>
      <c r="L4110" s="1" t="str">
        <f t="shared" si="219"/>
        <v>Norrviken 2</v>
      </c>
      <c r="M4110" s="1" t="s">
        <v>214</v>
      </c>
      <c r="N4110" s="1">
        <v>4</v>
      </c>
      <c r="O4110" s="1">
        <v>4</v>
      </c>
      <c r="Q4110" s="1">
        <v>20</v>
      </c>
      <c r="R4110" s="1">
        <v>8.1</v>
      </c>
      <c r="S4110" s="1">
        <v>90</v>
      </c>
    </row>
    <row r="4111" spans="1:91" x14ac:dyDescent="0.3">
      <c r="A4111" s="1">
        <v>74232</v>
      </c>
      <c r="B4111" s="1" t="s">
        <v>260</v>
      </c>
      <c r="C4111" s="1" t="s">
        <v>231</v>
      </c>
      <c r="D4111" s="2">
        <f t="shared" si="220"/>
        <v>2019</v>
      </c>
      <c r="E4111" s="2">
        <f t="shared" si="221"/>
        <v>8</v>
      </c>
      <c r="G4111" s="4">
        <v>43690</v>
      </c>
      <c r="H4111" s="1">
        <v>6596347</v>
      </c>
      <c r="I4111" s="1">
        <v>665902</v>
      </c>
      <c r="J4111" s="1" t="s">
        <v>186</v>
      </c>
      <c r="K4111" s="29" t="s">
        <v>212</v>
      </c>
      <c r="L4111" s="1" t="str">
        <f t="shared" si="219"/>
        <v>Norrviken 2</v>
      </c>
      <c r="M4111" s="1" t="s">
        <v>217</v>
      </c>
      <c r="N4111" s="1">
        <v>5</v>
      </c>
      <c r="O4111" s="1">
        <v>5</v>
      </c>
      <c r="Q4111" s="1">
        <v>20.100000000000001</v>
      </c>
      <c r="R4111" s="1">
        <v>8</v>
      </c>
      <c r="S4111" s="1">
        <v>89</v>
      </c>
    </row>
    <row r="4112" spans="1:91" x14ac:dyDescent="0.3">
      <c r="A4112" s="1">
        <v>74233</v>
      </c>
      <c r="B4112" s="1" t="s">
        <v>260</v>
      </c>
      <c r="C4112" s="1" t="s">
        <v>231</v>
      </c>
      <c r="D4112" s="2">
        <f t="shared" si="220"/>
        <v>2019</v>
      </c>
      <c r="E4112" s="2">
        <f t="shared" si="221"/>
        <v>8</v>
      </c>
      <c r="G4112" s="4">
        <v>43690</v>
      </c>
      <c r="H4112" s="1">
        <v>6596347</v>
      </c>
      <c r="I4112" s="1">
        <v>665902</v>
      </c>
      <c r="J4112" s="1" t="s">
        <v>186</v>
      </c>
      <c r="K4112" s="29" t="s">
        <v>212</v>
      </c>
      <c r="L4112" s="1" t="str">
        <f t="shared" si="219"/>
        <v>Norrviken 2</v>
      </c>
      <c r="M4112" s="1" t="s">
        <v>218</v>
      </c>
      <c r="N4112" s="1">
        <v>6</v>
      </c>
      <c r="O4112" s="1">
        <v>6</v>
      </c>
      <c r="Q4112" s="1">
        <v>20.100000000000001</v>
      </c>
      <c r="R4112" s="1">
        <v>7.9</v>
      </c>
      <c r="S4112" s="1">
        <v>88</v>
      </c>
    </row>
    <row r="4113" spans="1:38" x14ac:dyDescent="0.3">
      <c r="A4113" s="1">
        <v>74234</v>
      </c>
      <c r="B4113" s="1" t="s">
        <v>260</v>
      </c>
      <c r="C4113" s="1" t="s">
        <v>231</v>
      </c>
      <c r="D4113" s="2">
        <f t="shared" si="220"/>
        <v>2019</v>
      </c>
      <c r="E4113" s="2">
        <f t="shared" si="221"/>
        <v>8</v>
      </c>
      <c r="G4113" s="4">
        <v>43690</v>
      </c>
      <c r="H4113" s="1">
        <v>6596347</v>
      </c>
      <c r="I4113" s="1">
        <v>665902</v>
      </c>
      <c r="J4113" s="1" t="s">
        <v>186</v>
      </c>
      <c r="K4113" s="29" t="s">
        <v>212</v>
      </c>
      <c r="L4113" s="1" t="str">
        <f t="shared" si="219"/>
        <v>Norrviken 2</v>
      </c>
      <c r="M4113" s="1" t="s">
        <v>219</v>
      </c>
      <c r="N4113" s="1">
        <v>7</v>
      </c>
      <c r="O4113" s="1">
        <v>7</v>
      </c>
      <c r="Q4113" s="1">
        <v>18.7</v>
      </c>
      <c r="R4113" s="1">
        <v>1.9</v>
      </c>
      <c r="S4113" s="1">
        <v>21</v>
      </c>
    </row>
    <row r="4114" spans="1:38" x14ac:dyDescent="0.3">
      <c r="A4114" s="1">
        <v>74235</v>
      </c>
      <c r="B4114" s="1" t="s">
        <v>260</v>
      </c>
      <c r="C4114" s="1" t="s">
        <v>231</v>
      </c>
      <c r="D4114" s="2">
        <f t="shared" si="220"/>
        <v>2019</v>
      </c>
      <c r="E4114" s="2">
        <f t="shared" si="221"/>
        <v>8</v>
      </c>
      <c r="G4114" s="4">
        <v>43690</v>
      </c>
      <c r="H4114" s="1">
        <v>6596347</v>
      </c>
      <c r="I4114" s="1">
        <v>665902</v>
      </c>
      <c r="J4114" s="1" t="s">
        <v>186</v>
      </c>
      <c r="K4114" s="29" t="s">
        <v>212</v>
      </c>
      <c r="L4114" s="1" t="str">
        <f t="shared" si="219"/>
        <v>Norrviken 2</v>
      </c>
      <c r="M4114" s="1" t="s">
        <v>220</v>
      </c>
      <c r="N4114" s="1">
        <v>8</v>
      </c>
      <c r="O4114" s="1">
        <v>8</v>
      </c>
      <c r="Q4114" s="1">
        <v>17</v>
      </c>
      <c r="R4114" s="1">
        <v>0.1</v>
      </c>
      <c r="S4114" s="1">
        <v>1</v>
      </c>
    </row>
    <row r="4115" spans="1:38" x14ac:dyDescent="0.3">
      <c r="A4115" s="1">
        <v>74236</v>
      </c>
      <c r="B4115" s="1" t="s">
        <v>260</v>
      </c>
      <c r="C4115" s="1" t="s">
        <v>231</v>
      </c>
      <c r="D4115" s="2">
        <f t="shared" si="220"/>
        <v>2019</v>
      </c>
      <c r="E4115" s="2">
        <f t="shared" si="221"/>
        <v>8</v>
      </c>
      <c r="G4115" s="4">
        <v>43690</v>
      </c>
      <c r="H4115" s="1">
        <v>6596347</v>
      </c>
      <c r="I4115" s="1">
        <v>665902</v>
      </c>
      <c r="J4115" s="1" t="s">
        <v>186</v>
      </c>
      <c r="K4115" s="29" t="s">
        <v>212</v>
      </c>
      <c r="L4115" s="1" t="str">
        <f t="shared" si="219"/>
        <v>Norrviken 2</v>
      </c>
      <c r="M4115" s="1" t="s">
        <v>184</v>
      </c>
      <c r="N4115" s="1">
        <v>9</v>
      </c>
      <c r="O4115" s="1">
        <v>9</v>
      </c>
      <c r="Q4115" s="1">
        <v>16.2</v>
      </c>
      <c r="R4115" s="1">
        <v>0.1</v>
      </c>
      <c r="S4115" s="1">
        <v>1</v>
      </c>
      <c r="V4115" s="1">
        <v>2.6547952940999999</v>
      </c>
      <c r="W4115" s="1">
        <v>273.40499999999997</v>
      </c>
      <c r="X4115" s="1">
        <v>6.194517572355533</v>
      </c>
      <c r="Y4115" s="1">
        <v>4.1000000000000002E-2</v>
      </c>
      <c r="Z4115" s="1">
        <v>203.29</v>
      </c>
      <c r="AA4115" s="1">
        <v>6.7</v>
      </c>
      <c r="AD4115" s="1">
        <v>4.25</v>
      </c>
      <c r="AE4115" s="1">
        <v>7.89</v>
      </c>
      <c r="AK4115" s="1">
        <v>246.2</v>
      </c>
      <c r="AL4115" s="1">
        <v>1014.9</v>
      </c>
    </row>
    <row r="4116" spans="1:38" x14ac:dyDescent="0.3">
      <c r="A4116" s="1">
        <v>74237</v>
      </c>
      <c r="B4116" s="1" t="s">
        <v>260</v>
      </c>
      <c r="C4116" s="1" t="s">
        <v>231</v>
      </c>
      <c r="D4116" s="2">
        <f t="shared" si="220"/>
        <v>2019</v>
      </c>
      <c r="E4116" s="2">
        <f t="shared" si="221"/>
        <v>8</v>
      </c>
      <c r="G4116" s="4">
        <v>43690</v>
      </c>
      <c r="J4116" s="1" t="s">
        <v>186</v>
      </c>
      <c r="K4116" s="29" t="s">
        <v>212</v>
      </c>
      <c r="L4116" s="1" t="str">
        <f t="shared" si="219"/>
        <v>Norrviken 2</v>
      </c>
      <c r="M4116" s="1" t="s">
        <v>228</v>
      </c>
      <c r="N4116" s="1">
        <v>4</v>
      </c>
      <c r="O4116" s="1">
        <v>0</v>
      </c>
    </row>
    <row r="4117" spans="1:38" x14ac:dyDescent="0.3">
      <c r="A4117" s="1">
        <v>74238</v>
      </c>
      <c r="B4117" s="1" t="s">
        <v>260</v>
      </c>
      <c r="C4117" s="1" t="s">
        <v>231</v>
      </c>
      <c r="D4117" s="2">
        <f t="shared" si="220"/>
        <v>2019</v>
      </c>
      <c r="E4117" s="2">
        <f t="shared" si="221"/>
        <v>8</v>
      </c>
      <c r="G4117" s="4">
        <v>43690</v>
      </c>
      <c r="H4117" s="1">
        <v>6594617</v>
      </c>
      <c r="I4117" s="1">
        <v>666323</v>
      </c>
      <c r="J4117" s="1" t="s">
        <v>186</v>
      </c>
      <c r="K4117" s="29" t="s">
        <v>213</v>
      </c>
      <c r="L4117" s="1" t="str">
        <f t="shared" si="219"/>
        <v>Norrviken 3</v>
      </c>
      <c r="M4117" s="1" t="s">
        <v>177</v>
      </c>
      <c r="N4117" s="1">
        <v>0.5</v>
      </c>
      <c r="O4117" s="1">
        <v>0.5</v>
      </c>
      <c r="P4117" s="1">
        <v>3.1</v>
      </c>
      <c r="Q4117" s="1">
        <v>19.8</v>
      </c>
      <c r="R4117" s="1">
        <v>8.1</v>
      </c>
      <c r="S4117" s="1">
        <v>90</v>
      </c>
      <c r="V4117" s="1">
        <v>2.3277552941000001</v>
      </c>
      <c r="W4117" s="1">
        <v>47.216999999999999</v>
      </c>
      <c r="X4117" s="1">
        <v>2.9971716810892262</v>
      </c>
      <c r="Y4117" s="1">
        <v>4.2999999999999997E-2</v>
      </c>
      <c r="Z4117" s="1">
        <v>29.76</v>
      </c>
      <c r="AA4117" s="1">
        <v>3.8</v>
      </c>
      <c r="AB4117" s="1">
        <v>11.093400000000001</v>
      </c>
      <c r="AD4117" s="1">
        <v>8.15</v>
      </c>
      <c r="AE4117" s="1">
        <v>8.24</v>
      </c>
      <c r="AK4117" s="1">
        <v>62.47</v>
      </c>
      <c r="AL4117" s="1">
        <v>866</v>
      </c>
    </row>
    <row r="4118" spans="1:38" x14ac:dyDescent="0.3">
      <c r="A4118" s="1">
        <v>74239</v>
      </c>
      <c r="B4118" s="1" t="s">
        <v>260</v>
      </c>
      <c r="C4118" s="1" t="s">
        <v>231</v>
      </c>
      <c r="D4118" s="2">
        <f t="shared" si="220"/>
        <v>2019</v>
      </c>
      <c r="E4118" s="2">
        <f t="shared" si="221"/>
        <v>8</v>
      </c>
      <c r="G4118" s="4">
        <v>43690</v>
      </c>
      <c r="H4118" s="1">
        <v>6594617</v>
      </c>
      <c r="I4118" s="1">
        <v>666323</v>
      </c>
      <c r="J4118" s="1" t="s">
        <v>186</v>
      </c>
      <c r="K4118" s="29" t="s">
        <v>213</v>
      </c>
      <c r="L4118" s="1" t="str">
        <f t="shared" si="219"/>
        <v>Norrviken 3</v>
      </c>
      <c r="M4118" s="1" t="s">
        <v>211</v>
      </c>
      <c r="N4118" s="1">
        <v>1</v>
      </c>
      <c r="O4118" s="1">
        <v>1</v>
      </c>
      <c r="Q4118" s="1">
        <v>19.899999999999999</v>
      </c>
      <c r="R4118" s="1">
        <v>8.1</v>
      </c>
      <c r="S4118" s="1">
        <v>90</v>
      </c>
    </row>
    <row r="4119" spans="1:38" x14ac:dyDescent="0.3">
      <c r="A4119" s="1">
        <v>74240</v>
      </c>
      <c r="B4119" s="1" t="s">
        <v>260</v>
      </c>
      <c r="C4119" s="1" t="s">
        <v>231</v>
      </c>
      <c r="D4119" s="2">
        <f t="shared" si="220"/>
        <v>2019</v>
      </c>
      <c r="E4119" s="2">
        <f t="shared" si="221"/>
        <v>8</v>
      </c>
      <c r="G4119" s="4">
        <v>43690</v>
      </c>
      <c r="H4119" s="1">
        <v>6594617</v>
      </c>
      <c r="I4119" s="1">
        <v>666323</v>
      </c>
      <c r="J4119" s="1" t="s">
        <v>186</v>
      </c>
      <c r="K4119" s="29" t="s">
        <v>213</v>
      </c>
      <c r="L4119" s="1" t="str">
        <f t="shared" si="219"/>
        <v>Norrviken 3</v>
      </c>
      <c r="M4119" s="1" t="s">
        <v>212</v>
      </c>
      <c r="N4119" s="1">
        <v>2</v>
      </c>
      <c r="O4119" s="1">
        <v>2</v>
      </c>
      <c r="Q4119" s="1">
        <v>20</v>
      </c>
      <c r="R4119" s="1">
        <v>8</v>
      </c>
      <c r="S4119" s="1">
        <v>89</v>
      </c>
    </row>
    <row r="4120" spans="1:38" x14ac:dyDescent="0.3">
      <c r="A4120" s="1">
        <v>74241</v>
      </c>
      <c r="B4120" s="1" t="s">
        <v>260</v>
      </c>
      <c r="C4120" s="1" t="s">
        <v>231</v>
      </c>
      <c r="D4120" s="2">
        <f t="shared" si="220"/>
        <v>2019</v>
      </c>
      <c r="E4120" s="2">
        <f t="shared" si="221"/>
        <v>8</v>
      </c>
      <c r="G4120" s="4">
        <v>43690</v>
      </c>
      <c r="H4120" s="1">
        <v>6594617</v>
      </c>
      <c r="I4120" s="1">
        <v>666323</v>
      </c>
      <c r="J4120" s="1" t="s">
        <v>186</v>
      </c>
      <c r="K4120" s="29" t="s">
        <v>213</v>
      </c>
      <c r="L4120" s="1" t="str">
        <f t="shared" si="219"/>
        <v>Norrviken 3</v>
      </c>
      <c r="M4120" s="1" t="s">
        <v>213</v>
      </c>
      <c r="N4120" s="1">
        <v>3</v>
      </c>
      <c r="O4120" s="1">
        <v>3</v>
      </c>
      <c r="Q4120" s="1">
        <v>19.899999999999999</v>
      </c>
      <c r="R4120" s="1">
        <v>7.7</v>
      </c>
      <c r="S4120" s="1">
        <v>86</v>
      </c>
    </row>
    <row r="4121" spans="1:38" x14ac:dyDescent="0.3">
      <c r="A4121" s="1">
        <v>74242</v>
      </c>
      <c r="B4121" s="1" t="s">
        <v>260</v>
      </c>
      <c r="C4121" s="1" t="s">
        <v>231</v>
      </c>
      <c r="D4121" s="2">
        <f t="shared" si="220"/>
        <v>2019</v>
      </c>
      <c r="E4121" s="2">
        <f t="shared" si="221"/>
        <v>8</v>
      </c>
      <c r="G4121" s="4">
        <v>43690</v>
      </c>
      <c r="H4121" s="1">
        <v>6594617</v>
      </c>
      <c r="I4121" s="1">
        <v>666323</v>
      </c>
      <c r="J4121" s="1" t="s">
        <v>186</v>
      </c>
      <c r="K4121" s="29" t="s">
        <v>213</v>
      </c>
      <c r="L4121" s="1" t="str">
        <f t="shared" si="219"/>
        <v>Norrviken 3</v>
      </c>
      <c r="M4121" s="1" t="s">
        <v>214</v>
      </c>
      <c r="N4121" s="1">
        <v>4</v>
      </c>
      <c r="O4121" s="1">
        <v>4</v>
      </c>
      <c r="Q4121" s="1">
        <v>19.899999999999999</v>
      </c>
      <c r="R4121" s="1">
        <v>7.6</v>
      </c>
      <c r="S4121" s="1">
        <v>84</v>
      </c>
    </row>
    <row r="4122" spans="1:38" x14ac:dyDescent="0.3">
      <c r="A4122" s="1">
        <v>74243</v>
      </c>
      <c r="B4122" s="1" t="s">
        <v>260</v>
      </c>
      <c r="C4122" s="1" t="s">
        <v>231</v>
      </c>
      <c r="D4122" s="2">
        <f t="shared" si="220"/>
        <v>2019</v>
      </c>
      <c r="E4122" s="2">
        <f t="shared" si="221"/>
        <v>8</v>
      </c>
      <c r="G4122" s="4">
        <v>43690</v>
      </c>
      <c r="H4122" s="1">
        <v>6594617</v>
      </c>
      <c r="I4122" s="1">
        <v>666323</v>
      </c>
      <c r="J4122" s="1" t="s">
        <v>186</v>
      </c>
      <c r="K4122" s="29" t="s">
        <v>213</v>
      </c>
      <c r="L4122" s="1" t="str">
        <f t="shared" si="219"/>
        <v>Norrviken 3</v>
      </c>
      <c r="M4122" s="1" t="s">
        <v>217</v>
      </c>
      <c r="N4122" s="1">
        <v>5</v>
      </c>
      <c r="O4122" s="1">
        <v>5</v>
      </c>
      <c r="Q4122" s="1">
        <v>19.8</v>
      </c>
      <c r="R4122" s="1">
        <v>6.9</v>
      </c>
      <c r="S4122" s="1">
        <v>76</v>
      </c>
    </row>
    <row r="4123" spans="1:38" x14ac:dyDescent="0.3">
      <c r="A4123" s="1">
        <v>74244</v>
      </c>
      <c r="B4123" s="1" t="s">
        <v>260</v>
      </c>
      <c r="C4123" s="1" t="s">
        <v>231</v>
      </c>
      <c r="D4123" s="2">
        <f t="shared" si="220"/>
        <v>2019</v>
      </c>
      <c r="E4123" s="2">
        <f t="shared" si="221"/>
        <v>8</v>
      </c>
      <c r="G4123" s="4">
        <v>43690</v>
      </c>
      <c r="H4123" s="1">
        <v>6594617</v>
      </c>
      <c r="I4123" s="1">
        <v>666323</v>
      </c>
      <c r="J4123" s="1" t="s">
        <v>186</v>
      </c>
      <c r="K4123" s="29" t="s">
        <v>213</v>
      </c>
      <c r="L4123" s="1" t="str">
        <f t="shared" si="219"/>
        <v>Norrviken 3</v>
      </c>
      <c r="M4123" s="1" t="s">
        <v>218</v>
      </c>
      <c r="N4123" s="1">
        <v>6</v>
      </c>
      <c r="O4123" s="1">
        <v>6</v>
      </c>
      <c r="Q4123" s="1">
        <v>19.7</v>
      </c>
      <c r="R4123" s="1">
        <v>4</v>
      </c>
      <c r="S4123" s="1">
        <v>44</v>
      </c>
    </row>
    <row r="4124" spans="1:38" x14ac:dyDescent="0.3">
      <c r="A4124" s="1">
        <v>74245</v>
      </c>
      <c r="B4124" s="1" t="s">
        <v>260</v>
      </c>
      <c r="C4124" s="1" t="s">
        <v>231</v>
      </c>
      <c r="D4124" s="2">
        <f t="shared" si="220"/>
        <v>2019</v>
      </c>
      <c r="E4124" s="2">
        <f t="shared" si="221"/>
        <v>8</v>
      </c>
      <c r="G4124" s="4">
        <v>43690</v>
      </c>
      <c r="H4124" s="1">
        <v>6594617</v>
      </c>
      <c r="I4124" s="1">
        <v>666323</v>
      </c>
      <c r="J4124" s="1" t="s">
        <v>186</v>
      </c>
      <c r="K4124" s="29" t="s">
        <v>213</v>
      </c>
      <c r="L4124" s="1" t="str">
        <f t="shared" si="219"/>
        <v>Norrviken 3</v>
      </c>
      <c r="M4124" s="1" t="s">
        <v>219</v>
      </c>
      <c r="N4124" s="1">
        <v>7</v>
      </c>
      <c r="O4124" s="1">
        <v>7</v>
      </c>
      <c r="Q4124" s="1">
        <v>19</v>
      </c>
      <c r="R4124" s="1">
        <v>1.9</v>
      </c>
      <c r="S4124" s="1">
        <v>21</v>
      </c>
    </row>
    <row r="4125" spans="1:38" x14ac:dyDescent="0.3">
      <c r="A4125" s="1">
        <v>74246</v>
      </c>
      <c r="B4125" s="1" t="s">
        <v>260</v>
      </c>
      <c r="C4125" s="1" t="s">
        <v>231</v>
      </c>
      <c r="D4125" s="2">
        <f t="shared" si="220"/>
        <v>2019</v>
      </c>
      <c r="E4125" s="2">
        <f t="shared" si="221"/>
        <v>8</v>
      </c>
      <c r="G4125" s="4">
        <v>43690</v>
      </c>
      <c r="H4125" s="1">
        <v>6594617</v>
      </c>
      <c r="I4125" s="1">
        <v>666323</v>
      </c>
      <c r="J4125" s="1" t="s">
        <v>186</v>
      </c>
      <c r="K4125" s="29" t="s">
        <v>213</v>
      </c>
      <c r="L4125" s="1" t="str">
        <f t="shared" si="219"/>
        <v>Norrviken 3</v>
      </c>
      <c r="M4125" s="1" t="s">
        <v>220</v>
      </c>
      <c r="N4125" s="1">
        <v>8</v>
      </c>
      <c r="O4125" s="1">
        <v>8</v>
      </c>
      <c r="Q4125" s="1">
        <v>16.8</v>
      </c>
      <c r="R4125" s="1">
        <v>0.1</v>
      </c>
      <c r="S4125" s="1">
        <v>1</v>
      </c>
    </row>
    <row r="4126" spans="1:38" x14ac:dyDescent="0.3">
      <c r="A4126" s="1">
        <v>74247</v>
      </c>
      <c r="B4126" s="1" t="s">
        <v>260</v>
      </c>
      <c r="C4126" s="1" t="s">
        <v>231</v>
      </c>
      <c r="D4126" s="2">
        <f t="shared" si="220"/>
        <v>2019</v>
      </c>
      <c r="E4126" s="2">
        <f t="shared" si="221"/>
        <v>8</v>
      </c>
      <c r="G4126" s="4">
        <v>43690</v>
      </c>
      <c r="H4126" s="1">
        <v>6594617</v>
      </c>
      <c r="I4126" s="1">
        <v>666323</v>
      </c>
      <c r="J4126" s="1" t="s">
        <v>186</v>
      </c>
      <c r="K4126" s="29" t="s">
        <v>213</v>
      </c>
      <c r="L4126" s="1" t="str">
        <f t="shared" si="219"/>
        <v>Norrviken 3</v>
      </c>
      <c r="M4126" s="1" t="s">
        <v>221</v>
      </c>
      <c r="N4126" s="1">
        <v>9</v>
      </c>
      <c r="O4126" s="1">
        <v>9</v>
      </c>
      <c r="Q4126" s="1">
        <v>15.1</v>
      </c>
      <c r="R4126" s="1">
        <v>0.1</v>
      </c>
      <c r="S4126" s="1">
        <v>1</v>
      </c>
    </row>
    <row r="4127" spans="1:38" x14ac:dyDescent="0.3">
      <c r="A4127" s="1">
        <v>74248</v>
      </c>
      <c r="B4127" s="1" t="s">
        <v>260</v>
      </c>
      <c r="C4127" s="1" t="s">
        <v>231</v>
      </c>
      <c r="D4127" s="2">
        <f t="shared" si="220"/>
        <v>2019</v>
      </c>
      <c r="E4127" s="2">
        <f t="shared" si="221"/>
        <v>8</v>
      </c>
      <c r="G4127" s="4">
        <v>43690</v>
      </c>
      <c r="H4127" s="1">
        <v>6594617</v>
      </c>
      <c r="I4127" s="1">
        <v>666323</v>
      </c>
      <c r="J4127" s="1" t="s">
        <v>186</v>
      </c>
      <c r="K4127" s="29" t="s">
        <v>213</v>
      </c>
      <c r="L4127" s="1" t="str">
        <f t="shared" si="219"/>
        <v>Norrviken 3</v>
      </c>
      <c r="M4127" s="1" t="s">
        <v>222</v>
      </c>
      <c r="N4127" s="1">
        <v>10</v>
      </c>
      <c r="O4127" s="1">
        <v>10</v>
      </c>
      <c r="Q4127" s="1">
        <v>13.8</v>
      </c>
      <c r="R4127" s="1">
        <v>0.1</v>
      </c>
      <c r="S4127" s="1">
        <v>1</v>
      </c>
    </row>
    <row r="4128" spans="1:38" x14ac:dyDescent="0.3">
      <c r="A4128" s="1">
        <v>74249</v>
      </c>
      <c r="B4128" s="1" t="s">
        <v>260</v>
      </c>
      <c r="C4128" s="1" t="s">
        <v>231</v>
      </c>
      <c r="D4128" s="2">
        <f t="shared" si="220"/>
        <v>2019</v>
      </c>
      <c r="E4128" s="2">
        <f t="shared" si="221"/>
        <v>8</v>
      </c>
      <c r="G4128" s="4">
        <v>43690</v>
      </c>
      <c r="H4128" s="1">
        <v>6594617</v>
      </c>
      <c r="I4128" s="1">
        <v>666323</v>
      </c>
      <c r="J4128" s="1" t="s">
        <v>186</v>
      </c>
      <c r="K4128" s="29" t="s">
        <v>213</v>
      </c>
      <c r="L4128" s="1" t="str">
        <f t="shared" si="219"/>
        <v>Norrviken 3</v>
      </c>
      <c r="M4128" s="1" t="s">
        <v>223</v>
      </c>
      <c r="N4128" s="1">
        <v>11</v>
      </c>
      <c r="O4128" s="1">
        <v>11</v>
      </c>
      <c r="V4128" s="1">
        <v>3.0780235293999998</v>
      </c>
      <c r="W4128" s="1">
        <v>998.40219999999999</v>
      </c>
      <c r="X4128" s="1">
        <v>4.6015225644581319</v>
      </c>
      <c r="Y4128" s="1">
        <v>0.05</v>
      </c>
      <c r="Z4128" s="1">
        <v>554.04</v>
      </c>
      <c r="AA4128" s="1">
        <v>6.8</v>
      </c>
      <c r="AD4128" s="1">
        <v>2.64</v>
      </c>
      <c r="AE4128" s="1">
        <v>7.75</v>
      </c>
      <c r="AK4128" s="1">
        <v>587.64</v>
      </c>
      <c r="AL4128" s="1">
        <v>1852.63</v>
      </c>
    </row>
    <row r="4129" spans="1:38" x14ac:dyDescent="0.3">
      <c r="A4129" s="1">
        <v>74250</v>
      </c>
      <c r="B4129" s="1" t="s">
        <v>260</v>
      </c>
      <c r="C4129" s="1" t="s">
        <v>231</v>
      </c>
      <c r="D4129" s="2">
        <f t="shared" si="220"/>
        <v>2019</v>
      </c>
      <c r="E4129" s="2">
        <f t="shared" si="221"/>
        <v>8</v>
      </c>
      <c r="G4129" s="4">
        <v>43690</v>
      </c>
      <c r="H4129" s="1">
        <v>6594617</v>
      </c>
      <c r="I4129" s="1">
        <v>666323</v>
      </c>
      <c r="J4129" s="1" t="s">
        <v>186</v>
      </c>
      <c r="K4129" s="29" t="s">
        <v>213</v>
      </c>
      <c r="L4129" s="1" t="str">
        <f t="shared" si="219"/>
        <v>Norrviken 3</v>
      </c>
      <c r="M4129" s="1" t="s">
        <v>184</v>
      </c>
      <c r="N4129" s="1">
        <v>11.5</v>
      </c>
      <c r="O4129" s="1">
        <v>11.5</v>
      </c>
      <c r="Q4129" s="1">
        <v>12.6</v>
      </c>
      <c r="R4129" s="1">
        <v>0.1</v>
      </c>
      <c r="S4129" s="1">
        <v>1</v>
      </c>
    </row>
    <row r="4130" spans="1:38" x14ac:dyDescent="0.3">
      <c r="A4130" s="1">
        <v>74251</v>
      </c>
      <c r="B4130" s="1" t="s">
        <v>260</v>
      </c>
      <c r="C4130" s="1" t="s">
        <v>231</v>
      </c>
      <c r="D4130" s="2">
        <f t="shared" si="220"/>
        <v>2019</v>
      </c>
      <c r="E4130" s="2">
        <f t="shared" si="221"/>
        <v>8</v>
      </c>
      <c r="G4130" s="4">
        <v>43690</v>
      </c>
      <c r="J4130" s="1" t="s">
        <v>186</v>
      </c>
      <c r="K4130" s="29" t="s">
        <v>213</v>
      </c>
      <c r="L4130" s="1" t="str">
        <f t="shared" si="219"/>
        <v>Norrviken 3</v>
      </c>
      <c r="M4130" s="1" t="s">
        <v>228</v>
      </c>
      <c r="N4130" s="1">
        <v>4</v>
      </c>
      <c r="O4130" s="1">
        <v>0</v>
      </c>
      <c r="AB4130" s="1">
        <v>11.093400000000001</v>
      </c>
    </row>
    <row r="4131" spans="1:38" x14ac:dyDescent="0.3">
      <c r="A4131" s="1">
        <v>74252</v>
      </c>
      <c r="B4131" s="1" t="s">
        <v>260</v>
      </c>
      <c r="C4131" s="1" t="s">
        <v>231</v>
      </c>
      <c r="D4131" s="2">
        <f t="shared" si="220"/>
        <v>2019</v>
      </c>
      <c r="E4131" s="2">
        <f t="shared" si="221"/>
        <v>8</v>
      </c>
      <c r="G4131" s="4">
        <v>43690</v>
      </c>
      <c r="H4131" s="1">
        <v>6597022</v>
      </c>
      <c r="I4131" s="1">
        <v>665518</v>
      </c>
      <c r="J4131" s="1" t="s">
        <v>186</v>
      </c>
      <c r="K4131" s="29" t="s">
        <v>214</v>
      </c>
      <c r="L4131" s="1" t="str">
        <f t="shared" si="219"/>
        <v>Norrviken 4</v>
      </c>
      <c r="M4131" s="1" t="s">
        <v>177</v>
      </c>
      <c r="N4131" s="1">
        <v>0.5</v>
      </c>
      <c r="O4131" s="1">
        <v>0.5</v>
      </c>
      <c r="P4131" s="1">
        <v>2</v>
      </c>
      <c r="Q4131" s="1">
        <v>19.7</v>
      </c>
      <c r="R4131" s="1">
        <v>8.8000000000000007</v>
      </c>
      <c r="S4131" s="1">
        <v>96</v>
      </c>
      <c r="V4131" s="1">
        <v>2.3469929411999999</v>
      </c>
      <c r="W4131" s="1">
        <v>4.7862</v>
      </c>
      <c r="X4131" s="1">
        <v>0.2037107476585624</v>
      </c>
      <c r="Y4131" s="1">
        <v>4.7E-2</v>
      </c>
      <c r="Z4131" s="1">
        <v>6.29</v>
      </c>
      <c r="AA4131" s="1">
        <v>3.4</v>
      </c>
      <c r="AB4131" s="1">
        <v>26.51436</v>
      </c>
      <c r="AD4131" s="1">
        <v>1.45</v>
      </c>
      <c r="AE4131" s="1">
        <v>8.06</v>
      </c>
      <c r="AK4131" s="1">
        <v>71.45</v>
      </c>
      <c r="AL4131" s="1">
        <v>901.44</v>
      </c>
    </row>
    <row r="4132" spans="1:38" x14ac:dyDescent="0.3">
      <c r="A4132" s="1">
        <v>74253</v>
      </c>
      <c r="B4132" s="1" t="s">
        <v>260</v>
      </c>
      <c r="C4132" s="1" t="s">
        <v>231</v>
      </c>
      <c r="D4132" s="2">
        <f t="shared" si="220"/>
        <v>2019</v>
      </c>
      <c r="E4132" s="2">
        <f t="shared" si="221"/>
        <v>8</v>
      </c>
      <c r="G4132" s="4">
        <v>43690</v>
      </c>
      <c r="H4132" s="1">
        <v>6597022</v>
      </c>
      <c r="I4132" s="1">
        <v>665518</v>
      </c>
      <c r="J4132" s="1" t="s">
        <v>186</v>
      </c>
      <c r="K4132" s="29" t="s">
        <v>214</v>
      </c>
      <c r="L4132" s="1" t="str">
        <f t="shared" si="219"/>
        <v>Norrviken 4</v>
      </c>
      <c r="M4132" s="1" t="s">
        <v>211</v>
      </c>
      <c r="N4132" s="1">
        <v>1</v>
      </c>
      <c r="O4132" s="1">
        <v>1</v>
      </c>
      <c r="Q4132" s="1">
        <v>19.8</v>
      </c>
      <c r="R4132" s="1">
        <v>8.8000000000000007</v>
      </c>
      <c r="S4132" s="1">
        <v>97</v>
      </c>
    </row>
    <row r="4133" spans="1:38" x14ac:dyDescent="0.3">
      <c r="A4133" s="1">
        <v>74254</v>
      </c>
      <c r="B4133" s="1" t="s">
        <v>260</v>
      </c>
      <c r="C4133" s="1" t="s">
        <v>231</v>
      </c>
      <c r="D4133" s="2">
        <f t="shared" si="220"/>
        <v>2019</v>
      </c>
      <c r="E4133" s="2">
        <f t="shared" si="221"/>
        <v>8</v>
      </c>
      <c r="G4133" s="4">
        <v>43690</v>
      </c>
      <c r="H4133" s="1">
        <v>6597022</v>
      </c>
      <c r="I4133" s="1">
        <v>665518</v>
      </c>
      <c r="J4133" s="1" t="s">
        <v>186</v>
      </c>
      <c r="K4133" s="29" t="s">
        <v>214</v>
      </c>
      <c r="L4133" s="1" t="str">
        <f t="shared" si="219"/>
        <v>Norrviken 4</v>
      </c>
      <c r="M4133" s="1" t="s">
        <v>184</v>
      </c>
      <c r="N4133" s="1">
        <v>2</v>
      </c>
      <c r="O4133" s="1">
        <v>2</v>
      </c>
      <c r="Q4133" s="1">
        <v>19.8</v>
      </c>
      <c r="R4133" s="1">
        <v>8.5</v>
      </c>
      <c r="S4133" s="1">
        <v>93</v>
      </c>
      <c r="V4133" s="1">
        <v>2.270042353</v>
      </c>
      <c r="W4133" s="1">
        <v>3.2360000000000002</v>
      </c>
      <c r="X4133" s="1">
        <v>0.19672713236280481</v>
      </c>
      <c r="Y4133" s="1">
        <v>4.7E-2</v>
      </c>
      <c r="Z4133" s="1">
        <v>10.73</v>
      </c>
      <c r="AA4133" s="1">
        <v>3</v>
      </c>
      <c r="AD4133" s="1">
        <v>1.69</v>
      </c>
      <c r="AE4133" s="1">
        <v>8.2200000000000006</v>
      </c>
      <c r="AK4133" s="1">
        <v>65.150000000000006</v>
      </c>
      <c r="AL4133" s="1">
        <v>938.79</v>
      </c>
    </row>
    <row r="4134" spans="1:38" x14ac:dyDescent="0.3">
      <c r="A4134" s="1">
        <v>74255</v>
      </c>
      <c r="B4134" s="1" t="s">
        <v>260</v>
      </c>
      <c r="C4134" s="1" t="s">
        <v>231</v>
      </c>
      <c r="D4134" s="2">
        <f t="shared" si="220"/>
        <v>2019</v>
      </c>
      <c r="E4134" s="2">
        <f t="shared" si="221"/>
        <v>8</v>
      </c>
      <c r="G4134" s="4">
        <v>43690</v>
      </c>
      <c r="J4134" s="1" t="s">
        <v>186</v>
      </c>
      <c r="K4134" s="29" t="s">
        <v>214</v>
      </c>
      <c r="L4134" s="1" t="str">
        <f t="shared" si="219"/>
        <v>Norrviken 4</v>
      </c>
      <c r="M4134" s="1" t="s">
        <v>225</v>
      </c>
      <c r="N4134" s="1">
        <v>2</v>
      </c>
      <c r="O4134" s="1">
        <v>0</v>
      </c>
    </row>
    <row r="4135" spans="1:38" x14ac:dyDescent="0.3">
      <c r="A4135" s="1">
        <v>74256</v>
      </c>
      <c r="B4135" s="1" t="s">
        <v>260</v>
      </c>
      <c r="C4135" s="1" t="s">
        <v>231</v>
      </c>
      <c r="D4135" s="2">
        <f t="shared" si="220"/>
        <v>2019</v>
      </c>
      <c r="E4135" s="2">
        <f t="shared" si="221"/>
        <v>8</v>
      </c>
      <c r="G4135" s="4">
        <v>43690</v>
      </c>
      <c r="H4135" s="1">
        <v>6595172</v>
      </c>
      <c r="I4135" s="1">
        <v>669610</v>
      </c>
      <c r="J4135" s="1" t="s">
        <v>183</v>
      </c>
      <c r="L4135" s="1" t="str">
        <f t="shared" si="219"/>
        <v xml:space="preserve">Fjäturen </v>
      </c>
      <c r="M4135" s="1" t="s">
        <v>177</v>
      </c>
      <c r="N4135" s="1">
        <v>0.5</v>
      </c>
      <c r="O4135" s="1">
        <v>0.5</v>
      </c>
      <c r="P4135" s="1">
        <v>3.5</v>
      </c>
      <c r="Q4135" s="1">
        <v>20.2</v>
      </c>
      <c r="R4135" s="1">
        <v>8.3000000000000007</v>
      </c>
      <c r="S4135" s="1">
        <v>92</v>
      </c>
      <c r="V4135" s="1">
        <v>2.0823771429</v>
      </c>
      <c r="W4135" s="1">
        <v>3.5632999999999999</v>
      </c>
      <c r="X4135" s="1">
        <v>0.1204265530037328</v>
      </c>
      <c r="Y4135" s="1">
        <v>0.04</v>
      </c>
      <c r="Z4135" s="1">
        <v>1.99</v>
      </c>
      <c r="AA4135" s="1">
        <v>2.2000000000000002</v>
      </c>
      <c r="AB4135" s="1">
        <v>5.8923899999999998</v>
      </c>
      <c r="AD4135" s="1">
        <v>1.83</v>
      </c>
      <c r="AE4135" s="1">
        <v>7.94</v>
      </c>
      <c r="AK4135" s="1">
        <v>26.58</v>
      </c>
      <c r="AL4135" s="1">
        <v>695.28</v>
      </c>
    </row>
    <row r="4136" spans="1:38" x14ac:dyDescent="0.3">
      <c r="A4136" s="1">
        <v>74257</v>
      </c>
      <c r="B4136" s="1" t="s">
        <v>260</v>
      </c>
      <c r="C4136" s="1" t="s">
        <v>231</v>
      </c>
      <c r="D4136" s="2">
        <f t="shared" si="220"/>
        <v>2019</v>
      </c>
      <c r="E4136" s="2">
        <f t="shared" si="221"/>
        <v>8</v>
      </c>
      <c r="G4136" s="4">
        <v>43690</v>
      </c>
      <c r="H4136" s="1">
        <v>6595172</v>
      </c>
      <c r="I4136" s="1">
        <v>669610</v>
      </c>
      <c r="J4136" s="1" t="s">
        <v>183</v>
      </c>
      <c r="L4136" s="1" t="str">
        <f t="shared" si="219"/>
        <v xml:space="preserve">Fjäturen </v>
      </c>
      <c r="M4136" s="1" t="s">
        <v>211</v>
      </c>
      <c r="N4136" s="1">
        <v>1</v>
      </c>
      <c r="O4136" s="1">
        <v>1</v>
      </c>
      <c r="Q4136" s="1">
        <v>20.2</v>
      </c>
      <c r="R4136" s="1">
        <v>8.3000000000000007</v>
      </c>
      <c r="S4136" s="1">
        <v>92</v>
      </c>
    </row>
    <row r="4137" spans="1:38" x14ac:dyDescent="0.3">
      <c r="A4137" s="1">
        <v>74258</v>
      </c>
      <c r="B4137" s="1" t="s">
        <v>260</v>
      </c>
      <c r="C4137" s="1" t="s">
        <v>231</v>
      </c>
      <c r="D4137" s="2">
        <f t="shared" si="220"/>
        <v>2019</v>
      </c>
      <c r="E4137" s="2">
        <f t="shared" si="221"/>
        <v>8</v>
      </c>
      <c r="G4137" s="4">
        <v>43690</v>
      </c>
      <c r="H4137" s="1">
        <v>6595172</v>
      </c>
      <c r="I4137" s="1">
        <v>669610</v>
      </c>
      <c r="J4137" s="1" t="s">
        <v>183</v>
      </c>
      <c r="L4137" s="1" t="str">
        <f t="shared" si="219"/>
        <v xml:space="preserve">Fjäturen </v>
      </c>
      <c r="M4137" s="1" t="s">
        <v>212</v>
      </c>
      <c r="N4137" s="1">
        <v>2</v>
      </c>
      <c r="O4137" s="1">
        <v>2</v>
      </c>
      <c r="Q4137" s="1">
        <v>20.100000000000001</v>
      </c>
      <c r="R4137" s="1">
        <v>8.1</v>
      </c>
      <c r="S4137" s="1">
        <v>90</v>
      </c>
    </row>
    <row r="4138" spans="1:38" x14ac:dyDescent="0.3">
      <c r="A4138" s="1">
        <v>74259</v>
      </c>
      <c r="B4138" s="1" t="s">
        <v>260</v>
      </c>
      <c r="C4138" s="1" t="s">
        <v>231</v>
      </c>
      <c r="D4138" s="2">
        <f t="shared" si="220"/>
        <v>2019</v>
      </c>
      <c r="E4138" s="2">
        <f t="shared" si="221"/>
        <v>8</v>
      </c>
      <c r="G4138" s="4">
        <v>43690</v>
      </c>
      <c r="H4138" s="1">
        <v>6595172</v>
      </c>
      <c r="I4138" s="1">
        <v>669610</v>
      </c>
      <c r="J4138" s="1" t="s">
        <v>183</v>
      </c>
      <c r="L4138" s="1" t="str">
        <f t="shared" si="219"/>
        <v xml:space="preserve">Fjäturen </v>
      </c>
      <c r="M4138" s="1" t="s">
        <v>213</v>
      </c>
      <c r="N4138" s="1">
        <v>3</v>
      </c>
      <c r="O4138" s="1">
        <v>3</v>
      </c>
      <c r="Q4138" s="1">
        <v>20.100000000000001</v>
      </c>
      <c r="R4138" s="1">
        <v>7.9</v>
      </c>
      <c r="S4138" s="1">
        <v>88</v>
      </c>
    </row>
    <row r="4139" spans="1:38" x14ac:dyDescent="0.3">
      <c r="A4139" s="1">
        <v>74260</v>
      </c>
      <c r="B4139" s="1" t="s">
        <v>260</v>
      </c>
      <c r="C4139" s="1" t="s">
        <v>231</v>
      </c>
      <c r="D4139" s="2">
        <f t="shared" si="220"/>
        <v>2019</v>
      </c>
      <c r="E4139" s="2">
        <f t="shared" si="221"/>
        <v>8</v>
      </c>
      <c r="G4139" s="4">
        <v>43690</v>
      </c>
      <c r="H4139" s="1">
        <v>6595172</v>
      </c>
      <c r="I4139" s="1">
        <v>669610</v>
      </c>
      <c r="J4139" s="1" t="s">
        <v>183</v>
      </c>
      <c r="L4139" s="1" t="str">
        <f t="shared" si="219"/>
        <v xml:space="preserve">Fjäturen </v>
      </c>
      <c r="M4139" s="1" t="s">
        <v>214</v>
      </c>
      <c r="N4139" s="1">
        <v>4</v>
      </c>
      <c r="O4139" s="1">
        <v>4</v>
      </c>
      <c r="Q4139" s="1">
        <v>20</v>
      </c>
      <c r="R4139" s="1">
        <v>7.7</v>
      </c>
      <c r="S4139" s="1">
        <v>86</v>
      </c>
    </row>
    <row r="4140" spans="1:38" x14ac:dyDescent="0.3">
      <c r="A4140" s="1">
        <v>74261</v>
      </c>
      <c r="B4140" s="1" t="s">
        <v>260</v>
      </c>
      <c r="C4140" s="1" t="s">
        <v>231</v>
      </c>
      <c r="D4140" s="2">
        <f t="shared" si="220"/>
        <v>2019</v>
      </c>
      <c r="E4140" s="2">
        <f t="shared" si="221"/>
        <v>8</v>
      </c>
      <c r="G4140" s="4">
        <v>43690</v>
      </c>
      <c r="H4140" s="1">
        <v>6595172</v>
      </c>
      <c r="I4140" s="1">
        <v>669610</v>
      </c>
      <c r="J4140" s="1" t="s">
        <v>183</v>
      </c>
      <c r="L4140" s="1" t="str">
        <f t="shared" si="219"/>
        <v xml:space="preserve">Fjäturen </v>
      </c>
      <c r="M4140" s="1" t="s">
        <v>217</v>
      </c>
      <c r="N4140" s="1">
        <v>5</v>
      </c>
      <c r="O4140" s="1">
        <v>5</v>
      </c>
      <c r="Q4140" s="1">
        <v>19.2</v>
      </c>
      <c r="R4140" s="1">
        <v>1.6</v>
      </c>
      <c r="S4140" s="1">
        <v>17</v>
      </c>
    </row>
    <row r="4141" spans="1:38" x14ac:dyDescent="0.3">
      <c r="A4141" s="1">
        <v>74262</v>
      </c>
      <c r="B4141" s="1" t="s">
        <v>260</v>
      </c>
      <c r="C4141" s="1" t="s">
        <v>231</v>
      </c>
      <c r="D4141" s="2">
        <f t="shared" si="220"/>
        <v>2019</v>
      </c>
      <c r="E4141" s="2">
        <f t="shared" si="221"/>
        <v>8</v>
      </c>
      <c r="G4141" s="4">
        <v>43690</v>
      </c>
      <c r="H4141" s="1">
        <v>6595172</v>
      </c>
      <c r="I4141" s="1">
        <v>669610</v>
      </c>
      <c r="J4141" s="1" t="s">
        <v>183</v>
      </c>
      <c r="L4141" s="1" t="str">
        <f t="shared" si="219"/>
        <v xml:space="preserve">Fjäturen </v>
      </c>
      <c r="M4141" s="1" t="s">
        <v>218</v>
      </c>
      <c r="N4141" s="1">
        <v>6</v>
      </c>
      <c r="O4141" s="1">
        <v>6</v>
      </c>
      <c r="Q4141" s="1">
        <v>16.5</v>
      </c>
      <c r="R4141" s="1">
        <v>0.1</v>
      </c>
      <c r="S4141" s="1">
        <v>1</v>
      </c>
    </row>
    <row r="4142" spans="1:38" x14ac:dyDescent="0.3">
      <c r="A4142" s="1">
        <v>74263</v>
      </c>
      <c r="B4142" s="1" t="s">
        <v>260</v>
      </c>
      <c r="C4142" s="1" t="s">
        <v>231</v>
      </c>
      <c r="D4142" s="2">
        <f t="shared" si="220"/>
        <v>2019</v>
      </c>
      <c r="E4142" s="2">
        <f t="shared" si="221"/>
        <v>8</v>
      </c>
      <c r="G4142" s="4">
        <v>43690</v>
      </c>
      <c r="H4142" s="1">
        <v>6595172</v>
      </c>
      <c r="I4142" s="1">
        <v>669610</v>
      </c>
      <c r="J4142" s="1" t="s">
        <v>183</v>
      </c>
      <c r="L4142" s="1" t="str">
        <f t="shared" si="219"/>
        <v xml:space="preserve">Fjäturen </v>
      </c>
      <c r="M4142" s="1" t="s">
        <v>219</v>
      </c>
      <c r="N4142" s="1">
        <v>7</v>
      </c>
      <c r="O4142" s="1">
        <v>7</v>
      </c>
      <c r="Q4142" s="1">
        <v>13.5</v>
      </c>
      <c r="R4142" s="1">
        <v>0.1</v>
      </c>
      <c r="S4142" s="1">
        <v>1</v>
      </c>
    </row>
    <row r="4143" spans="1:38" x14ac:dyDescent="0.3">
      <c r="A4143" s="1">
        <v>74264</v>
      </c>
      <c r="B4143" s="1" t="s">
        <v>260</v>
      </c>
      <c r="C4143" s="1" t="s">
        <v>231</v>
      </c>
      <c r="D4143" s="2">
        <f t="shared" si="220"/>
        <v>2019</v>
      </c>
      <c r="E4143" s="2">
        <f t="shared" si="221"/>
        <v>8</v>
      </c>
      <c r="G4143" s="4">
        <v>43690</v>
      </c>
      <c r="H4143" s="1">
        <v>6595172</v>
      </c>
      <c r="I4143" s="1">
        <v>669610</v>
      </c>
      <c r="J4143" s="1" t="s">
        <v>183</v>
      </c>
      <c r="L4143" s="1" t="str">
        <f t="shared" si="219"/>
        <v xml:space="preserve">Fjäturen </v>
      </c>
      <c r="M4143" s="1" t="s">
        <v>220</v>
      </c>
      <c r="N4143" s="1">
        <v>8</v>
      </c>
      <c r="O4143" s="1">
        <v>8</v>
      </c>
      <c r="Q4143" s="1">
        <v>11.8</v>
      </c>
      <c r="R4143" s="1">
        <v>0.1</v>
      </c>
      <c r="S4143" s="1">
        <v>1</v>
      </c>
    </row>
    <row r="4144" spans="1:38" x14ac:dyDescent="0.3">
      <c r="A4144" s="1">
        <v>74265</v>
      </c>
      <c r="B4144" s="1" t="s">
        <v>260</v>
      </c>
      <c r="C4144" s="1" t="s">
        <v>231</v>
      </c>
      <c r="D4144" s="2">
        <f t="shared" si="220"/>
        <v>2019</v>
      </c>
      <c r="E4144" s="2">
        <f t="shared" si="221"/>
        <v>8</v>
      </c>
      <c r="G4144" s="4">
        <v>43690</v>
      </c>
      <c r="H4144" s="1">
        <v>6595172</v>
      </c>
      <c r="I4144" s="1">
        <v>669610</v>
      </c>
      <c r="J4144" s="1" t="s">
        <v>183</v>
      </c>
      <c r="L4144" s="1" t="str">
        <f t="shared" si="219"/>
        <v xml:space="preserve">Fjäturen </v>
      </c>
      <c r="M4144" s="1" t="s">
        <v>184</v>
      </c>
      <c r="N4144" s="1">
        <v>9</v>
      </c>
      <c r="O4144" s="1">
        <v>9</v>
      </c>
      <c r="Q4144" s="1">
        <v>11.3</v>
      </c>
      <c r="R4144" s="1">
        <v>0.1</v>
      </c>
      <c r="S4144" s="1">
        <v>1</v>
      </c>
      <c r="V4144" s="1">
        <v>3.0434742856999999</v>
      </c>
      <c r="W4144" s="1">
        <v>1299.6403</v>
      </c>
      <c r="X4144" s="1">
        <v>9.6211393740260327</v>
      </c>
      <c r="Y4144" s="1">
        <v>7.5999999999999998E-2</v>
      </c>
      <c r="Z4144" s="1">
        <v>462.01</v>
      </c>
      <c r="AA4144" s="1">
        <v>9.8000000000000007</v>
      </c>
      <c r="AD4144" s="1">
        <v>2.71</v>
      </c>
      <c r="AE4144" s="1">
        <v>7.56</v>
      </c>
      <c r="AK4144" s="1">
        <v>528.37</v>
      </c>
      <c r="AL4144" s="1">
        <v>2351.13</v>
      </c>
    </row>
    <row r="4145" spans="1:91" x14ac:dyDescent="0.3">
      <c r="A4145" s="1">
        <v>74266</v>
      </c>
      <c r="B4145" s="1" t="s">
        <v>260</v>
      </c>
      <c r="C4145" s="1" t="s">
        <v>231</v>
      </c>
      <c r="D4145" s="2">
        <f t="shared" si="220"/>
        <v>2019</v>
      </c>
      <c r="E4145" s="2">
        <f t="shared" si="221"/>
        <v>8</v>
      </c>
      <c r="G4145" s="4">
        <v>43690</v>
      </c>
      <c r="J4145" s="1" t="s">
        <v>183</v>
      </c>
      <c r="L4145" s="1" t="str">
        <f t="shared" si="219"/>
        <v xml:space="preserve">Fjäturen </v>
      </c>
      <c r="M4145" s="1" t="s">
        <v>228</v>
      </c>
      <c r="N4145" s="1">
        <v>4</v>
      </c>
      <c r="O4145" s="1">
        <v>0</v>
      </c>
      <c r="AB4145" s="1">
        <v>5.8923899999999998</v>
      </c>
    </row>
    <row r="4146" spans="1:91" x14ac:dyDescent="0.3">
      <c r="A4146" s="1">
        <v>74267</v>
      </c>
      <c r="B4146" s="1" t="s">
        <v>260</v>
      </c>
      <c r="C4146" s="1" t="s">
        <v>231</v>
      </c>
      <c r="D4146" s="2">
        <f t="shared" si="220"/>
        <v>2019</v>
      </c>
      <c r="E4146" s="2">
        <f t="shared" si="221"/>
        <v>8</v>
      </c>
      <c r="G4146" s="4">
        <v>43690</v>
      </c>
      <c r="H4146" s="1">
        <v>6593536</v>
      </c>
      <c r="I4146" s="1">
        <v>664946</v>
      </c>
      <c r="J4146" s="1" t="s">
        <v>188</v>
      </c>
      <c r="L4146" s="1" t="str">
        <f t="shared" si="219"/>
        <v xml:space="preserve">Ravalen </v>
      </c>
      <c r="M4146" s="1" t="s">
        <v>177</v>
      </c>
      <c r="N4146" s="1">
        <v>0.5</v>
      </c>
      <c r="O4146" s="1">
        <v>0.5</v>
      </c>
      <c r="P4146" s="1">
        <v>1</v>
      </c>
      <c r="Q4146" s="1">
        <v>19.3</v>
      </c>
      <c r="R4146" s="1">
        <v>11.2</v>
      </c>
      <c r="S4146" s="1">
        <v>122</v>
      </c>
      <c r="V4146" s="1">
        <v>1.1212800000000001</v>
      </c>
      <c r="W4146" s="1">
        <v>17.2302</v>
      </c>
      <c r="X4146" s="1">
        <v>6.0667928647052012</v>
      </c>
      <c r="Y4146" s="1">
        <v>5.1999999999999998E-2</v>
      </c>
      <c r="Z4146" s="1">
        <v>1.2</v>
      </c>
      <c r="AA4146" s="1">
        <v>0.45</v>
      </c>
      <c r="AB4146" s="1">
        <v>1.77003</v>
      </c>
      <c r="AD4146" s="1">
        <v>1.96</v>
      </c>
      <c r="AE4146" s="1">
        <v>9.16</v>
      </c>
      <c r="AK4146" s="1">
        <v>15.42</v>
      </c>
      <c r="AL4146" s="1">
        <v>899.28</v>
      </c>
    </row>
    <row r="4147" spans="1:91" x14ac:dyDescent="0.3">
      <c r="A4147" s="1">
        <v>74268</v>
      </c>
      <c r="B4147" s="1" t="s">
        <v>260</v>
      </c>
      <c r="C4147" s="1" t="s">
        <v>231</v>
      </c>
      <c r="D4147" s="2">
        <f t="shared" si="220"/>
        <v>2019</v>
      </c>
      <c r="E4147" s="2">
        <f t="shared" si="221"/>
        <v>8</v>
      </c>
      <c r="G4147" s="4">
        <v>43690</v>
      </c>
      <c r="H4147" s="1">
        <v>6593536</v>
      </c>
      <c r="I4147" s="1">
        <v>664946</v>
      </c>
      <c r="J4147" s="1" t="s">
        <v>188</v>
      </c>
      <c r="L4147" s="1" t="str">
        <f t="shared" si="219"/>
        <v xml:space="preserve">Ravalen </v>
      </c>
      <c r="M4147" s="1" t="s">
        <v>211</v>
      </c>
      <c r="N4147" s="1">
        <v>1</v>
      </c>
      <c r="O4147" s="1">
        <v>1</v>
      </c>
    </row>
    <row r="4148" spans="1:91" x14ac:dyDescent="0.3">
      <c r="A4148" s="1">
        <v>74269</v>
      </c>
      <c r="B4148" s="1" t="s">
        <v>260</v>
      </c>
      <c r="C4148" s="1" t="s">
        <v>231</v>
      </c>
      <c r="D4148" s="2">
        <f t="shared" si="220"/>
        <v>2019</v>
      </c>
      <c r="E4148" s="2">
        <f t="shared" si="221"/>
        <v>8</v>
      </c>
      <c r="G4148" s="4">
        <v>43690</v>
      </c>
      <c r="H4148" s="1">
        <v>6593536</v>
      </c>
      <c r="I4148" s="1">
        <v>664946</v>
      </c>
      <c r="J4148" s="1" t="s">
        <v>188</v>
      </c>
      <c r="L4148" s="1" t="str">
        <f t="shared" si="219"/>
        <v xml:space="preserve">Ravalen </v>
      </c>
      <c r="M4148" s="1" t="s">
        <v>184</v>
      </c>
      <c r="N4148" s="1">
        <v>2</v>
      </c>
      <c r="O4148" s="1">
        <v>2</v>
      </c>
    </row>
    <row r="4149" spans="1:91" x14ac:dyDescent="0.3">
      <c r="A4149" s="1">
        <v>74270</v>
      </c>
      <c r="B4149" s="1" t="s">
        <v>260</v>
      </c>
      <c r="C4149" s="1" t="s">
        <v>231</v>
      </c>
      <c r="D4149" s="2">
        <f t="shared" si="220"/>
        <v>2019</v>
      </c>
      <c r="E4149" s="2">
        <f t="shared" si="221"/>
        <v>8</v>
      </c>
      <c r="G4149" s="4">
        <v>43690</v>
      </c>
      <c r="J4149" s="1" t="s">
        <v>188</v>
      </c>
      <c r="L4149" s="1" t="str">
        <f t="shared" si="219"/>
        <v xml:space="preserve">Ravalen </v>
      </c>
      <c r="M4149" s="1" t="s">
        <v>242</v>
      </c>
      <c r="N4149" s="1">
        <v>1</v>
      </c>
      <c r="O4149" s="1">
        <v>0</v>
      </c>
      <c r="AB4149" s="1">
        <v>1.77003</v>
      </c>
    </row>
    <row r="4150" spans="1:91" x14ac:dyDescent="0.3">
      <c r="A4150" s="1">
        <v>74271</v>
      </c>
      <c r="B4150" s="1" t="s">
        <v>260</v>
      </c>
      <c r="C4150" s="1" t="s">
        <v>231</v>
      </c>
      <c r="D4150" s="2">
        <f t="shared" si="220"/>
        <v>2019</v>
      </c>
      <c r="E4150" s="2">
        <f t="shared" si="221"/>
        <v>8</v>
      </c>
      <c r="G4150" s="4">
        <v>43690</v>
      </c>
      <c r="H4150" s="1">
        <v>6594092</v>
      </c>
      <c r="I4150" s="1">
        <v>661375</v>
      </c>
      <c r="J4150" s="1" t="s">
        <v>193</v>
      </c>
      <c r="L4150" s="1" t="str">
        <f t="shared" si="219"/>
        <v xml:space="preserve">Översjön </v>
      </c>
      <c r="M4150" s="1" t="s">
        <v>177</v>
      </c>
      <c r="N4150" s="1">
        <v>0.5</v>
      </c>
      <c r="O4150" s="1">
        <v>0.5</v>
      </c>
      <c r="P4150" s="1">
        <v>2.1</v>
      </c>
      <c r="Q4150" s="1">
        <v>19.600000000000001</v>
      </c>
      <c r="R4150" s="1">
        <v>7.9</v>
      </c>
      <c r="S4150" s="1">
        <v>87</v>
      </c>
      <c r="V4150" s="1">
        <v>1.9221942857000001</v>
      </c>
      <c r="W4150" s="1">
        <v>3.1758999999999999</v>
      </c>
      <c r="X4150" s="1">
        <v>0.12843033753881139</v>
      </c>
      <c r="Y4150" s="1">
        <v>4.8000000000000001E-2</v>
      </c>
      <c r="Z4150" s="1">
        <v>2.71</v>
      </c>
      <c r="AA4150" s="1">
        <v>5.8</v>
      </c>
      <c r="AB4150" s="1">
        <v>18.06465</v>
      </c>
      <c r="AD4150" s="1">
        <v>0.69</v>
      </c>
      <c r="AE4150" s="1">
        <v>8.0399999999999991</v>
      </c>
      <c r="AK4150" s="1">
        <v>61.14</v>
      </c>
      <c r="AL4150" s="1">
        <v>1308.81</v>
      </c>
    </row>
    <row r="4151" spans="1:91" x14ac:dyDescent="0.3">
      <c r="A4151" s="1">
        <v>74272</v>
      </c>
      <c r="B4151" s="1" t="s">
        <v>260</v>
      </c>
      <c r="C4151" s="1" t="s">
        <v>231</v>
      </c>
      <c r="D4151" s="2">
        <f t="shared" si="220"/>
        <v>2019</v>
      </c>
      <c r="E4151" s="2">
        <f t="shared" si="221"/>
        <v>8</v>
      </c>
      <c r="G4151" s="4">
        <v>43690</v>
      </c>
      <c r="H4151" s="1">
        <v>6594092</v>
      </c>
      <c r="I4151" s="1">
        <v>661375</v>
      </c>
      <c r="J4151" s="1" t="s">
        <v>193</v>
      </c>
      <c r="L4151" s="1" t="str">
        <f t="shared" si="219"/>
        <v xml:space="preserve">Översjön </v>
      </c>
      <c r="M4151" s="1" t="s">
        <v>211</v>
      </c>
      <c r="N4151" s="1">
        <v>1</v>
      </c>
      <c r="O4151" s="1">
        <v>1</v>
      </c>
      <c r="Q4151" s="1">
        <v>19.8</v>
      </c>
      <c r="R4151" s="1">
        <v>7.9</v>
      </c>
      <c r="S4151" s="1">
        <v>87</v>
      </c>
    </row>
    <row r="4152" spans="1:91" x14ac:dyDescent="0.3">
      <c r="A4152" s="1">
        <v>74273</v>
      </c>
      <c r="B4152" s="1" t="s">
        <v>260</v>
      </c>
      <c r="C4152" s="1" t="s">
        <v>231</v>
      </c>
      <c r="D4152" s="2">
        <f t="shared" si="220"/>
        <v>2019</v>
      </c>
      <c r="E4152" s="2">
        <f t="shared" si="221"/>
        <v>8</v>
      </c>
      <c r="G4152" s="4">
        <v>43690</v>
      </c>
      <c r="H4152" s="1">
        <v>6594092</v>
      </c>
      <c r="I4152" s="1">
        <v>661375</v>
      </c>
      <c r="J4152" s="1" t="s">
        <v>193</v>
      </c>
      <c r="L4152" s="1" t="str">
        <f t="shared" si="219"/>
        <v xml:space="preserve">Översjön </v>
      </c>
      <c r="M4152" s="1" t="s">
        <v>212</v>
      </c>
      <c r="N4152" s="1">
        <v>2</v>
      </c>
      <c r="O4152" s="1">
        <v>2</v>
      </c>
      <c r="Q4152" s="1">
        <v>19.8</v>
      </c>
      <c r="R4152" s="1">
        <v>7.7</v>
      </c>
      <c r="S4152" s="1">
        <v>85</v>
      </c>
    </row>
    <row r="4153" spans="1:91" x14ac:dyDescent="0.3">
      <c r="A4153" s="1">
        <v>74274</v>
      </c>
      <c r="B4153" s="1" t="s">
        <v>260</v>
      </c>
      <c r="C4153" s="1" t="s">
        <v>231</v>
      </c>
      <c r="D4153" s="2">
        <f t="shared" si="220"/>
        <v>2019</v>
      </c>
      <c r="E4153" s="2">
        <f t="shared" si="221"/>
        <v>8</v>
      </c>
      <c r="G4153" s="4">
        <v>43690</v>
      </c>
      <c r="H4153" s="1">
        <v>6594092</v>
      </c>
      <c r="I4153" s="1">
        <v>661375</v>
      </c>
      <c r="J4153" s="1" t="s">
        <v>193</v>
      </c>
      <c r="L4153" s="1" t="str">
        <f t="shared" si="219"/>
        <v xml:space="preserve">Översjön </v>
      </c>
      <c r="M4153" s="1" t="s">
        <v>213</v>
      </c>
      <c r="N4153" s="1">
        <v>3</v>
      </c>
      <c r="O4153" s="1">
        <v>3</v>
      </c>
      <c r="Q4153" s="1">
        <v>19.899999999999999</v>
      </c>
      <c r="R4153" s="1">
        <v>7.4</v>
      </c>
      <c r="S4153" s="1">
        <v>82</v>
      </c>
    </row>
    <row r="4154" spans="1:91" x14ac:dyDescent="0.3">
      <c r="A4154" s="1">
        <v>74275</v>
      </c>
      <c r="B4154" s="1" t="s">
        <v>260</v>
      </c>
      <c r="C4154" s="1" t="s">
        <v>231</v>
      </c>
      <c r="D4154" s="2">
        <f t="shared" si="220"/>
        <v>2019</v>
      </c>
      <c r="E4154" s="2">
        <f t="shared" si="221"/>
        <v>8</v>
      </c>
      <c r="G4154" s="4">
        <v>43690</v>
      </c>
      <c r="H4154" s="1">
        <v>6594092</v>
      </c>
      <c r="I4154" s="1">
        <v>661375</v>
      </c>
      <c r="J4154" s="1" t="s">
        <v>193</v>
      </c>
      <c r="L4154" s="1" t="str">
        <f t="shared" si="219"/>
        <v xml:space="preserve">Översjön </v>
      </c>
      <c r="M4154" s="1" t="s">
        <v>184</v>
      </c>
      <c r="N4154" s="1">
        <v>4</v>
      </c>
      <c r="O4154" s="1">
        <v>4</v>
      </c>
      <c r="Q4154" s="1">
        <v>19.899999999999999</v>
      </c>
      <c r="R4154" s="1">
        <v>7.3</v>
      </c>
      <c r="S4154" s="1">
        <v>81</v>
      </c>
      <c r="V4154" s="1">
        <v>1.9422171428999999</v>
      </c>
      <c r="W4154" s="1">
        <v>3.3148</v>
      </c>
      <c r="X4154" s="1">
        <v>0.10967788282805831</v>
      </c>
      <c r="Y4154" s="1">
        <v>5.5E-2</v>
      </c>
      <c r="Z4154" s="1">
        <v>1.77</v>
      </c>
      <c r="AA4154" s="1">
        <v>5.5</v>
      </c>
      <c r="AD4154" s="1">
        <v>0.34</v>
      </c>
      <c r="AE4154" s="1">
        <v>7.94</v>
      </c>
      <c r="AK4154" s="1">
        <v>57.24</v>
      </c>
      <c r="AL4154" s="1">
        <v>1290.43</v>
      </c>
    </row>
    <row r="4155" spans="1:91" x14ac:dyDescent="0.3">
      <c r="A4155" s="1">
        <v>74276</v>
      </c>
      <c r="B4155" s="1" t="s">
        <v>260</v>
      </c>
      <c r="C4155" s="1" t="s">
        <v>231</v>
      </c>
      <c r="D4155" s="2">
        <f t="shared" si="220"/>
        <v>2019</v>
      </c>
      <c r="E4155" s="2">
        <f t="shared" si="221"/>
        <v>8</v>
      </c>
      <c r="G4155" s="4">
        <v>43690</v>
      </c>
      <c r="J4155" s="1" t="s">
        <v>193</v>
      </c>
      <c r="L4155" s="1" t="str">
        <f t="shared" si="219"/>
        <v xml:space="preserve">Översjön </v>
      </c>
      <c r="M4155" s="1" t="s">
        <v>225</v>
      </c>
      <c r="N4155" s="1">
        <v>2</v>
      </c>
      <c r="O4155" s="1">
        <v>0</v>
      </c>
      <c r="AB4155" s="1">
        <v>18.06465</v>
      </c>
    </row>
    <row r="4156" spans="1:91" x14ac:dyDescent="0.3">
      <c r="A4156" s="1">
        <v>74277</v>
      </c>
      <c r="B4156" s="1" t="s">
        <v>260</v>
      </c>
      <c r="C4156" s="1" t="s">
        <v>231</v>
      </c>
      <c r="D4156" s="2">
        <f t="shared" si="220"/>
        <v>2019</v>
      </c>
      <c r="E4156" s="2">
        <f t="shared" si="221"/>
        <v>8</v>
      </c>
      <c r="G4156" s="4">
        <v>43690</v>
      </c>
      <c r="H4156" s="1">
        <v>6593594</v>
      </c>
      <c r="I4156" s="1">
        <v>669799</v>
      </c>
      <c r="J4156" s="1" t="s">
        <v>189</v>
      </c>
      <c r="L4156" s="1" t="str">
        <f t="shared" si="219"/>
        <v xml:space="preserve">Rösjön </v>
      </c>
      <c r="M4156" s="1" t="s">
        <v>177</v>
      </c>
      <c r="N4156" s="1">
        <v>0.5</v>
      </c>
      <c r="O4156" s="1">
        <v>0.5</v>
      </c>
      <c r="P4156" s="1">
        <v>3.4</v>
      </c>
      <c r="Q4156" s="1">
        <v>20.7</v>
      </c>
      <c r="R4156" s="1">
        <v>8.6999999999999993</v>
      </c>
      <c r="S4156" s="1">
        <v>97</v>
      </c>
      <c r="V4156" s="1">
        <v>1.6418742856999999</v>
      </c>
      <c r="W4156" s="1">
        <v>4.1321000000000003</v>
      </c>
      <c r="X4156" s="1">
        <v>0.2198193100397679</v>
      </c>
      <c r="Y4156" s="1">
        <v>4.2999999999999997E-2</v>
      </c>
      <c r="Z4156" s="1">
        <v>1.67</v>
      </c>
      <c r="AA4156" s="1">
        <v>1.95</v>
      </c>
      <c r="AB4156" s="1">
        <v>7.2066600000000003</v>
      </c>
      <c r="AD4156" s="1">
        <v>0.94</v>
      </c>
      <c r="AE4156" s="1">
        <v>8.1300000000000008</v>
      </c>
      <c r="AI4156" s="1">
        <v>9.4209999999999994</v>
      </c>
      <c r="AJ4156" s="1">
        <v>8.4659999999999993</v>
      </c>
      <c r="AK4156" s="1">
        <v>28.11</v>
      </c>
      <c r="AL4156" s="1">
        <v>522.5</v>
      </c>
      <c r="AR4156" s="1">
        <v>33.700000000000003</v>
      </c>
      <c r="AS4156" s="1">
        <v>6.2100000000000002E-2</v>
      </c>
      <c r="AT4156" s="1">
        <v>2.50999999999999</v>
      </c>
      <c r="AU4156" s="1">
        <v>4.74</v>
      </c>
      <c r="AW4156" s="1">
        <v>17.7</v>
      </c>
      <c r="AY4156" s="1">
        <v>0.871</v>
      </c>
      <c r="AZ4156" s="1">
        <v>16.3</v>
      </c>
      <c r="BA4156" s="1">
        <v>1.1000000000000001</v>
      </c>
      <c r="BB4156" s="1">
        <v>19.2</v>
      </c>
      <c r="BC4156" s="1">
        <v>1E-3</v>
      </c>
      <c r="BD4156" s="1">
        <v>3.4099999999999901E-2</v>
      </c>
      <c r="BE4156" s="1">
        <v>4.2000000000000003E-2</v>
      </c>
      <c r="BF4156" s="1">
        <v>0.64800000000000002</v>
      </c>
      <c r="BG4156" s="1">
        <v>1E-3</v>
      </c>
      <c r="BH4156" s="1">
        <v>51.1</v>
      </c>
      <c r="BI4156" s="1">
        <v>0.81599999999999895</v>
      </c>
      <c r="BJ4156" s="1">
        <v>0.48099999999999898</v>
      </c>
      <c r="BK4156" s="1">
        <v>13.9</v>
      </c>
      <c r="BL4156" s="1">
        <v>0.14399999999999899</v>
      </c>
      <c r="BM4156" s="1">
        <v>87.4</v>
      </c>
      <c r="BN4156" s="1">
        <v>0.372</v>
      </c>
      <c r="BO4156" s="1">
        <v>0.76400000000000001</v>
      </c>
      <c r="BQ4156" s="1">
        <v>4.22</v>
      </c>
      <c r="BR4156" s="1">
        <v>1E-3</v>
      </c>
      <c r="BS4156" s="1">
        <v>1.8599999999999901E-2</v>
      </c>
      <c r="BT4156" s="1">
        <v>2.5700000000000001E-2</v>
      </c>
      <c r="BU4156" s="1">
        <v>1.29</v>
      </c>
      <c r="BV4156" s="1">
        <v>0.90800000000000003</v>
      </c>
      <c r="BW4156" s="1">
        <v>0.69599999999999895</v>
      </c>
      <c r="BX4156" s="1">
        <v>4.2700000000000002E-2</v>
      </c>
      <c r="BY4156" s="1">
        <v>3.97</v>
      </c>
      <c r="BZ4156" s="1">
        <v>33.6</v>
      </c>
      <c r="CA4156" s="1">
        <v>4.7</v>
      </c>
      <c r="CC4156" s="1">
        <v>1.43E-2</v>
      </c>
      <c r="CD4156" s="1">
        <v>2.46</v>
      </c>
      <c r="CE4156" s="1">
        <v>17.399999999999899</v>
      </c>
      <c r="CF4156" s="1">
        <v>0.78700000000000003</v>
      </c>
      <c r="CG4156" s="1">
        <v>0.96</v>
      </c>
      <c r="CH4156" s="1">
        <v>18</v>
      </c>
      <c r="CI4156" s="1">
        <v>1E-3</v>
      </c>
      <c r="CJ4156" s="1">
        <v>0.81200000000000006</v>
      </c>
      <c r="CK4156" s="1">
        <v>12.3</v>
      </c>
      <c r="CL4156" s="1">
        <v>0.33200000000000002</v>
      </c>
      <c r="CM4156" s="1">
        <v>86.2</v>
      </c>
    </row>
    <row r="4157" spans="1:91" x14ac:dyDescent="0.3">
      <c r="A4157" s="1">
        <v>74278</v>
      </c>
      <c r="B4157" s="1" t="s">
        <v>260</v>
      </c>
      <c r="C4157" s="1" t="s">
        <v>231</v>
      </c>
      <c r="D4157" s="2">
        <f t="shared" si="220"/>
        <v>2019</v>
      </c>
      <c r="E4157" s="2">
        <f t="shared" si="221"/>
        <v>8</v>
      </c>
      <c r="G4157" s="4">
        <v>43690</v>
      </c>
      <c r="H4157" s="1">
        <v>6593594</v>
      </c>
      <c r="I4157" s="1">
        <v>669799</v>
      </c>
      <c r="J4157" s="1" t="s">
        <v>189</v>
      </c>
      <c r="L4157" s="1" t="str">
        <f t="shared" si="219"/>
        <v xml:space="preserve">Rösjön </v>
      </c>
      <c r="M4157" s="1" t="s">
        <v>211</v>
      </c>
      <c r="N4157" s="1">
        <v>1</v>
      </c>
      <c r="O4157" s="1">
        <v>1</v>
      </c>
      <c r="Q4157" s="1">
        <v>20.7</v>
      </c>
      <c r="R4157" s="1">
        <v>8.6</v>
      </c>
      <c r="S4157" s="1">
        <v>97</v>
      </c>
    </row>
    <row r="4158" spans="1:91" x14ac:dyDescent="0.3">
      <c r="A4158" s="1">
        <v>74279</v>
      </c>
      <c r="B4158" s="1" t="s">
        <v>260</v>
      </c>
      <c r="C4158" s="1" t="s">
        <v>231</v>
      </c>
      <c r="D4158" s="2">
        <f t="shared" si="220"/>
        <v>2019</v>
      </c>
      <c r="E4158" s="2">
        <f t="shared" si="221"/>
        <v>8</v>
      </c>
      <c r="G4158" s="4">
        <v>43690</v>
      </c>
      <c r="H4158" s="1">
        <v>6593594</v>
      </c>
      <c r="I4158" s="1">
        <v>669799</v>
      </c>
      <c r="J4158" s="1" t="s">
        <v>189</v>
      </c>
      <c r="L4158" s="1" t="str">
        <f t="shared" ref="L4158:L4221" si="222">CONCATENATE(J4158," ",K4158)</f>
        <v xml:space="preserve">Rösjön </v>
      </c>
      <c r="M4158" s="1" t="s">
        <v>212</v>
      </c>
      <c r="N4158" s="1">
        <v>2</v>
      </c>
      <c r="O4158" s="1">
        <v>2</v>
      </c>
      <c r="Q4158" s="1">
        <v>20.6</v>
      </c>
      <c r="R4158" s="1">
        <v>8.6</v>
      </c>
      <c r="S4158" s="1">
        <v>96</v>
      </c>
    </row>
    <row r="4159" spans="1:91" x14ac:dyDescent="0.3">
      <c r="A4159" s="1">
        <v>74280</v>
      </c>
      <c r="B4159" s="1" t="s">
        <v>260</v>
      </c>
      <c r="C4159" s="1" t="s">
        <v>231</v>
      </c>
      <c r="D4159" s="2">
        <f t="shared" si="220"/>
        <v>2019</v>
      </c>
      <c r="E4159" s="2">
        <f t="shared" si="221"/>
        <v>8</v>
      </c>
      <c r="G4159" s="4">
        <v>43690</v>
      </c>
      <c r="H4159" s="1">
        <v>6593594</v>
      </c>
      <c r="I4159" s="1">
        <v>669799</v>
      </c>
      <c r="J4159" s="1" t="s">
        <v>189</v>
      </c>
      <c r="L4159" s="1" t="str">
        <f t="shared" si="222"/>
        <v xml:space="preserve">Rösjön </v>
      </c>
      <c r="M4159" s="1" t="s">
        <v>213</v>
      </c>
      <c r="N4159" s="1">
        <v>3</v>
      </c>
      <c r="O4159" s="1">
        <v>3</v>
      </c>
      <c r="Q4159" s="1">
        <v>20.5</v>
      </c>
      <c r="R4159" s="1">
        <v>8.4</v>
      </c>
      <c r="S4159" s="1">
        <v>94</v>
      </c>
    </row>
    <row r="4160" spans="1:91" x14ac:dyDescent="0.3">
      <c r="A4160" s="1">
        <v>74281</v>
      </c>
      <c r="B4160" s="1" t="s">
        <v>260</v>
      </c>
      <c r="C4160" s="1" t="s">
        <v>231</v>
      </c>
      <c r="D4160" s="2">
        <f t="shared" si="220"/>
        <v>2019</v>
      </c>
      <c r="E4160" s="2">
        <f t="shared" si="221"/>
        <v>8</v>
      </c>
      <c r="G4160" s="4">
        <v>43690</v>
      </c>
      <c r="H4160" s="1">
        <v>6593594</v>
      </c>
      <c r="I4160" s="1">
        <v>669799</v>
      </c>
      <c r="J4160" s="1" t="s">
        <v>189</v>
      </c>
      <c r="L4160" s="1" t="str">
        <f t="shared" si="222"/>
        <v xml:space="preserve">Rösjön </v>
      </c>
      <c r="M4160" s="1" t="s">
        <v>214</v>
      </c>
      <c r="N4160" s="1">
        <v>4</v>
      </c>
      <c r="O4160" s="1">
        <v>4</v>
      </c>
      <c r="Q4160" s="1">
        <v>20.5</v>
      </c>
      <c r="R4160" s="1">
        <v>7.7</v>
      </c>
      <c r="S4160" s="1">
        <v>86</v>
      </c>
    </row>
    <row r="4161" spans="1:91" x14ac:dyDescent="0.3">
      <c r="A4161" s="1">
        <v>74282</v>
      </c>
      <c r="B4161" s="1" t="s">
        <v>260</v>
      </c>
      <c r="C4161" s="1" t="s">
        <v>231</v>
      </c>
      <c r="D4161" s="2">
        <f t="shared" si="220"/>
        <v>2019</v>
      </c>
      <c r="E4161" s="2">
        <f t="shared" si="221"/>
        <v>8</v>
      </c>
      <c r="G4161" s="4">
        <v>43690</v>
      </c>
      <c r="H4161" s="1">
        <v>6593594</v>
      </c>
      <c r="I4161" s="1">
        <v>669799</v>
      </c>
      <c r="J4161" s="1" t="s">
        <v>189</v>
      </c>
      <c r="L4161" s="1" t="str">
        <f t="shared" si="222"/>
        <v xml:space="preserve">Rösjön </v>
      </c>
      <c r="M4161" s="1" t="s">
        <v>217</v>
      </c>
      <c r="N4161" s="1">
        <v>5</v>
      </c>
      <c r="O4161" s="1">
        <v>5</v>
      </c>
      <c r="Q4161" s="1">
        <v>20.2</v>
      </c>
      <c r="R4161" s="1">
        <v>6</v>
      </c>
      <c r="S4161" s="1">
        <v>67</v>
      </c>
    </row>
    <row r="4162" spans="1:91" x14ac:dyDescent="0.3">
      <c r="A4162" s="1">
        <v>74283</v>
      </c>
      <c r="B4162" s="1" t="s">
        <v>260</v>
      </c>
      <c r="C4162" s="1" t="s">
        <v>231</v>
      </c>
      <c r="D4162" s="2">
        <f t="shared" si="220"/>
        <v>2019</v>
      </c>
      <c r="E4162" s="2">
        <f t="shared" si="221"/>
        <v>8</v>
      </c>
      <c r="G4162" s="4">
        <v>43690</v>
      </c>
      <c r="H4162" s="1">
        <v>6593594</v>
      </c>
      <c r="I4162" s="1">
        <v>669799</v>
      </c>
      <c r="J4162" s="1" t="s">
        <v>189</v>
      </c>
      <c r="L4162" s="1" t="str">
        <f t="shared" si="222"/>
        <v xml:space="preserve">Rösjön </v>
      </c>
      <c r="M4162" s="1" t="s">
        <v>218</v>
      </c>
      <c r="N4162" s="1">
        <v>6</v>
      </c>
      <c r="O4162" s="1">
        <v>6</v>
      </c>
      <c r="Q4162" s="1">
        <v>20.100000000000001</v>
      </c>
      <c r="R4162" s="1">
        <v>5.2</v>
      </c>
      <c r="S4162" s="1">
        <v>58</v>
      </c>
    </row>
    <row r="4163" spans="1:91" x14ac:dyDescent="0.3">
      <c r="A4163" s="1">
        <v>74284</v>
      </c>
      <c r="B4163" s="1" t="s">
        <v>260</v>
      </c>
      <c r="C4163" s="1" t="s">
        <v>231</v>
      </c>
      <c r="D4163" s="2">
        <f t="shared" si="220"/>
        <v>2019</v>
      </c>
      <c r="E4163" s="2">
        <f t="shared" si="221"/>
        <v>8</v>
      </c>
      <c r="G4163" s="4">
        <v>43690</v>
      </c>
      <c r="H4163" s="1">
        <v>6593594</v>
      </c>
      <c r="I4163" s="1">
        <v>669799</v>
      </c>
      <c r="J4163" s="1" t="s">
        <v>189</v>
      </c>
      <c r="L4163" s="1" t="str">
        <f t="shared" si="222"/>
        <v xml:space="preserve">Rösjön </v>
      </c>
      <c r="M4163" s="1" t="s">
        <v>184</v>
      </c>
      <c r="N4163" s="1">
        <v>7</v>
      </c>
      <c r="O4163" s="1">
        <v>7</v>
      </c>
      <c r="Q4163" s="1">
        <v>19.899999999999999</v>
      </c>
      <c r="R4163" s="1">
        <v>2.7</v>
      </c>
      <c r="S4163" s="1">
        <v>30</v>
      </c>
      <c r="V4163" s="1">
        <v>1.7419885714000001</v>
      </c>
      <c r="W4163" s="1">
        <v>15.4551</v>
      </c>
      <c r="X4163" s="1">
        <v>0.48908097612066909</v>
      </c>
      <c r="Y4163" s="1">
        <v>3.3000000000000002E-2</v>
      </c>
      <c r="Z4163" s="1">
        <v>2.57</v>
      </c>
      <c r="AA4163" s="1">
        <v>3.4</v>
      </c>
      <c r="AD4163" s="1">
        <v>1.71</v>
      </c>
      <c r="AE4163" s="1">
        <v>7.92</v>
      </c>
      <c r="AK4163" s="1">
        <v>43.95</v>
      </c>
      <c r="AL4163" s="1">
        <v>710.19</v>
      </c>
    </row>
    <row r="4164" spans="1:91" x14ac:dyDescent="0.3">
      <c r="A4164" s="1">
        <v>74285</v>
      </c>
      <c r="B4164" s="1" t="s">
        <v>260</v>
      </c>
      <c r="C4164" s="1" t="s">
        <v>231</v>
      </c>
      <c r="D4164" s="2">
        <f t="shared" si="220"/>
        <v>2019</v>
      </c>
      <c r="E4164" s="2">
        <f t="shared" si="221"/>
        <v>8</v>
      </c>
      <c r="G4164" s="4">
        <v>43690</v>
      </c>
      <c r="J4164" s="1" t="s">
        <v>189</v>
      </c>
      <c r="L4164" s="1" t="str">
        <f t="shared" si="222"/>
        <v xml:space="preserve">Rösjön </v>
      </c>
      <c r="M4164" s="1" t="s">
        <v>225</v>
      </c>
      <c r="N4164" s="1">
        <v>2</v>
      </c>
      <c r="O4164" s="1">
        <v>0</v>
      </c>
      <c r="AB4164" s="1">
        <v>7.2066600000000003</v>
      </c>
    </row>
    <row r="4165" spans="1:91" x14ac:dyDescent="0.3">
      <c r="A4165" s="1">
        <v>74286</v>
      </c>
      <c r="B4165" s="1" t="s">
        <v>260</v>
      </c>
      <c r="C4165" s="1" t="s">
        <v>231</v>
      </c>
      <c r="D4165" s="2">
        <f t="shared" si="220"/>
        <v>2019</v>
      </c>
      <c r="E4165" s="2">
        <f t="shared" si="221"/>
        <v>8</v>
      </c>
      <c r="G4165" s="4">
        <v>43690</v>
      </c>
      <c r="H4165" s="1">
        <v>6594739</v>
      </c>
      <c r="I4165" s="1">
        <v>668531</v>
      </c>
      <c r="J4165" s="1" t="s">
        <v>192</v>
      </c>
      <c r="L4165" s="1" t="str">
        <f t="shared" si="222"/>
        <v xml:space="preserve">Väsjön </v>
      </c>
      <c r="M4165" s="1" t="s">
        <v>177</v>
      </c>
      <c r="N4165" s="1">
        <v>0.5</v>
      </c>
      <c r="O4165" s="1">
        <v>0.5</v>
      </c>
      <c r="P4165" s="1">
        <v>2.5</v>
      </c>
      <c r="Q4165" s="1">
        <v>20</v>
      </c>
      <c r="R4165" s="1">
        <v>7.9</v>
      </c>
      <c r="S4165" s="1">
        <v>88</v>
      </c>
      <c r="V4165" s="1">
        <v>3.2837485714999999</v>
      </c>
      <c r="W4165" s="1">
        <v>5.3730000000000002</v>
      </c>
      <c r="X4165" s="1">
        <v>0.2783350168953132</v>
      </c>
      <c r="Y4165" s="1">
        <v>0.05</v>
      </c>
      <c r="Z4165" s="1">
        <v>1.24</v>
      </c>
      <c r="AA4165" s="1">
        <v>2.1</v>
      </c>
      <c r="AB4165" s="1">
        <v>4.9463999999999997</v>
      </c>
      <c r="AD4165" s="1">
        <v>0.99</v>
      </c>
      <c r="AE4165" s="1">
        <v>8.14</v>
      </c>
      <c r="AI4165" s="1">
        <v>12.99</v>
      </c>
      <c r="AJ4165" s="1">
        <v>12.68</v>
      </c>
      <c r="AK4165" s="1">
        <v>16.149999999999999</v>
      </c>
      <c r="AL4165" s="1">
        <v>766.92</v>
      </c>
      <c r="AR4165" s="1">
        <v>66.8</v>
      </c>
      <c r="AS4165" s="1">
        <v>3.5099999999999902E-2</v>
      </c>
      <c r="AT4165" s="1">
        <v>6.21</v>
      </c>
      <c r="AU4165" s="1">
        <v>9.92</v>
      </c>
      <c r="AW4165" s="1">
        <v>52.7</v>
      </c>
      <c r="AY4165" s="1">
        <v>0.44900000000000001</v>
      </c>
      <c r="AZ4165" s="1">
        <v>24.7</v>
      </c>
      <c r="BA4165" s="1">
        <v>1.24</v>
      </c>
      <c r="BB4165" s="1">
        <v>37.4</v>
      </c>
      <c r="BC4165" s="1">
        <v>1E-3</v>
      </c>
      <c r="BD4165" s="1">
        <v>4.82E-2</v>
      </c>
      <c r="BE4165" s="1">
        <v>5.2299999999999902E-2</v>
      </c>
      <c r="BF4165" s="1">
        <v>0.42</v>
      </c>
      <c r="BG4165" s="1">
        <v>1E-3</v>
      </c>
      <c r="BH4165" s="1">
        <v>20.8</v>
      </c>
      <c r="BI4165" s="1">
        <v>2.13</v>
      </c>
      <c r="BJ4165" s="1">
        <v>0.53400000000000003</v>
      </c>
      <c r="BK4165" s="1">
        <v>11.8</v>
      </c>
      <c r="BL4165" s="1">
        <v>8.2400000000000001E-2</v>
      </c>
      <c r="BM4165" s="1">
        <v>188</v>
      </c>
      <c r="BN4165" s="1">
        <v>0.71399999999999897</v>
      </c>
      <c r="BO4165" s="1">
        <v>0.57799999999999896</v>
      </c>
      <c r="BQ4165" s="1">
        <v>5.78</v>
      </c>
      <c r="BR4165" s="1">
        <v>2.28999999999999E-3</v>
      </c>
      <c r="BS4165" s="1">
        <v>3.1E-2</v>
      </c>
      <c r="BT4165" s="1">
        <v>4.19E-2</v>
      </c>
      <c r="BU4165" s="1">
        <v>0.81799999999999895</v>
      </c>
      <c r="BV4165" s="1">
        <v>0.95699999999999896</v>
      </c>
      <c r="BW4165" s="1">
        <v>0.71099999999999897</v>
      </c>
      <c r="BX4165" s="1">
        <v>1.7000000000000001E-2</v>
      </c>
      <c r="BY4165" s="1">
        <v>4.37</v>
      </c>
      <c r="BZ4165" s="1">
        <v>66.2</v>
      </c>
      <c r="CA4165" s="1">
        <v>9.8000000000000007</v>
      </c>
      <c r="CC4165" s="1">
        <v>5.6600000000000001E-3</v>
      </c>
      <c r="CD4165" s="1">
        <v>6.1</v>
      </c>
      <c r="CE4165" s="1">
        <v>51.9</v>
      </c>
      <c r="CF4165" s="1">
        <v>0.35</v>
      </c>
      <c r="CG4165" s="1">
        <v>1.35</v>
      </c>
      <c r="CH4165" s="1">
        <v>36.5</v>
      </c>
      <c r="CI4165" s="1">
        <v>1E-3</v>
      </c>
      <c r="CJ4165" s="1">
        <v>2.15</v>
      </c>
      <c r="CK4165" s="1">
        <v>11.4</v>
      </c>
      <c r="CL4165" s="1">
        <v>0.64800000000000002</v>
      </c>
      <c r="CM4165" s="1">
        <v>186</v>
      </c>
    </row>
    <row r="4166" spans="1:91" x14ac:dyDescent="0.3">
      <c r="A4166" s="1">
        <v>74287</v>
      </c>
      <c r="B4166" s="1" t="s">
        <v>260</v>
      </c>
      <c r="C4166" s="1" t="s">
        <v>231</v>
      </c>
      <c r="D4166" s="2">
        <f t="shared" ref="D4166:D4229" si="223">YEAR(G4166)</f>
        <v>2019</v>
      </c>
      <c r="E4166" s="2">
        <f t="shared" ref="E4166:E4229" si="224">MONTH(G4166)</f>
        <v>8</v>
      </c>
      <c r="G4166" s="4">
        <v>43690</v>
      </c>
      <c r="H4166" s="1">
        <v>6594739</v>
      </c>
      <c r="I4166" s="1">
        <v>668531</v>
      </c>
      <c r="J4166" s="1" t="s">
        <v>192</v>
      </c>
      <c r="L4166" s="1" t="str">
        <f t="shared" si="222"/>
        <v xml:space="preserve">Väsjön </v>
      </c>
      <c r="M4166" s="1" t="s">
        <v>211</v>
      </c>
      <c r="N4166" s="1">
        <v>1</v>
      </c>
      <c r="O4166" s="1">
        <v>1</v>
      </c>
      <c r="Q4166" s="1">
        <v>20.100000000000001</v>
      </c>
      <c r="R4166" s="1">
        <v>7.9</v>
      </c>
      <c r="S4166" s="1">
        <v>87</v>
      </c>
    </row>
    <row r="4167" spans="1:91" x14ac:dyDescent="0.3">
      <c r="A4167" s="1">
        <v>74288</v>
      </c>
      <c r="B4167" s="1" t="s">
        <v>260</v>
      </c>
      <c r="C4167" s="1" t="s">
        <v>231</v>
      </c>
      <c r="D4167" s="2">
        <f t="shared" si="223"/>
        <v>2019</v>
      </c>
      <c r="E4167" s="2">
        <f t="shared" si="224"/>
        <v>8</v>
      </c>
      <c r="G4167" s="4">
        <v>43690</v>
      </c>
      <c r="H4167" s="1">
        <v>6594739</v>
      </c>
      <c r="I4167" s="1">
        <v>668531</v>
      </c>
      <c r="J4167" s="1" t="s">
        <v>192</v>
      </c>
      <c r="L4167" s="1" t="str">
        <f t="shared" si="222"/>
        <v xml:space="preserve">Väsjön </v>
      </c>
      <c r="M4167" s="1" t="s">
        <v>212</v>
      </c>
      <c r="N4167" s="1">
        <v>2</v>
      </c>
      <c r="O4167" s="1">
        <v>2</v>
      </c>
      <c r="Q4167" s="1">
        <v>20.100000000000001</v>
      </c>
      <c r="R4167" s="1">
        <v>7.9</v>
      </c>
      <c r="S4167" s="1">
        <v>87</v>
      </c>
    </row>
    <row r="4168" spans="1:91" x14ac:dyDescent="0.3">
      <c r="A4168" s="1">
        <v>74289</v>
      </c>
      <c r="B4168" s="1" t="s">
        <v>260</v>
      </c>
      <c r="C4168" s="1" t="s">
        <v>231</v>
      </c>
      <c r="D4168" s="2">
        <f t="shared" si="223"/>
        <v>2019</v>
      </c>
      <c r="E4168" s="2">
        <f t="shared" si="224"/>
        <v>8</v>
      </c>
      <c r="G4168" s="4">
        <v>43690</v>
      </c>
      <c r="H4168" s="1">
        <v>6594739</v>
      </c>
      <c r="I4168" s="1">
        <v>668531</v>
      </c>
      <c r="J4168" s="1" t="s">
        <v>192</v>
      </c>
      <c r="L4168" s="1" t="str">
        <f t="shared" si="222"/>
        <v xml:space="preserve">Väsjön </v>
      </c>
      <c r="M4168" s="1" t="s">
        <v>184</v>
      </c>
      <c r="N4168" s="1">
        <v>2.5</v>
      </c>
      <c r="O4168" s="1">
        <v>2.5</v>
      </c>
      <c r="Q4168" s="1">
        <v>20</v>
      </c>
      <c r="R4168" s="1">
        <v>8</v>
      </c>
      <c r="S4168" s="1">
        <v>88</v>
      </c>
      <c r="V4168" s="1">
        <v>3.4038857142999999</v>
      </c>
      <c r="W4168" s="1">
        <v>6.2725</v>
      </c>
      <c r="X4168" s="1">
        <v>0.3545084239785648</v>
      </c>
      <c r="Y4168" s="1">
        <v>5.7000000000000002E-2</v>
      </c>
      <c r="Z4168" s="1">
        <v>1.7</v>
      </c>
      <c r="AA4168" s="1">
        <v>1.7</v>
      </c>
      <c r="AD4168" s="1">
        <v>1.35</v>
      </c>
      <c r="AE4168" s="1">
        <v>8.18</v>
      </c>
      <c r="AK4168" s="1">
        <v>20.62</v>
      </c>
      <c r="AL4168" s="1">
        <v>829.02</v>
      </c>
    </row>
    <row r="4169" spans="1:91" x14ac:dyDescent="0.3">
      <c r="A4169" s="1">
        <v>74290</v>
      </c>
      <c r="B4169" s="1" t="s">
        <v>260</v>
      </c>
      <c r="C4169" s="1" t="s">
        <v>231</v>
      </c>
      <c r="D4169" s="2">
        <f t="shared" si="223"/>
        <v>2019</v>
      </c>
      <c r="E4169" s="2">
        <f t="shared" si="224"/>
        <v>8</v>
      </c>
      <c r="G4169" s="4">
        <v>43690</v>
      </c>
      <c r="J4169" s="1" t="s">
        <v>192</v>
      </c>
      <c r="L4169" s="1" t="str">
        <f t="shared" si="222"/>
        <v xml:space="preserve">Väsjön </v>
      </c>
      <c r="M4169" s="1" t="s">
        <v>242</v>
      </c>
      <c r="N4169" s="1">
        <v>1</v>
      </c>
      <c r="O4169" s="1">
        <v>0</v>
      </c>
      <c r="AB4169" s="1">
        <v>4.9463999999999997</v>
      </c>
    </row>
    <row r="4170" spans="1:91" x14ac:dyDescent="0.3">
      <c r="A4170" s="1">
        <v>74291</v>
      </c>
      <c r="B4170" s="1" t="s">
        <v>260</v>
      </c>
      <c r="C4170" s="1" t="s">
        <v>231</v>
      </c>
      <c r="D4170" s="2">
        <f t="shared" si="223"/>
        <v>2019</v>
      </c>
      <c r="E4170" s="2">
        <f t="shared" si="224"/>
        <v>8</v>
      </c>
      <c r="G4170" s="4">
        <v>43690</v>
      </c>
      <c r="H4170" s="1">
        <v>6599384</v>
      </c>
      <c r="I4170" s="1">
        <v>662805</v>
      </c>
      <c r="J4170" s="1" t="s">
        <v>182</v>
      </c>
      <c r="L4170" s="1" t="str">
        <f t="shared" si="222"/>
        <v xml:space="preserve">Edssjön </v>
      </c>
      <c r="M4170" s="1" t="s">
        <v>177</v>
      </c>
      <c r="N4170" s="1">
        <v>0.5</v>
      </c>
      <c r="O4170" s="1">
        <v>0.5</v>
      </c>
      <c r="P4170" s="1">
        <v>1.8</v>
      </c>
      <c r="Q4170" s="1">
        <v>19.8</v>
      </c>
      <c r="R4170" s="1">
        <v>7.3</v>
      </c>
      <c r="S4170" s="1">
        <v>81</v>
      </c>
      <c r="V4170" s="1">
        <v>2.8432457143000001</v>
      </c>
      <c r="W4170" s="1">
        <v>27.3474</v>
      </c>
      <c r="X4170" s="1">
        <v>1.3083378525972142</v>
      </c>
      <c r="Y4170" s="1">
        <v>5.1999999999999998E-2</v>
      </c>
      <c r="Z4170" s="1">
        <v>69.84</v>
      </c>
      <c r="AA4170" s="1">
        <v>6.5</v>
      </c>
      <c r="AB4170" s="1">
        <v>32.605829999999997</v>
      </c>
      <c r="AD4170" s="1">
        <v>4.75</v>
      </c>
      <c r="AE4170" s="1">
        <v>8.11</v>
      </c>
      <c r="AK4170" s="1">
        <v>159.91999999999999</v>
      </c>
      <c r="AL4170" s="1">
        <v>1109.54</v>
      </c>
    </row>
    <row r="4171" spans="1:91" x14ac:dyDescent="0.3">
      <c r="A4171" s="1">
        <v>74292</v>
      </c>
      <c r="B4171" s="1" t="s">
        <v>260</v>
      </c>
      <c r="C4171" s="1" t="s">
        <v>231</v>
      </c>
      <c r="D4171" s="2">
        <f t="shared" si="223"/>
        <v>2019</v>
      </c>
      <c r="E4171" s="2">
        <f t="shared" si="224"/>
        <v>8</v>
      </c>
      <c r="G4171" s="4">
        <v>43690</v>
      </c>
      <c r="H4171" s="1">
        <v>6599384</v>
      </c>
      <c r="I4171" s="1">
        <v>662805</v>
      </c>
      <c r="J4171" s="1" t="s">
        <v>182</v>
      </c>
      <c r="L4171" s="1" t="str">
        <f t="shared" si="222"/>
        <v xml:space="preserve">Edssjön </v>
      </c>
      <c r="M4171" s="1" t="s">
        <v>211</v>
      </c>
      <c r="N4171" s="1">
        <v>1</v>
      </c>
      <c r="O4171" s="1">
        <v>1</v>
      </c>
      <c r="Q4171" s="1">
        <v>19.899999999999999</v>
      </c>
      <c r="R4171" s="1">
        <v>7.3</v>
      </c>
      <c r="S4171" s="1">
        <v>81</v>
      </c>
    </row>
    <row r="4172" spans="1:91" x14ac:dyDescent="0.3">
      <c r="A4172" s="1">
        <v>74293</v>
      </c>
      <c r="B4172" s="1" t="s">
        <v>260</v>
      </c>
      <c r="C4172" s="1" t="s">
        <v>231</v>
      </c>
      <c r="D4172" s="2">
        <f t="shared" si="223"/>
        <v>2019</v>
      </c>
      <c r="E4172" s="2">
        <f t="shared" si="224"/>
        <v>8</v>
      </c>
      <c r="G4172" s="4">
        <v>43690</v>
      </c>
      <c r="H4172" s="1">
        <v>6599384</v>
      </c>
      <c r="I4172" s="1">
        <v>662805</v>
      </c>
      <c r="J4172" s="1" t="s">
        <v>182</v>
      </c>
      <c r="L4172" s="1" t="str">
        <f t="shared" si="222"/>
        <v xml:space="preserve">Edssjön </v>
      </c>
      <c r="M4172" s="1" t="s">
        <v>212</v>
      </c>
      <c r="N4172" s="1">
        <v>2</v>
      </c>
      <c r="O4172" s="1">
        <v>2</v>
      </c>
      <c r="Q4172" s="1">
        <v>19.899999999999999</v>
      </c>
      <c r="R4172" s="1">
        <v>7.3</v>
      </c>
      <c r="S4172" s="1">
        <v>80</v>
      </c>
    </row>
    <row r="4173" spans="1:91" x14ac:dyDescent="0.3">
      <c r="A4173" s="1">
        <v>74294</v>
      </c>
      <c r="B4173" s="1" t="s">
        <v>260</v>
      </c>
      <c r="C4173" s="1" t="s">
        <v>231</v>
      </c>
      <c r="D4173" s="2">
        <f t="shared" si="223"/>
        <v>2019</v>
      </c>
      <c r="E4173" s="2">
        <f t="shared" si="224"/>
        <v>8</v>
      </c>
      <c r="G4173" s="4">
        <v>43690</v>
      </c>
      <c r="H4173" s="1">
        <v>6599384</v>
      </c>
      <c r="I4173" s="1">
        <v>662805</v>
      </c>
      <c r="J4173" s="1" t="s">
        <v>182</v>
      </c>
      <c r="L4173" s="1" t="str">
        <f t="shared" si="222"/>
        <v xml:space="preserve">Edssjön </v>
      </c>
      <c r="M4173" s="1" t="s">
        <v>213</v>
      </c>
      <c r="N4173" s="1">
        <v>3</v>
      </c>
      <c r="O4173" s="1">
        <v>3</v>
      </c>
      <c r="Q4173" s="1">
        <v>19.899999999999999</v>
      </c>
      <c r="R4173" s="1">
        <v>7.3</v>
      </c>
      <c r="S4173" s="1">
        <v>80</v>
      </c>
    </row>
    <row r="4174" spans="1:91" x14ac:dyDescent="0.3">
      <c r="A4174" s="1">
        <v>74295</v>
      </c>
      <c r="B4174" s="1" t="s">
        <v>260</v>
      </c>
      <c r="C4174" s="1" t="s">
        <v>231</v>
      </c>
      <c r="D4174" s="2">
        <f t="shared" si="223"/>
        <v>2019</v>
      </c>
      <c r="E4174" s="2">
        <f t="shared" si="224"/>
        <v>8</v>
      </c>
      <c r="G4174" s="4">
        <v>43690</v>
      </c>
      <c r="H4174" s="1">
        <v>6599384</v>
      </c>
      <c r="I4174" s="1">
        <v>662805</v>
      </c>
      <c r="J4174" s="1" t="s">
        <v>182</v>
      </c>
      <c r="L4174" s="1" t="str">
        <f t="shared" si="222"/>
        <v xml:space="preserve">Edssjön </v>
      </c>
      <c r="M4174" s="1" t="s">
        <v>214</v>
      </c>
      <c r="N4174" s="1">
        <v>4</v>
      </c>
      <c r="O4174" s="1">
        <v>4</v>
      </c>
      <c r="Q4174" s="1">
        <v>20</v>
      </c>
      <c r="R4174" s="1">
        <v>7.2</v>
      </c>
      <c r="S4174" s="1">
        <v>79</v>
      </c>
    </row>
    <row r="4175" spans="1:91" x14ac:dyDescent="0.3">
      <c r="A4175" s="1">
        <v>74296</v>
      </c>
      <c r="B4175" s="1" t="s">
        <v>260</v>
      </c>
      <c r="C4175" s="1" t="s">
        <v>231</v>
      </c>
      <c r="D4175" s="2">
        <f t="shared" si="223"/>
        <v>2019</v>
      </c>
      <c r="E4175" s="2">
        <f t="shared" si="224"/>
        <v>8</v>
      </c>
      <c r="G4175" s="4">
        <v>43690</v>
      </c>
      <c r="H4175" s="1">
        <v>6599384</v>
      </c>
      <c r="I4175" s="1">
        <v>662805</v>
      </c>
      <c r="J4175" s="1" t="s">
        <v>182</v>
      </c>
      <c r="L4175" s="1" t="str">
        <f t="shared" si="222"/>
        <v xml:space="preserve">Edssjön </v>
      </c>
      <c r="M4175" s="1" t="s">
        <v>184</v>
      </c>
      <c r="N4175" s="1">
        <v>4.5</v>
      </c>
      <c r="O4175" s="1">
        <v>4.5</v>
      </c>
      <c r="Q4175" s="1">
        <v>20</v>
      </c>
      <c r="R4175" s="1">
        <v>7.1</v>
      </c>
      <c r="S4175" s="1">
        <v>79</v>
      </c>
      <c r="V4175" s="1">
        <v>2.8232228572000002</v>
      </c>
      <c r="W4175" s="1">
        <v>24.7973</v>
      </c>
      <c r="X4175" s="1">
        <v>1.1768997469277003</v>
      </c>
      <c r="Y4175" s="1">
        <v>4.5999999999999999E-2</v>
      </c>
      <c r="Z4175" s="1">
        <v>71.75</v>
      </c>
      <c r="AA4175" s="1">
        <v>6.2</v>
      </c>
      <c r="AD4175" s="1">
        <v>2.58</v>
      </c>
      <c r="AE4175" s="1">
        <v>8.1</v>
      </c>
      <c r="AK4175" s="1">
        <v>152.81</v>
      </c>
      <c r="AL4175" s="1">
        <v>1037.8599999999999</v>
      </c>
    </row>
    <row r="4176" spans="1:91" x14ac:dyDescent="0.3">
      <c r="A4176" s="1">
        <v>74297</v>
      </c>
      <c r="B4176" s="1" t="s">
        <v>260</v>
      </c>
      <c r="C4176" s="1" t="s">
        <v>231</v>
      </c>
      <c r="D4176" s="2">
        <f t="shared" si="223"/>
        <v>2019</v>
      </c>
      <c r="E4176" s="2">
        <f t="shared" si="224"/>
        <v>8</v>
      </c>
      <c r="G4176" s="4">
        <v>43690</v>
      </c>
      <c r="J4176" s="1" t="s">
        <v>182</v>
      </c>
      <c r="L4176" s="1" t="str">
        <f t="shared" si="222"/>
        <v xml:space="preserve">Edssjön </v>
      </c>
      <c r="M4176" s="1" t="s">
        <v>225</v>
      </c>
      <c r="N4176" s="1">
        <v>2</v>
      </c>
      <c r="O4176" s="1">
        <v>0</v>
      </c>
      <c r="AB4176" s="1">
        <v>32.605829999999997</v>
      </c>
    </row>
    <row r="4177" spans="1:50" x14ac:dyDescent="0.3">
      <c r="A4177" s="1">
        <v>74298</v>
      </c>
      <c r="B4177" s="1" t="s">
        <v>260</v>
      </c>
      <c r="C4177" s="1" t="s">
        <v>231</v>
      </c>
      <c r="D4177" s="2">
        <f t="shared" si="223"/>
        <v>2019</v>
      </c>
      <c r="E4177" s="2">
        <f t="shared" si="224"/>
        <v>8</v>
      </c>
      <c r="G4177" s="4">
        <v>43690</v>
      </c>
      <c r="H4177" s="1">
        <v>6605701</v>
      </c>
      <c r="I4177" s="1">
        <v>661059</v>
      </c>
      <c r="J4177" s="1" t="s">
        <v>187</v>
      </c>
      <c r="L4177" s="1" t="str">
        <f t="shared" si="222"/>
        <v xml:space="preserve">Oxundasjön </v>
      </c>
      <c r="M4177" s="1" t="s">
        <v>177</v>
      </c>
      <c r="N4177" s="1">
        <v>0.5</v>
      </c>
      <c r="O4177" s="1">
        <v>0.5</v>
      </c>
      <c r="P4177" s="1">
        <v>2.1</v>
      </c>
      <c r="Q4177" s="1">
        <v>19.5</v>
      </c>
      <c r="R4177" s="1">
        <v>6</v>
      </c>
      <c r="S4177" s="1">
        <v>66</v>
      </c>
      <c r="V4177" s="1">
        <v>2.4828342857000001</v>
      </c>
      <c r="W4177" s="1">
        <v>113.19759999999999</v>
      </c>
      <c r="X4177" s="1">
        <v>3.8064827009345619</v>
      </c>
      <c r="Y4177" s="1">
        <v>4.2999999999999997E-2</v>
      </c>
      <c r="Z4177" s="1">
        <v>88.58</v>
      </c>
      <c r="AA4177" s="1">
        <v>5</v>
      </c>
      <c r="AB4177" s="1">
        <v>9.0001800000000003</v>
      </c>
      <c r="AD4177" s="1">
        <v>7.82</v>
      </c>
      <c r="AE4177" s="1">
        <v>7.96</v>
      </c>
      <c r="AK4177" s="1">
        <v>122.13</v>
      </c>
      <c r="AL4177" s="1">
        <v>893.32</v>
      </c>
    </row>
    <row r="4178" spans="1:50" x14ac:dyDescent="0.3">
      <c r="A4178" s="1">
        <v>74299</v>
      </c>
      <c r="B4178" s="1" t="s">
        <v>260</v>
      </c>
      <c r="C4178" s="1" t="s">
        <v>231</v>
      </c>
      <c r="D4178" s="2">
        <f t="shared" si="223"/>
        <v>2019</v>
      </c>
      <c r="E4178" s="2">
        <f t="shared" si="224"/>
        <v>8</v>
      </c>
      <c r="G4178" s="4">
        <v>43690</v>
      </c>
      <c r="H4178" s="1">
        <v>6605701</v>
      </c>
      <c r="I4178" s="1">
        <v>661059</v>
      </c>
      <c r="J4178" s="1" t="s">
        <v>187</v>
      </c>
      <c r="L4178" s="1" t="str">
        <f t="shared" si="222"/>
        <v xml:space="preserve">Oxundasjön </v>
      </c>
      <c r="M4178" s="1" t="s">
        <v>211</v>
      </c>
      <c r="N4178" s="1">
        <v>1</v>
      </c>
      <c r="O4178" s="1">
        <v>1</v>
      </c>
      <c r="Q4178" s="1">
        <v>19.8</v>
      </c>
      <c r="R4178" s="1">
        <v>6</v>
      </c>
      <c r="S4178" s="1">
        <v>66</v>
      </c>
    </row>
    <row r="4179" spans="1:50" x14ac:dyDescent="0.3">
      <c r="A4179" s="1">
        <v>74300</v>
      </c>
      <c r="B4179" s="1" t="s">
        <v>260</v>
      </c>
      <c r="C4179" s="1" t="s">
        <v>231</v>
      </c>
      <c r="D4179" s="2">
        <f t="shared" si="223"/>
        <v>2019</v>
      </c>
      <c r="E4179" s="2">
        <f t="shared" si="224"/>
        <v>8</v>
      </c>
      <c r="G4179" s="4">
        <v>43690</v>
      </c>
      <c r="H4179" s="1">
        <v>6605701</v>
      </c>
      <c r="I4179" s="1">
        <v>661059</v>
      </c>
      <c r="J4179" s="1" t="s">
        <v>187</v>
      </c>
      <c r="L4179" s="1" t="str">
        <f t="shared" si="222"/>
        <v xml:space="preserve">Oxundasjön </v>
      </c>
      <c r="M4179" s="1" t="s">
        <v>212</v>
      </c>
      <c r="N4179" s="1">
        <v>2</v>
      </c>
      <c r="O4179" s="1">
        <v>2</v>
      </c>
      <c r="Q4179" s="1">
        <v>19.899999999999999</v>
      </c>
      <c r="R4179" s="1">
        <v>5.9</v>
      </c>
      <c r="S4179" s="1">
        <v>65</v>
      </c>
    </row>
    <row r="4180" spans="1:50" x14ac:dyDescent="0.3">
      <c r="A4180" s="1">
        <v>74301</v>
      </c>
      <c r="B4180" s="1" t="s">
        <v>260</v>
      </c>
      <c r="C4180" s="1" t="s">
        <v>231</v>
      </c>
      <c r="D4180" s="2">
        <f t="shared" si="223"/>
        <v>2019</v>
      </c>
      <c r="E4180" s="2">
        <f t="shared" si="224"/>
        <v>8</v>
      </c>
      <c r="G4180" s="4">
        <v>43690</v>
      </c>
      <c r="H4180" s="1">
        <v>6605701</v>
      </c>
      <c r="I4180" s="1">
        <v>661059</v>
      </c>
      <c r="J4180" s="1" t="s">
        <v>187</v>
      </c>
      <c r="L4180" s="1" t="str">
        <f t="shared" si="222"/>
        <v xml:space="preserve">Oxundasjön </v>
      </c>
      <c r="M4180" s="1" t="s">
        <v>213</v>
      </c>
      <c r="N4180" s="1">
        <v>3</v>
      </c>
      <c r="O4180" s="1">
        <v>3</v>
      </c>
      <c r="Q4180" s="1">
        <v>19.899999999999999</v>
      </c>
      <c r="R4180" s="1">
        <v>5.9</v>
      </c>
      <c r="S4180" s="1">
        <v>65</v>
      </c>
    </row>
    <row r="4181" spans="1:50" x14ac:dyDescent="0.3">
      <c r="A4181" s="1">
        <v>74302</v>
      </c>
      <c r="B4181" s="1" t="s">
        <v>260</v>
      </c>
      <c r="C4181" s="1" t="s">
        <v>231</v>
      </c>
      <c r="D4181" s="2">
        <f t="shared" si="223"/>
        <v>2019</v>
      </c>
      <c r="E4181" s="2">
        <f t="shared" si="224"/>
        <v>8</v>
      </c>
      <c r="G4181" s="4">
        <v>43690</v>
      </c>
      <c r="H4181" s="1">
        <v>6605701</v>
      </c>
      <c r="I4181" s="1">
        <v>661059</v>
      </c>
      <c r="J4181" s="1" t="s">
        <v>187</v>
      </c>
      <c r="L4181" s="1" t="str">
        <f t="shared" si="222"/>
        <v xml:space="preserve">Oxundasjön </v>
      </c>
      <c r="M4181" s="1" t="s">
        <v>214</v>
      </c>
      <c r="N4181" s="1">
        <v>4</v>
      </c>
      <c r="O4181" s="1">
        <v>4</v>
      </c>
      <c r="Q4181" s="1">
        <v>20</v>
      </c>
      <c r="R4181" s="1">
        <v>5.9</v>
      </c>
      <c r="S4181" s="1">
        <v>64</v>
      </c>
    </row>
    <row r="4182" spans="1:50" x14ac:dyDescent="0.3">
      <c r="A4182" s="1">
        <v>74303</v>
      </c>
      <c r="B4182" s="1" t="s">
        <v>260</v>
      </c>
      <c r="C4182" s="1" t="s">
        <v>231</v>
      </c>
      <c r="D4182" s="2">
        <f t="shared" si="223"/>
        <v>2019</v>
      </c>
      <c r="E4182" s="2">
        <f t="shared" si="224"/>
        <v>8</v>
      </c>
      <c r="G4182" s="4">
        <v>43690</v>
      </c>
      <c r="H4182" s="1">
        <v>6605701</v>
      </c>
      <c r="I4182" s="1">
        <v>661059</v>
      </c>
      <c r="J4182" s="1" t="s">
        <v>187</v>
      </c>
      <c r="L4182" s="1" t="str">
        <f t="shared" si="222"/>
        <v xml:space="preserve">Oxundasjön </v>
      </c>
      <c r="M4182" s="1" t="s">
        <v>217</v>
      </c>
      <c r="N4182" s="1">
        <v>5</v>
      </c>
      <c r="O4182" s="1">
        <v>5</v>
      </c>
      <c r="Q4182" s="1">
        <v>20</v>
      </c>
      <c r="R4182" s="1">
        <v>5.8</v>
      </c>
      <c r="S4182" s="1">
        <v>64</v>
      </c>
    </row>
    <row r="4183" spans="1:50" x14ac:dyDescent="0.3">
      <c r="A4183" s="1">
        <v>74304</v>
      </c>
      <c r="B4183" s="1" t="s">
        <v>260</v>
      </c>
      <c r="C4183" s="1" t="s">
        <v>231</v>
      </c>
      <c r="D4183" s="2">
        <f t="shared" si="223"/>
        <v>2019</v>
      </c>
      <c r="E4183" s="2">
        <f t="shared" si="224"/>
        <v>8</v>
      </c>
      <c r="G4183" s="4">
        <v>43690</v>
      </c>
      <c r="H4183" s="1">
        <v>6605701</v>
      </c>
      <c r="I4183" s="1">
        <v>661059</v>
      </c>
      <c r="J4183" s="1" t="s">
        <v>187</v>
      </c>
      <c r="L4183" s="1" t="str">
        <f t="shared" si="222"/>
        <v xml:space="preserve">Oxundasjön </v>
      </c>
      <c r="M4183" s="1" t="s">
        <v>184</v>
      </c>
      <c r="N4183" s="1">
        <v>5.5</v>
      </c>
      <c r="O4183" s="1">
        <v>5.5</v>
      </c>
      <c r="Q4183" s="1">
        <v>20</v>
      </c>
      <c r="R4183" s="1">
        <v>5.6</v>
      </c>
      <c r="S4183" s="1">
        <v>62</v>
      </c>
      <c r="V4183" s="1">
        <v>2.5429028572000001</v>
      </c>
      <c r="W4183" s="1">
        <v>155.65110000000001</v>
      </c>
      <c r="X4183" s="1">
        <v>5.303336556457495</v>
      </c>
      <c r="Y4183" s="1">
        <v>0.109</v>
      </c>
      <c r="Z4183" s="1">
        <v>114.68</v>
      </c>
      <c r="AA4183" s="1">
        <v>6.2</v>
      </c>
      <c r="AD4183" s="1">
        <v>6.09</v>
      </c>
      <c r="AE4183" s="1">
        <v>7.95</v>
      </c>
      <c r="AK4183" s="1">
        <v>156.49</v>
      </c>
      <c r="AL4183" s="1">
        <v>975.32</v>
      </c>
    </row>
    <row r="4184" spans="1:50" x14ac:dyDescent="0.3">
      <c r="A4184" s="1">
        <v>74305</v>
      </c>
      <c r="B4184" s="1" t="s">
        <v>260</v>
      </c>
      <c r="C4184" s="1" t="s">
        <v>231</v>
      </c>
      <c r="D4184" s="2">
        <f t="shared" si="223"/>
        <v>2019</v>
      </c>
      <c r="E4184" s="2">
        <f t="shared" si="224"/>
        <v>8</v>
      </c>
      <c r="G4184" s="4">
        <v>43690</v>
      </c>
      <c r="J4184" s="1" t="s">
        <v>187</v>
      </c>
      <c r="L4184" s="1" t="str">
        <f t="shared" si="222"/>
        <v xml:space="preserve">Oxundasjön </v>
      </c>
      <c r="M4184" s="1" t="s">
        <v>255</v>
      </c>
      <c r="N4184" s="1">
        <v>2</v>
      </c>
      <c r="O4184" s="1">
        <v>0</v>
      </c>
      <c r="AB4184" s="1">
        <v>9.0001800000000003</v>
      </c>
    </row>
    <row r="4185" spans="1:50" x14ac:dyDescent="0.3">
      <c r="A4185" s="1">
        <v>74306</v>
      </c>
      <c r="B4185" s="1" t="s">
        <v>260</v>
      </c>
      <c r="C4185" s="1" t="s">
        <v>231</v>
      </c>
      <c r="D4185" s="2">
        <f t="shared" si="223"/>
        <v>2019</v>
      </c>
      <c r="E4185" s="2">
        <f t="shared" si="224"/>
        <v>8</v>
      </c>
      <c r="G4185" s="4">
        <v>43690</v>
      </c>
      <c r="H4185" s="1">
        <v>6595222</v>
      </c>
      <c r="I4185" s="1">
        <v>667935</v>
      </c>
      <c r="J4185" s="1" t="s">
        <v>190</v>
      </c>
      <c r="L4185" s="1" t="str">
        <f t="shared" si="222"/>
        <v xml:space="preserve">Snuggan </v>
      </c>
      <c r="M4185" s="1" t="s">
        <v>177</v>
      </c>
      <c r="N4185" s="1">
        <v>0.5</v>
      </c>
      <c r="O4185" s="1">
        <v>0.5</v>
      </c>
      <c r="P4185" s="1">
        <v>1</v>
      </c>
      <c r="Q4185" s="1">
        <v>19.7</v>
      </c>
      <c r="R4185" s="1">
        <v>9</v>
      </c>
      <c r="S4185" s="1">
        <v>100</v>
      </c>
      <c r="V4185" s="1">
        <v>3.8475294117999999E-2</v>
      </c>
      <c r="W4185" s="1">
        <v>2.0087000000000002</v>
      </c>
      <c r="X4185" s="1">
        <v>3.4930825543029002E-2</v>
      </c>
      <c r="Y4185" s="1">
        <v>0.442</v>
      </c>
      <c r="Z4185" s="1">
        <v>2</v>
      </c>
      <c r="AA4185" s="1">
        <v>1.58</v>
      </c>
      <c r="AB4185" s="1">
        <v>79.749719999999996</v>
      </c>
      <c r="AD4185" s="1">
        <v>0.71</v>
      </c>
      <c r="AE4185" s="1">
        <v>7.66</v>
      </c>
      <c r="AI4185" s="1">
        <v>26.49</v>
      </c>
      <c r="AK4185" s="1">
        <v>27.68</v>
      </c>
      <c r="AL4185" s="1">
        <v>1087.92</v>
      </c>
      <c r="AR4185" s="1">
        <v>4.33</v>
      </c>
      <c r="AT4185" s="1">
        <v>0.2</v>
      </c>
      <c r="AU4185" s="1">
        <v>0.94899999999999896</v>
      </c>
      <c r="AV4185" s="1">
        <v>8.1</v>
      </c>
      <c r="AW4185" s="1">
        <v>6.36</v>
      </c>
      <c r="AX4185" s="1">
        <v>2.5</v>
      </c>
    </row>
    <row r="4186" spans="1:50" x14ac:dyDescent="0.3">
      <c r="A4186" s="1">
        <v>74307</v>
      </c>
      <c r="B4186" s="1" t="s">
        <v>260</v>
      </c>
      <c r="C4186" s="1" t="s">
        <v>231</v>
      </c>
      <c r="D4186" s="2">
        <f t="shared" si="223"/>
        <v>2019</v>
      </c>
      <c r="E4186" s="2">
        <f t="shared" si="224"/>
        <v>8</v>
      </c>
      <c r="G4186" s="4">
        <v>43690</v>
      </c>
      <c r="H4186" s="1">
        <v>6595222</v>
      </c>
      <c r="I4186" s="1">
        <v>667935</v>
      </c>
      <c r="J4186" s="1" t="s">
        <v>190</v>
      </c>
      <c r="L4186" s="1" t="str">
        <f t="shared" si="222"/>
        <v xml:space="preserve">Snuggan </v>
      </c>
      <c r="M4186" s="1" t="s">
        <v>211</v>
      </c>
      <c r="N4186" s="1">
        <v>1</v>
      </c>
      <c r="O4186" s="1">
        <v>1</v>
      </c>
      <c r="Q4186" s="1">
        <v>19.399999999999999</v>
      </c>
      <c r="R4186" s="1">
        <v>8.8000000000000007</v>
      </c>
      <c r="S4186" s="1">
        <v>96</v>
      </c>
    </row>
    <row r="4187" spans="1:50" x14ac:dyDescent="0.3">
      <c r="A4187" s="1">
        <v>74308</v>
      </c>
      <c r="B4187" s="1" t="s">
        <v>260</v>
      </c>
      <c r="C4187" s="1" t="s">
        <v>231</v>
      </c>
      <c r="D4187" s="2">
        <f t="shared" si="223"/>
        <v>2019</v>
      </c>
      <c r="E4187" s="2">
        <f t="shared" si="224"/>
        <v>8</v>
      </c>
      <c r="G4187" s="4">
        <v>43690</v>
      </c>
      <c r="H4187" s="1">
        <v>6595222</v>
      </c>
      <c r="I4187" s="1">
        <v>667935</v>
      </c>
      <c r="J4187" s="1" t="s">
        <v>190</v>
      </c>
      <c r="L4187" s="1" t="str">
        <f t="shared" si="222"/>
        <v xml:space="preserve">Snuggan </v>
      </c>
      <c r="M4187" s="1" t="s">
        <v>212</v>
      </c>
      <c r="N4187" s="1">
        <v>2</v>
      </c>
      <c r="O4187" s="1">
        <v>2</v>
      </c>
      <c r="Q4187" s="1">
        <v>15</v>
      </c>
      <c r="R4187" s="1">
        <v>0.2</v>
      </c>
      <c r="S4187" s="1">
        <v>2</v>
      </c>
    </row>
    <row r="4188" spans="1:50" x14ac:dyDescent="0.3">
      <c r="A4188" s="1">
        <v>74309</v>
      </c>
      <c r="B4188" s="1" t="s">
        <v>260</v>
      </c>
      <c r="C4188" s="1" t="s">
        <v>231</v>
      </c>
      <c r="D4188" s="2">
        <f t="shared" si="223"/>
        <v>2019</v>
      </c>
      <c r="E4188" s="2">
        <f t="shared" si="224"/>
        <v>8</v>
      </c>
      <c r="G4188" s="4">
        <v>43690</v>
      </c>
      <c r="H4188" s="1">
        <v>6595222</v>
      </c>
      <c r="I4188" s="1">
        <v>667935</v>
      </c>
      <c r="J4188" s="1" t="s">
        <v>190</v>
      </c>
      <c r="L4188" s="1" t="str">
        <f t="shared" si="222"/>
        <v xml:space="preserve">Snuggan </v>
      </c>
      <c r="M4188" s="1" t="s">
        <v>184</v>
      </c>
      <c r="N4188" s="1">
        <v>3</v>
      </c>
      <c r="O4188" s="1">
        <v>3</v>
      </c>
      <c r="Q4188" s="1">
        <v>12.5</v>
      </c>
      <c r="R4188" s="1">
        <v>0.1</v>
      </c>
      <c r="S4188" s="1">
        <v>1</v>
      </c>
      <c r="V4188" s="1">
        <v>0.13851105882</v>
      </c>
      <c r="W4188" s="1">
        <v>92.396600000000007</v>
      </c>
      <c r="X4188" s="1">
        <v>5.8658073410852003E-2</v>
      </c>
      <c r="Y4188" s="1">
        <v>0.61699999999999999</v>
      </c>
      <c r="Z4188" s="1">
        <v>0.25</v>
      </c>
      <c r="AA4188" s="1">
        <v>5.7</v>
      </c>
      <c r="AD4188" s="1">
        <v>0.24</v>
      </c>
      <c r="AE4188" s="1">
        <v>6.45</v>
      </c>
      <c r="AI4188" s="1">
        <v>29.01</v>
      </c>
      <c r="AK4188" s="1">
        <v>36.14</v>
      </c>
      <c r="AL4188" s="1">
        <v>1266.8699999999999</v>
      </c>
      <c r="AR4188" s="1">
        <v>4.88</v>
      </c>
      <c r="AT4188" s="1">
        <v>0.63400000000000001</v>
      </c>
      <c r="AU4188" s="1">
        <v>0.93799999999999895</v>
      </c>
      <c r="AV4188" s="1">
        <v>7.92</v>
      </c>
      <c r="AW4188" s="1">
        <v>6.15</v>
      </c>
      <c r="AX4188" s="1">
        <v>2.5</v>
      </c>
    </row>
    <row r="4189" spans="1:50" x14ac:dyDescent="0.3">
      <c r="A4189" s="1">
        <v>74310</v>
      </c>
      <c r="B4189" s="1" t="s">
        <v>260</v>
      </c>
      <c r="C4189" s="1" t="s">
        <v>231</v>
      </c>
      <c r="D4189" s="2">
        <f t="shared" si="223"/>
        <v>2019</v>
      </c>
      <c r="E4189" s="2">
        <f t="shared" si="224"/>
        <v>8</v>
      </c>
      <c r="G4189" s="4">
        <v>43690</v>
      </c>
      <c r="J4189" s="1" t="s">
        <v>190</v>
      </c>
      <c r="L4189" s="1" t="str">
        <f t="shared" si="222"/>
        <v xml:space="preserve">Snuggan </v>
      </c>
      <c r="M4189" s="1" t="s">
        <v>225</v>
      </c>
      <c r="N4189" s="1">
        <v>2</v>
      </c>
      <c r="O4189" s="1">
        <v>0</v>
      </c>
      <c r="AB4189" s="1">
        <v>79.749719999999996</v>
      </c>
    </row>
    <row r="4190" spans="1:50" x14ac:dyDescent="0.3">
      <c r="A4190" s="1">
        <v>74311</v>
      </c>
      <c r="B4190" s="1" t="s">
        <v>260</v>
      </c>
      <c r="C4190" s="1" t="s">
        <v>231</v>
      </c>
      <c r="D4190" s="2">
        <f t="shared" si="223"/>
        <v>2019</v>
      </c>
      <c r="E4190" s="2">
        <f t="shared" si="224"/>
        <v>8</v>
      </c>
      <c r="G4190" s="4">
        <v>43690</v>
      </c>
      <c r="H4190" s="1">
        <v>6597388</v>
      </c>
      <c r="I4190" s="1">
        <v>674663</v>
      </c>
      <c r="J4190" s="1" t="s">
        <v>185</v>
      </c>
      <c r="L4190" s="1" t="str">
        <f t="shared" si="222"/>
        <v xml:space="preserve">Gullsjön </v>
      </c>
      <c r="M4190" s="1" t="s">
        <v>177</v>
      </c>
      <c r="N4190" s="1">
        <v>0.5</v>
      </c>
      <c r="O4190" s="1">
        <v>0.5</v>
      </c>
      <c r="P4190" s="1">
        <v>2</v>
      </c>
      <c r="Q4190" s="1">
        <v>20.6</v>
      </c>
      <c r="R4190" s="1">
        <v>7.1</v>
      </c>
      <c r="S4190" s="1">
        <v>80</v>
      </c>
      <c r="V4190" s="1">
        <v>1.4416457143000001</v>
      </c>
      <c r="W4190" s="1">
        <v>4.9055999999999997</v>
      </c>
      <c r="X4190" s="1">
        <v>7.5926088759532495E-2</v>
      </c>
      <c r="Y4190" s="1">
        <v>0.11</v>
      </c>
      <c r="Z4190" s="1">
        <v>2.86</v>
      </c>
      <c r="AA4190" s="1">
        <v>1</v>
      </c>
      <c r="AB4190" s="1">
        <v>6.1831800000000001</v>
      </c>
      <c r="AD4190" s="1">
        <v>1.1299999999999999</v>
      </c>
      <c r="AE4190" s="1">
        <v>7.58</v>
      </c>
      <c r="AK4190" s="1">
        <v>28.45</v>
      </c>
      <c r="AL4190" s="1">
        <v>807.29</v>
      </c>
    </row>
    <row r="4191" spans="1:50" x14ac:dyDescent="0.3">
      <c r="A4191" s="1">
        <v>74312</v>
      </c>
      <c r="B4191" s="1" t="s">
        <v>260</v>
      </c>
      <c r="C4191" s="1" t="s">
        <v>231</v>
      </c>
      <c r="D4191" s="2">
        <f t="shared" si="223"/>
        <v>2019</v>
      </c>
      <c r="E4191" s="2">
        <f t="shared" si="224"/>
        <v>8</v>
      </c>
      <c r="G4191" s="4">
        <v>43690</v>
      </c>
      <c r="H4191" s="1">
        <v>6597388</v>
      </c>
      <c r="I4191" s="1">
        <v>674663</v>
      </c>
      <c r="J4191" s="1" t="s">
        <v>185</v>
      </c>
      <c r="L4191" s="1" t="str">
        <f t="shared" si="222"/>
        <v xml:space="preserve">Gullsjön </v>
      </c>
      <c r="M4191" s="1" t="s">
        <v>211</v>
      </c>
      <c r="N4191" s="1">
        <v>1</v>
      </c>
      <c r="O4191" s="1">
        <v>1</v>
      </c>
      <c r="Q4191" s="1">
        <v>19.7</v>
      </c>
      <c r="R4191" s="1">
        <v>6.7</v>
      </c>
      <c r="S4191" s="1">
        <v>73</v>
      </c>
    </row>
    <row r="4192" spans="1:50" x14ac:dyDescent="0.3">
      <c r="A4192" s="1">
        <v>74313</v>
      </c>
      <c r="B4192" s="1" t="s">
        <v>260</v>
      </c>
      <c r="C4192" s="1" t="s">
        <v>231</v>
      </c>
      <c r="D4192" s="2">
        <f t="shared" si="223"/>
        <v>2019</v>
      </c>
      <c r="E4192" s="2">
        <f t="shared" si="224"/>
        <v>8</v>
      </c>
      <c r="G4192" s="4">
        <v>43690</v>
      </c>
      <c r="H4192" s="1">
        <v>6597388</v>
      </c>
      <c r="I4192" s="1">
        <v>674663</v>
      </c>
      <c r="J4192" s="1" t="s">
        <v>185</v>
      </c>
      <c r="L4192" s="1" t="str">
        <f t="shared" si="222"/>
        <v xml:space="preserve">Gullsjön </v>
      </c>
      <c r="M4192" s="1" t="s">
        <v>184</v>
      </c>
      <c r="N4192" s="1">
        <v>2</v>
      </c>
      <c r="O4192" s="1">
        <v>2</v>
      </c>
      <c r="Q4192" s="1">
        <v>18.8</v>
      </c>
      <c r="R4192" s="1">
        <v>1</v>
      </c>
      <c r="S4192" s="1">
        <v>10</v>
      </c>
      <c r="V4192" s="1">
        <v>1.5217371429</v>
      </c>
      <c r="W4192" s="1">
        <v>0.81630000000000003</v>
      </c>
      <c r="X4192" s="1">
        <v>7.3635975745734196E-3</v>
      </c>
      <c r="Y4192" s="1">
        <v>0.06</v>
      </c>
      <c r="Z4192" s="1">
        <v>2.4300000000000002</v>
      </c>
      <c r="AA4192" s="1">
        <v>0.85</v>
      </c>
      <c r="AD4192" s="1">
        <v>0.62</v>
      </c>
      <c r="AE4192" s="1">
        <v>7.4</v>
      </c>
      <c r="AK4192" s="1">
        <v>19.809999999999999</v>
      </c>
      <c r="AL4192" s="1">
        <v>765.21</v>
      </c>
    </row>
    <row r="4193" spans="1:91" x14ac:dyDescent="0.3">
      <c r="A4193" s="1">
        <v>74314</v>
      </c>
      <c r="B4193" s="1" t="s">
        <v>260</v>
      </c>
      <c r="C4193" s="1" t="s">
        <v>231</v>
      </c>
      <c r="D4193" s="2">
        <f t="shared" si="223"/>
        <v>2019</v>
      </c>
      <c r="E4193" s="2">
        <f t="shared" si="224"/>
        <v>8</v>
      </c>
      <c r="G4193" s="4">
        <v>43690</v>
      </c>
      <c r="J4193" s="1" t="s">
        <v>185</v>
      </c>
      <c r="L4193" s="1" t="str">
        <f t="shared" si="222"/>
        <v xml:space="preserve">Gullsjön </v>
      </c>
      <c r="M4193" s="1" t="s">
        <v>242</v>
      </c>
      <c r="N4193" s="1">
        <v>1</v>
      </c>
      <c r="O4193" s="1">
        <v>0</v>
      </c>
      <c r="AB4193" s="1">
        <v>6.1831800000000001</v>
      </c>
    </row>
    <row r="4194" spans="1:91" x14ac:dyDescent="0.3">
      <c r="A4194" s="1">
        <v>74315</v>
      </c>
      <c r="B4194" s="1" t="s">
        <v>260</v>
      </c>
      <c r="C4194" s="1" t="s">
        <v>231</v>
      </c>
      <c r="D4194" s="2">
        <f t="shared" si="223"/>
        <v>2019</v>
      </c>
      <c r="E4194" s="2">
        <f t="shared" si="224"/>
        <v>8</v>
      </c>
      <c r="G4194" s="4">
        <v>43690</v>
      </c>
      <c r="H4194" s="1">
        <v>6595294</v>
      </c>
      <c r="I4194" s="1">
        <v>670194</v>
      </c>
      <c r="J4194" s="1" t="s">
        <v>207</v>
      </c>
      <c r="L4194" s="1" t="str">
        <f t="shared" si="222"/>
        <v xml:space="preserve">Käringsjön </v>
      </c>
      <c r="M4194" s="1" t="s">
        <v>177</v>
      </c>
      <c r="N4194" s="1">
        <v>0.5</v>
      </c>
      <c r="O4194" s="1">
        <v>1</v>
      </c>
      <c r="P4194" s="1">
        <v>1.7</v>
      </c>
      <c r="Q4194" s="1">
        <v>20.7</v>
      </c>
      <c r="R4194" s="1">
        <v>8.4</v>
      </c>
      <c r="S4194" s="1">
        <v>94</v>
      </c>
      <c r="V4194" s="1">
        <v>0.69255529412000005</v>
      </c>
      <c r="W4194" s="1">
        <v>1.5466</v>
      </c>
      <c r="X4194" s="1">
        <v>1.3342917896979721E-2</v>
      </c>
      <c r="Y4194" s="1">
        <v>0.39600000000000002</v>
      </c>
      <c r="Z4194" s="1">
        <v>0.2</v>
      </c>
      <c r="AA4194" s="1">
        <v>1.08</v>
      </c>
      <c r="AB4194" s="1">
        <v>19.813320000000001</v>
      </c>
      <c r="AD4194" s="1">
        <v>0</v>
      </c>
      <c r="AE4194" s="1">
        <v>7.32</v>
      </c>
      <c r="AK4194" s="1">
        <v>21.64</v>
      </c>
      <c r="AL4194" s="1">
        <v>1024.33</v>
      </c>
    </row>
    <row r="4195" spans="1:91" x14ac:dyDescent="0.3">
      <c r="A4195" s="1">
        <v>74316</v>
      </c>
      <c r="B4195" s="1" t="s">
        <v>260</v>
      </c>
      <c r="C4195" s="1" t="s">
        <v>231</v>
      </c>
      <c r="D4195" s="2">
        <f t="shared" si="223"/>
        <v>2019</v>
      </c>
      <c r="E4195" s="2">
        <f t="shared" si="224"/>
        <v>8</v>
      </c>
      <c r="G4195" s="4">
        <v>43690</v>
      </c>
      <c r="H4195" s="1">
        <v>6595294</v>
      </c>
      <c r="I4195" s="1">
        <v>670194</v>
      </c>
      <c r="J4195" s="1" t="s">
        <v>207</v>
      </c>
      <c r="L4195" s="1" t="str">
        <f t="shared" si="222"/>
        <v xml:space="preserve">Käringsjön </v>
      </c>
      <c r="M4195" s="1" t="s">
        <v>211</v>
      </c>
      <c r="N4195" s="1">
        <v>1</v>
      </c>
      <c r="O4195" s="1">
        <v>1</v>
      </c>
      <c r="Q4195" s="1">
        <v>19.600000000000001</v>
      </c>
      <c r="R4195" s="1">
        <v>7.8</v>
      </c>
      <c r="S4195" s="1">
        <v>85</v>
      </c>
    </row>
    <row r="4196" spans="1:91" x14ac:dyDescent="0.3">
      <c r="A4196" s="1">
        <v>74317</v>
      </c>
      <c r="B4196" s="1" t="s">
        <v>260</v>
      </c>
      <c r="C4196" s="1" t="s">
        <v>231</v>
      </c>
      <c r="D4196" s="2">
        <f t="shared" si="223"/>
        <v>2019</v>
      </c>
      <c r="E4196" s="2">
        <f t="shared" si="224"/>
        <v>8</v>
      </c>
      <c r="G4196" s="4">
        <v>43690</v>
      </c>
      <c r="H4196" s="1">
        <v>6595294</v>
      </c>
      <c r="I4196" s="1">
        <v>670194</v>
      </c>
      <c r="J4196" s="1" t="s">
        <v>207</v>
      </c>
      <c r="L4196" s="1" t="str">
        <f t="shared" si="222"/>
        <v xml:space="preserve">Käringsjön </v>
      </c>
      <c r="M4196" s="1" t="s">
        <v>212</v>
      </c>
      <c r="N4196" s="1">
        <v>2</v>
      </c>
      <c r="O4196" s="1">
        <v>2</v>
      </c>
      <c r="Q4196" s="1">
        <v>15.9</v>
      </c>
      <c r="R4196" s="1">
        <v>0.2</v>
      </c>
      <c r="S4196" s="1">
        <v>2</v>
      </c>
    </row>
    <row r="4197" spans="1:91" x14ac:dyDescent="0.3">
      <c r="A4197" s="1">
        <v>74318</v>
      </c>
      <c r="B4197" s="1" t="s">
        <v>260</v>
      </c>
      <c r="C4197" s="1" t="s">
        <v>231</v>
      </c>
      <c r="D4197" s="2">
        <f t="shared" si="223"/>
        <v>2019</v>
      </c>
      <c r="E4197" s="2">
        <f t="shared" si="224"/>
        <v>8</v>
      </c>
      <c r="G4197" s="4">
        <v>43690</v>
      </c>
      <c r="H4197" s="1">
        <v>6595294</v>
      </c>
      <c r="I4197" s="1">
        <v>670194</v>
      </c>
      <c r="J4197" s="1" t="s">
        <v>207</v>
      </c>
      <c r="L4197" s="1" t="str">
        <f t="shared" si="222"/>
        <v xml:space="preserve">Käringsjön </v>
      </c>
      <c r="M4197" s="1" t="s">
        <v>213</v>
      </c>
      <c r="N4197" s="1">
        <v>3</v>
      </c>
      <c r="O4197" s="1">
        <v>3</v>
      </c>
      <c r="Q4197" s="1">
        <v>10.4</v>
      </c>
      <c r="R4197" s="1">
        <v>0.1</v>
      </c>
      <c r="S4197" s="1">
        <v>1</v>
      </c>
    </row>
    <row r="4198" spans="1:91" x14ac:dyDescent="0.3">
      <c r="A4198" s="1">
        <v>74319</v>
      </c>
      <c r="B4198" s="1" t="s">
        <v>260</v>
      </c>
      <c r="C4198" s="1" t="s">
        <v>231</v>
      </c>
      <c r="D4198" s="2">
        <f t="shared" si="223"/>
        <v>2019</v>
      </c>
      <c r="E4198" s="2">
        <f t="shared" si="224"/>
        <v>8</v>
      </c>
      <c r="G4198" s="4">
        <v>43690</v>
      </c>
      <c r="H4198" s="1">
        <v>6595294</v>
      </c>
      <c r="I4198" s="1">
        <v>670194</v>
      </c>
      <c r="J4198" s="1" t="s">
        <v>207</v>
      </c>
      <c r="L4198" s="1" t="str">
        <f t="shared" si="222"/>
        <v xml:space="preserve">Käringsjön </v>
      </c>
      <c r="M4198" s="1" t="s">
        <v>184</v>
      </c>
      <c r="N4198" s="1">
        <v>4</v>
      </c>
      <c r="O4198" s="1">
        <v>4</v>
      </c>
      <c r="Q4198" s="1">
        <v>9.1</v>
      </c>
      <c r="R4198" s="1">
        <v>0.1</v>
      </c>
      <c r="S4198" s="1">
        <v>1</v>
      </c>
      <c r="V4198" s="1">
        <v>0.77912470589000005</v>
      </c>
      <c r="W4198" s="1">
        <v>0.48599999999999999</v>
      </c>
      <c r="X4198" s="1">
        <v>8.3890147240305002E-4</v>
      </c>
      <c r="Y4198" s="1">
        <v>0.498</v>
      </c>
      <c r="Z4198" s="1">
        <v>0.8</v>
      </c>
      <c r="AA4198" s="1">
        <v>4.2</v>
      </c>
      <c r="AD4198" s="1">
        <v>0.02</v>
      </c>
      <c r="AE4198" s="1">
        <v>7</v>
      </c>
      <c r="AK4198" s="1">
        <v>50.09</v>
      </c>
      <c r="AL4198" s="1">
        <v>1307.54</v>
      </c>
    </row>
    <row r="4199" spans="1:91" x14ac:dyDescent="0.3">
      <c r="A4199" s="1">
        <v>74320</v>
      </c>
      <c r="B4199" s="1" t="s">
        <v>260</v>
      </c>
      <c r="C4199" s="1" t="s">
        <v>231</v>
      </c>
      <c r="D4199" s="2">
        <f t="shared" si="223"/>
        <v>2019</v>
      </c>
      <c r="E4199" s="2">
        <f t="shared" si="224"/>
        <v>8</v>
      </c>
      <c r="G4199" s="4">
        <v>43690</v>
      </c>
      <c r="J4199" s="1" t="s">
        <v>207</v>
      </c>
      <c r="L4199" s="1" t="str">
        <f t="shared" si="222"/>
        <v xml:space="preserve">Käringsjön </v>
      </c>
      <c r="M4199" s="1" t="s">
        <v>225</v>
      </c>
      <c r="N4199" s="1">
        <v>2</v>
      </c>
      <c r="O4199" s="1">
        <v>0</v>
      </c>
      <c r="AB4199" s="1">
        <v>19.813320000000001</v>
      </c>
    </row>
    <row r="4200" spans="1:91" x14ac:dyDescent="0.3">
      <c r="A4200" s="1">
        <v>74321</v>
      </c>
      <c r="B4200" s="1" t="s">
        <v>260</v>
      </c>
      <c r="C4200" s="1" t="s">
        <v>231</v>
      </c>
      <c r="D4200" s="2">
        <f t="shared" si="223"/>
        <v>2019</v>
      </c>
      <c r="E4200" s="2">
        <f t="shared" si="224"/>
        <v>8</v>
      </c>
      <c r="G4200" s="4">
        <v>43690</v>
      </c>
      <c r="H4200" s="1">
        <v>6594218</v>
      </c>
      <c r="I4200" s="1">
        <v>670947</v>
      </c>
      <c r="J4200" s="1" t="s">
        <v>201</v>
      </c>
      <c r="L4200" s="1" t="str">
        <f t="shared" si="222"/>
        <v xml:space="preserve">Mörtsjön </v>
      </c>
      <c r="M4200" s="1" t="s">
        <v>177</v>
      </c>
      <c r="N4200" s="1">
        <v>0.5</v>
      </c>
      <c r="O4200" s="1">
        <v>0.5</v>
      </c>
      <c r="P4200" s="1">
        <v>2.1</v>
      </c>
      <c r="Q4200" s="1">
        <v>20.7</v>
      </c>
      <c r="R4200" s="1">
        <v>7.2</v>
      </c>
      <c r="S4200" s="1">
        <v>81</v>
      </c>
      <c r="V4200" s="1">
        <v>2.0007152940999999</v>
      </c>
      <c r="W4200" s="1">
        <v>1.623</v>
      </c>
      <c r="X4200" s="1">
        <v>3.7144912035735472E-2</v>
      </c>
      <c r="Y4200" s="1">
        <v>8.5000000000000006E-2</v>
      </c>
      <c r="Z4200" s="1">
        <v>0.25</v>
      </c>
      <c r="AA4200" s="1">
        <v>3.1</v>
      </c>
      <c r="AB4200" s="1">
        <v>13.048920000000001</v>
      </c>
      <c r="AD4200" s="1">
        <v>0</v>
      </c>
      <c r="AE4200" s="1">
        <v>7.75</v>
      </c>
      <c r="AK4200" s="1">
        <v>56.45</v>
      </c>
      <c r="AL4200" s="1">
        <v>851.09</v>
      </c>
    </row>
    <row r="4201" spans="1:91" x14ac:dyDescent="0.3">
      <c r="A4201" s="1">
        <v>74322</v>
      </c>
      <c r="B4201" s="1" t="s">
        <v>260</v>
      </c>
      <c r="C4201" s="1" t="s">
        <v>231</v>
      </c>
      <c r="D4201" s="2">
        <f t="shared" si="223"/>
        <v>2019</v>
      </c>
      <c r="E4201" s="2">
        <f t="shared" si="224"/>
        <v>8</v>
      </c>
      <c r="G4201" s="4">
        <v>43690</v>
      </c>
      <c r="H4201" s="1">
        <v>6594218</v>
      </c>
      <c r="I4201" s="1">
        <v>670947</v>
      </c>
      <c r="J4201" s="1" t="s">
        <v>201</v>
      </c>
      <c r="L4201" s="1" t="str">
        <f t="shared" si="222"/>
        <v xml:space="preserve">Mörtsjön </v>
      </c>
      <c r="M4201" s="1" t="s">
        <v>211</v>
      </c>
      <c r="N4201" s="1">
        <v>1</v>
      </c>
      <c r="O4201" s="1">
        <v>1</v>
      </c>
      <c r="Q4201" s="1">
        <v>20.7</v>
      </c>
      <c r="R4201" s="1">
        <v>7.2</v>
      </c>
      <c r="S4201" s="1">
        <v>81</v>
      </c>
    </row>
    <row r="4202" spans="1:91" x14ac:dyDescent="0.3">
      <c r="A4202" s="1">
        <v>74323</v>
      </c>
      <c r="B4202" s="1" t="s">
        <v>260</v>
      </c>
      <c r="C4202" s="1" t="s">
        <v>231</v>
      </c>
      <c r="D4202" s="2">
        <f t="shared" si="223"/>
        <v>2019</v>
      </c>
      <c r="E4202" s="2">
        <f t="shared" si="224"/>
        <v>8</v>
      </c>
      <c r="G4202" s="4">
        <v>43690</v>
      </c>
      <c r="H4202" s="1">
        <v>6594218</v>
      </c>
      <c r="I4202" s="1">
        <v>670947</v>
      </c>
      <c r="J4202" s="1" t="s">
        <v>201</v>
      </c>
      <c r="L4202" s="1" t="str">
        <f t="shared" si="222"/>
        <v xml:space="preserve">Mörtsjön </v>
      </c>
      <c r="M4202" s="1" t="s">
        <v>212</v>
      </c>
      <c r="N4202" s="1">
        <v>2</v>
      </c>
      <c r="O4202" s="1">
        <v>2</v>
      </c>
      <c r="Q4202" s="1">
        <v>20.3</v>
      </c>
      <c r="R4202" s="1">
        <v>6</v>
      </c>
      <c r="S4202" s="1">
        <v>67</v>
      </c>
    </row>
    <row r="4203" spans="1:91" x14ac:dyDescent="0.3">
      <c r="A4203" s="1">
        <v>74324</v>
      </c>
      <c r="B4203" s="1" t="s">
        <v>260</v>
      </c>
      <c r="C4203" s="1" t="s">
        <v>231</v>
      </c>
      <c r="D4203" s="2">
        <f t="shared" si="223"/>
        <v>2019</v>
      </c>
      <c r="E4203" s="2">
        <f t="shared" si="224"/>
        <v>8</v>
      </c>
      <c r="G4203" s="4">
        <v>43690</v>
      </c>
      <c r="H4203" s="1">
        <v>6594218</v>
      </c>
      <c r="I4203" s="1">
        <v>670947</v>
      </c>
      <c r="J4203" s="1" t="s">
        <v>201</v>
      </c>
      <c r="L4203" s="1" t="str">
        <f t="shared" si="222"/>
        <v xml:space="preserve">Mörtsjön </v>
      </c>
      <c r="M4203" s="1" t="s">
        <v>213</v>
      </c>
      <c r="N4203" s="1">
        <v>3</v>
      </c>
      <c r="O4203" s="1">
        <v>3</v>
      </c>
      <c r="Q4203" s="1">
        <v>19.7</v>
      </c>
      <c r="R4203" s="1">
        <v>1.5</v>
      </c>
      <c r="S4203" s="1">
        <v>16</v>
      </c>
    </row>
    <row r="4204" spans="1:91" x14ac:dyDescent="0.3">
      <c r="A4204" s="1">
        <v>74325</v>
      </c>
      <c r="B4204" s="1" t="s">
        <v>260</v>
      </c>
      <c r="C4204" s="1" t="s">
        <v>231</v>
      </c>
      <c r="D4204" s="2">
        <f t="shared" si="223"/>
        <v>2019</v>
      </c>
      <c r="E4204" s="2">
        <f t="shared" si="224"/>
        <v>8</v>
      </c>
      <c r="G4204" s="4">
        <v>43690</v>
      </c>
      <c r="H4204" s="1">
        <v>6594218</v>
      </c>
      <c r="I4204" s="1">
        <v>670947</v>
      </c>
      <c r="J4204" s="1" t="s">
        <v>201</v>
      </c>
      <c r="L4204" s="1" t="str">
        <f t="shared" si="222"/>
        <v xml:space="preserve">Mörtsjön </v>
      </c>
      <c r="M4204" s="1" t="s">
        <v>184</v>
      </c>
      <c r="N4204" s="1">
        <v>4</v>
      </c>
      <c r="O4204" s="1">
        <v>4</v>
      </c>
      <c r="Q4204" s="1">
        <v>15</v>
      </c>
      <c r="R4204" s="1">
        <v>0.1</v>
      </c>
      <c r="S4204" s="1">
        <v>1</v>
      </c>
      <c r="V4204" s="1">
        <v>2.0584282353000001</v>
      </c>
      <c r="W4204" s="1">
        <v>220.64660000000001</v>
      </c>
      <c r="X4204" s="1">
        <v>2.2650578113528366</v>
      </c>
      <c r="Y4204" s="1">
        <v>8.7999999999999995E-2</v>
      </c>
      <c r="Z4204" s="1">
        <v>1.31</v>
      </c>
      <c r="AA4204" s="1">
        <v>7.4</v>
      </c>
      <c r="AD4204" s="1">
        <v>0.99</v>
      </c>
      <c r="AE4204" s="1">
        <v>7.58</v>
      </c>
      <c r="AK4204" s="1">
        <v>62.83</v>
      </c>
      <c r="AL4204" s="1">
        <v>1304.78</v>
      </c>
    </row>
    <row r="4205" spans="1:91" x14ac:dyDescent="0.3">
      <c r="A4205" s="1">
        <v>74326</v>
      </c>
      <c r="B4205" s="1" t="s">
        <v>260</v>
      </c>
      <c r="C4205" s="1" t="s">
        <v>231</v>
      </c>
      <c r="D4205" s="2">
        <f t="shared" si="223"/>
        <v>2019</v>
      </c>
      <c r="E4205" s="2">
        <f t="shared" si="224"/>
        <v>8</v>
      </c>
      <c r="G4205" s="4">
        <v>43690</v>
      </c>
      <c r="J4205" s="1" t="s">
        <v>201</v>
      </c>
      <c r="L4205" s="1" t="str">
        <f t="shared" si="222"/>
        <v xml:space="preserve">Mörtsjön </v>
      </c>
      <c r="M4205" s="1" t="s">
        <v>225</v>
      </c>
      <c r="N4205" s="1">
        <v>2</v>
      </c>
      <c r="O4205" s="1">
        <v>0</v>
      </c>
      <c r="AB4205" s="1">
        <v>13.048920000000001</v>
      </c>
    </row>
    <row r="4206" spans="1:91" x14ac:dyDescent="0.3">
      <c r="A4206" s="1">
        <v>75868</v>
      </c>
      <c r="B4206" s="1" t="s">
        <v>261</v>
      </c>
      <c r="C4206" s="1" t="s">
        <v>262</v>
      </c>
      <c r="D4206" s="2">
        <f t="shared" si="223"/>
        <v>2019</v>
      </c>
      <c r="E4206" s="2">
        <f t="shared" si="224"/>
        <v>10</v>
      </c>
      <c r="G4206" s="4">
        <v>43759</v>
      </c>
      <c r="H4206" s="1">
        <v>6593563</v>
      </c>
      <c r="I4206" s="1">
        <v>669814</v>
      </c>
      <c r="J4206" s="1" t="s">
        <v>189</v>
      </c>
      <c r="L4206" s="1" t="str">
        <f t="shared" si="222"/>
        <v xml:space="preserve">Rösjön </v>
      </c>
      <c r="M4206" s="1" t="s">
        <v>177</v>
      </c>
      <c r="N4206" s="1">
        <v>0.5</v>
      </c>
      <c r="O4206" s="1">
        <v>0.5</v>
      </c>
      <c r="P4206" s="1">
        <v>3.1</v>
      </c>
      <c r="Q4206" s="1">
        <v>9.8000000000000007</v>
      </c>
      <c r="R4206" s="1">
        <v>10</v>
      </c>
      <c r="S4206" s="1">
        <v>88</v>
      </c>
      <c r="W4206" s="1">
        <v>20.372299999999999</v>
      </c>
      <c r="X4206" s="1">
        <v>0.29811971071854693</v>
      </c>
      <c r="Y4206" s="1">
        <v>2.8000000000000001E-2</v>
      </c>
      <c r="Z4206" s="1">
        <v>3.63</v>
      </c>
      <c r="AA4206" s="1">
        <v>2.4</v>
      </c>
      <c r="AD4206" s="1">
        <v>4.4800000000000004</v>
      </c>
      <c r="AE4206" s="1">
        <v>7.91</v>
      </c>
      <c r="AI4206" s="1">
        <v>8.8119999999999994</v>
      </c>
      <c r="AJ4206" s="1">
        <v>8.2100000000000009</v>
      </c>
      <c r="AK4206" s="1">
        <v>25.23</v>
      </c>
      <c r="AL4206" s="1">
        <v>578.6</v>
      </c>
      <c r="AR4206" s="1">
        <v>34.6</v>
      </c>
      <c r="AS4206" s="1">
        <v>4.36E-2</v>
      </c>
      <c r="AT4206" s="1">
        <v>2.54</v>
      </c>
      <c r="AU4206" s="1">
        <v>4.83</v>
      </c>
      <c r="AW4206" s="1">
        <v>17.100000000000001</v>
      </c>
      <c r="AY4206" s="1">
        <v>1.6</v>
      </c>
      <c r="AZ4206" s="1">
        <v>14.6</v>
      </c>
      <c r="BA4206" s="1">
        <v>0.89900000000000002</v>
      </c>
      <c r="BB4206" s="1">
        <v>19.5</v>
      </c>
      <c r="BC4206" s="1">
        <v>1E-3</v>
      </c>
      <c r="BD4206" s="1">
        <v>2.7400000000000001E-2</v>
      </c>
      <c r="BE4206" s="1">
        <v>3.73E-2</v>
      </c>
      <c r="BF4206" s="1">
        <v>0.50800000000000001</v>
      </c>
      <c r="BG4206" s="1">
        <v>1E-3</v>
      </c>
      <c r="BH4206" s="1">
        <v>21.9</v>
      </c>
      <c r="BI4206" s="1">
        <v>0.68899999999999895</v>
      </c>
      <c r="BJ4206" s="1">
        <v>0.30299999999999899</v>
      </c>
      <c r="BK4206" s="1">
        <v>24.1</v>
      </c>
      <c r="BL4206" s="1">
        <v>9.7199999999999898E-2</v>
      </c>
      <c r="BM4206" s="1">
        <v>87.9</v>
      </c>
      <c r="BN4206" s="1">
        <v>0.28000000000000003</v>
      </c>
      <c r="BO4206" s="1">
        <v>0.46300000000000002</v>
      </c>
      <c r="BQ4206" s="1">
        <v>0.89200000000000002</v>
      </c>
      <c r="BR4206" s="1">
        <v>1E-3</v>
      </c>
      <c r="BS4206" s="1">
        <v>2.5000000000000001E-3</v>
      </c>
      <c r="BT4206" s="1">
        <v>2.5000000000000001E-3</v>
      </c>
      <c r="BU4206" s="1">
        <v>0.41099999999999898</v>
      </c>
      <c r="BV4206" s="1">
        <v>0.52600000000000002</v>
      </c>
      <c r="BW4206" s="1">
        <v>0.26</v>
      </c>
      <c r="BX4206" s="1">
        <v>5.0000000000000001E-3</v>
      </c>
      <c r="BY4206" s="1">
        <v>1.82</v>
      </c>
      <c r="BZ4206" s="1">
        <v>32.700000000000003</v>
      </c>
      <c r="CA4206" s="1">
        <v>4.7</v>
      </c>
      <c r="CC4206" s="1">
        <v>3.5500000000000002E-3</v>
      </c>
      <c r="CD4206" s="1">
        <v>2.4900000000000002</v>
      </c>
      <c r="CE4206" s="1">
        <v>16.7</v>
      </c>
      <c r="CF4206" s="1">
        <v>1.47</v>
      </c>
      <c r="CG4206" s="1">
        <v>0.80900000000000005</v>
      </c>
      <c r="CH4206" s="1">
        <v>15.1</v>
      </c>
      <c r="CI4206" s="1">
        <v>1E-3</v>
      </c>
      <c r="CJ4206" s="1">
        <v>0.78800000000000003</v>
      </c>
      <c r="CK4206" s="1">
        <v>9.2899999999999903</v>
      </c>
      <c r="CL4206" s="1">
        <v>0.26700000000000002</v>
      </c>
      <c r="CM4206" s="1">
        <v>86.5</v>
      </c>
    </row>
    <row r="4207" spans="1:91" x14ac:dyDescent="0.3">
      <c r="A4207" s="1">
        <v>75869</v>
      </c>
      <c r="B4207" s="1" t="s">
        <v>261</v>
      </c>
      <c r="C4207" s="1" t="s">
        <v>262</v>
      </c>
      <c r="D4207" s="2">
        <f t="shared" si="223"/>
        <v>2019</v>
      </c>
      <c r="E4207" s="2">
        <f t="shared" si="224"/>
        <v>10</v>
      </c>
      <c r="G4207" s="4">
        <v>43759</v>
      </c>
      <c r="H4207" s="1">
        <v>6593563</v>
      </c>
      <c r="I4207" s="1">
        <v>669814</v>
      </c>
      <c r="J4207" s="1" t="s">
        <v>189</v>
      </c>
      <c r="L4207" s="1" t="str">
        <f t="shared" si="222"/>
        <v xml:space="preserve">Rösjön </v>
      </c>
      <c r="M4207" s="1" t="s">
        <v>211</v>
      </c>
      <c r="N4207" s="1">
        <v>1</v>
      </c>
      <c r="O4207" s="1">
        <v>1</v>
      </c>
      <c r="Q4207" s="1">
        <v>9.8000000000000007</v>
      </c>
      <c r="R4207" s="1">
        <v>10</v>
      </c>
      <c r="S4207" s="1">
        <v>88</v>
      </c>
    </row>
    <row r="4208" spans="1:91" x14ac:dyDescent="0.3">
      <c r="A4208" s="1">
        <v>75870</v>
      </c>
      <c r="B4208" s="1" t="s">
        <v>261</v>
      </c>
      <c r="C4208" s="1" t="s">
        <v>262</v>
      </c>
      <c r="D4208" s="2">
        <f t="shared" si="223"/>
        <v>2019</v>
      </c>
      <c r="E4208" s="2">
        <f t="shared" si="224"/>
        <v>10</v>
      </c>
      <c r="G4208" s="4">
        <v>43759</v>
      </c>
      <c r="H4208" s="1">
        <v>6593563</v>
      </c>
      <c r="I4208" s="1">
        <v>669814</v>
      </c>
      <c r="J4208" s="1" t="s">
        <v>189</v>
      </c>
      <c r="L4208" s="1" t="str">
        <f t="shared" si="222"/>
        <v xml:space="preserve">Rösjön </v>
      </c>
      <c r="M4208" s="1" t="s">
        <v>212</v>
      </c>
      <c r="N4208" s="1">
        <v>2</v>
      </c>
      <c r="O4208" s="1">
        <v>2</v>
      </c>
      <c r="Q4208" s="1">
        <v>9.8000000000000007</v>
      </c>
      <c r="R4208" s="1">
        <v>10</v>
      </c>
      <c r="S4208" s="1">
        <v>88</v>
      </c>
    </row>
    <row r="4209" spans="1:91" x14ac:dyDescent="0.3">
      <c r="A4209" s="1">
        <v>75871</v>
      </c>
      <c r="B4209" s="1" t="s">
        <v>261</v>
      </c>
      <c r="C4209" s="1" t="s">
        <v>262</v>
      </c>
      <c r="D4209" s="2">
        <f t="shared" si="223"/>
        <v>2019</v>
      </c>
      <c r="E4209" s="2">
        <f t="shared" si="224"/>
        <v>10</v>
      </c>
      <c r="G4209" s="4">
        <v>43759</v>
      </c>
      <c r="H4209" s="1">
        <v>6593563</v>
      </c>
      <c r="I4209" s="1">
        <v>669814</v>
      </c>
      <c r="J4209" s="1" t="s">
        <v>189</v>
      </c>
      <c r="L4209" s="1" t="str">
        <f t="shared" si="222"/>
        <v xml:space="preserve">Rösjön </v>
      </c>
      <c r="M4209" s="1" t="s">
        <v>213</v>
      </c>
      <c r="N4209" s="1">
        <v>3</v>
      </c>
      <c r="O4209" s="1">
        <v>3</v>
      </c>
      <c r="Q4209" s="1">
        <v>9.8000000000000007</v>
      </c>
      <c r="R4209" s="1">
        <v>10</v>
      </c>
      <c r="S4209" s="1">
        <v>88</v>
      </c>
    </row>
    <row r="4210" spans="1:91" x14ac:dyDescent="0.3">
      <c r="A4210" s="1">
        <v>75872</v>
      </c>
      <c r="B4210" s="1" t="s">
        <v>261</v>
      </c>
      <c r="C4210" s="1" t="s">
        <v>262</v>
      </c>
      <c r="D4210" s="2">
        <f t="shared" si="223"/>
        <v>2019</v>
      </c>
      <c r="E4210" s="2">
        <f t="shared" si="224"/>
        <v>10</v>
      </c>
      <c r="G4210" s="4">
        <v>43759</v>
      </c>
      <c r="H4210" s="1">
        <v>6593563</v>
      </c>
      <c r="I4210" s="1">
        <v>669814</v>
      </c>
      <c r="J4210" s="1" t="s">
        <v>189</v>
      </c>
      <c r="L4210" s="1" t="str">
        <f t="shared" si="222"/>
        <v xml:space="preserve">Rösjön </v>
      </c>
      <c r="M4210" s="1" t="s">
        <v>214</v>
      </c>
      <c r="N4210" s="1">
        <v>4</v>
      </c>
      <c r="O4210" s="1">
        <v>4</v>
      </c>
      <c r="Q4210" s="1">
        <v>9.8000000000000007</v>
      </c>
      <c r="R4210" s="1">
        <v>10</v>
      </c>
      <c r="S4210" s="1">
        <v>88</v>
      </c>
    </row>
    <row r="4211" spans="1:91" x14ac:dyDescent="0.3">
      <c r="A4211" s="1">
        <v>75873</v>
      </c>
      <c r="B4211" s="1" t="s">
        <v>261</v>
      </c>
      <c r="C4211" s="1" t="s">
        <v>262</v>
      </c>
      <c r="D4211" s="2">
        <f t="shared" si="223"/>
        <v>2019</v>
      </c>
      <c r="E4211" s="2">
        <f t="shared" si="224"/>
        <v>10</v>
      </c>
      <c r="G4211" s="4">
        <v>43759</v>
      </c>
      <c r="H4211" s="1">
        <v>6593563</v>
      </c>
      <c r="I4211" s="1">
        <v>669814</v>
      </c>
      <c r="J4211" s="1" t="s">
        <v>189</v>
      </c>
      <c r="L4211" s="1" t="str">
        <f t="shared" si="222"/>
        <v xml:space="preserve">Rösjön </v>
      </c>
      <c r="M4211" s="1" t="s">
        <v>217</v>
      </c>
      <c r="N4211" s="1">
        <v>5</v>
      </c>
      <c r="O4211" s="1">
        <v>5</v>
      </c>
      <c r="Q4211" s="1">
        <v>9.8000000000000007</v>
      </c>
      <c r="R4211" s="1">
        <v>10</v>
      </c>
      <c r="S4211" s="1">
        <v>88</v>
      </c>
    </row>
    <row r="4212" spans="1:91" x14ac:dyDescent="0.3">
      <c r="A4212" s="1">
        <v>75874</v>
      </c>
      <c r="B4212" s="1" t="s">
        <v>261</v>
      </c>
      <c r="C4212" s="1" t="s">
        <v>262</v>
      </c>
      <c r="D4212" s="2">
        <f t="shared" si="223"/>
        <v>2019</v>
      </c>
      <c r="E4212" s="2">
        <f t="shared" si="224"/>
        <v>10</v>
      </c>
      <c r="G4212" s="4">
        <v>43759</v>
      </c>
      <c r="H4212" s="1">
        <v>6593563</v>
      </c>
      <c r="I4212" s="1">
        <v>669814</v>
      </c>
      <c r="J4212" s="1" t="s">
        <v>189</v>
      </c>
      <c r="L4212" s="1" t="str">
        <f t="shared" si="222"/>
        <v xml:space="preserve">Rösjön </v>
      </c>
      <c r="M4212" s="1" t="s">
        <v>218</v>
      </c>
      <c r="N4212" s="1">
        <v>6</v>
      </c>
      <c r="O4212" s="1">
        <v>6</v>
      </c>
      <c r="Q4212" s="1">
        <v>9.8000000000000007</v>
      </c>
      <c r="R4212" s="1">
        <v>10</v>
      </c>
      <c r="S4212" s="1">
        <v>87</v>
      </c>
    </row>
    <row r="4213" spans="1:91" x14ac:dyDescent="0.3">
      <c r="A4213" s="1">
        <v>75875</v>
      </c>
      <c r="B4213" s="1" t="s">
        <v>261</v>
      </c>
      <c r="C4213" s="1" t="s">
        <v>262</v>
      </c>
      <c r="D4213" s="2">
        <f t="shared" si="223"/>
        <v>2019</v>
      </c>
      <c r="E4213" s="2">
        <f t="shared" si="224"/>
        <v>10</v>
      </c>
      <c r="G4213" s="4">
        <v>43759</v>
      </c>
      <c r="H4213" s="1">
        <v>6593563</v>
      </c>
      <c r="I4213" s="1">
        <v>669814</v>
      </c>
      <c r="J4213" s="1" t="s">
        <v>189</v>
      </c>
      <c r="L4213" s="1" t="str">
        <f t="shared" si="222"/>
        <v xml:space="preserve">Rösjön </v>
      </c>
      <c r="M4213" s="1" t="s">
        <v>184</v>
      </c>
      <c r="N4213" s="1">
        <v>7</v>
      </c>
      <c r="O4213" s="1">
        <v>7</v>
      </c>
      <c r="Q4213" s="1">
        <v>9.8000000000000007</v>
      </c>
      <c r="R4213" s="1">
        <v>10</v>
      </c>
      <c r="S4213" s="1">
        <v>87</v>
      </c>
    </row>
    <row r="4214" spans="1:91" x14ac:dyDescent="0.3">
      <c r="A4214" s="1">
        <v>75876</v>
      </c>
      <c r="B4214" s="1" t="s">
        <v>261</v>
      </c>
      <c r="C4214" s="1" t="s">
        <v>262</v>
      </c>
      <c r="D4214" s="2">
        <f t="shared" si="223"/>
        <v>2019</v>
      </c>
      <c r="E4214" s="2">
        <f t="shared" si="224"/>
        <v>10</v>
      </c>
      <c r="G4214" s="4">
        <v>43759</v>
      </c>
      <c r="H4214" s="1">
        <v>6594775</v>
      </c>
      <c r="I4214" s="1">
        <v>668514</v>
      </c>
      <c r="J4214" s="1" t="s">
        <v>192</v>
      </c>
      <c r="L4214" s="1" t="str">
        <f t="shared" si="222"/>
        <v xml:space="preserve">Väsjön </v>
      </c>
      <c r="M4214" s="1" t="s">
        <v>177</v>
      </c>
      <c r="N4214" s="1">
        <v>0.5</v>
      </c>
      <c r="O4214" s="1">
        <v>0.5</v>
      </c>
      <c r="P4214" s="1">
        <v>2.8</v>
      </c>
      <c r="Q4214" s="1">
        <v>9</v>
      </c>
      <c r="R4214" s="1">
        <v>9.4</v>
      </c>
      <c r="S4214" s="1">
        <v>81</v>
      </c>
      <c r="W4214" s="1">
        <v>4.5503</v>
      </c>
      <c r="X4214" s="1">
        <v>6.8524693859546501E-2</v>
      </c>
      <c r="Y4214" s="1">
        <v>5.3999999999999999E-2</v>
      </c>
      <c r="Z4214" s="1">
        <v>1.1200000000000001</v>
      </c>
      <c r="AA4214" s="1">
        <v>1.24</v>
      </c>
      <c r="AD4214" s="1">
        <v>1.03</v>
      </c>
      <c r="AE4214" s="1">
        <v>7.95</v>
      </c>
      <c r="AI4214" s="1">
        <v>12.06</v>
      </c>
      <c r="AJ4214" s="1">
        <v>11.94</v>
      </c>
      <c r="AK4214" s="1">
        <v>13.89</v>
      </c>
      <c r="AL4214" s="1">
        <v>615.76</v>
      </c>
      <c r="AR4214" s="1">
        <v>66.099999999999895</v>
      </c>
      <c r="AS4214" s="1">
        <v>1.6799999999999898E-2</v>
      </c>
      <c r="AT4214" s="1">
        <v>6.53</v>
      </c>
      <c r="AU4214" s="1">
        <v>10.1</v>
      </c>
      <c r="AW4214" s="1">
        <v>51.3</v>
      </c>
      <c r="AY4214" s="1">
        <v>0.42299999999999899</v>
      </c>
      <c r="AZ4214" s="1">
        <v>8.15</v>
      </c>
      <c r="BA4214" s="1">
        <v>0.747</v>
      </c>
      <c r="BB4214" s="1">
        <v>36.799999999999898</v>
      </c>
      <c r="BC4214" s="1">
        <v>1E-3</v>
      </c>
      <c r="BD4214" s="1">
        <v>4.9099999999999901E-2</v>
      </c>
      <c r="BE4214" s="1">
        <v>3.15E-2</v>
      </c>
      <c r="BF4214" s="1">
        <v>0.39900000000000002</v>
      </c>
      <c r="BG4214" s="1">
        <v>1E-3</v>
      </c>
      <c r="BH4214" s="1">
        <v>25.7</v>
      </c>
      <c r="BI4214" s="1">
        <v>1.89</v>
      </c>
      <c r="BJ4214" s="1">
        <v>0.47499999999999898</v>
      </c>
      <c r="BK4214" s="1">
        <v>18.7</v>
      </c>
      <c r="BL4214" s="1">
        <v>6.06999999999999E-2</v>
      </c>
      <c r="BM4214" s="1">
        <v>188</v>
      </c>
      <c r="BN4214" s="1">
        <v>0.41199999999999898</v>
      </c>
      <c r="BO4214" s="1">
        <v>1.23</v>
      </c>
      <c r="BQ4214" s="1">
        <v>1.01</v>
      </c>
      <c r="BR4214" s="1">
        <v>1E-3</v>
      </c>
      <c r="BS4214" s="1">
        <v>5.96E-3</v>
      </c>
      <c r="BT4214" s="1">
        <v>1.9099999999999898E-2</v>
      </c>
      <c r="BU4214" s="1">
        <v>0.27100000000000002</v>
      </c>
      <c r="BV4214" s="1">
        <v>0.55300000000000005</v>
      </c>
      <c r="BW4214" s="1">
        <v>0.307</v>
      </c>
      <c r="BX4214" s="1">
        <v>5.0000000000000001E-3</v>
      </c>
      <c r="BY4214" s="1">
        <v>2.0699999999999901</v>
      </c>
      <c r="BZ4214" s="1">
        <v>63.4</v>
      </c>
      <c r="CA4214" s="1">
        <v>9.93</v>
      </c>
      <c r="CC4214" s="1">
        <v>3.5500000000000002E-3</v>
      </c>
      <c r="CD4214" s="1">
        <v>6.38</v>
      </c>
      <c r="CE4214" s="1">
        <v>50.8</v>
      </c>
      <c r="CF4214" s="1">
        <v>0.39500000000000002</v>
      </c>
      <c r="CG4214" s="1">
        <v>0.94899999999999896</v>
      </c>
      <c r="CH4214" s="1">
        <v>34.9</v>
      </c>
      <c r="CI4214" s="1">
        <v>1E-3</v>
      </c>
      <c r="CJ4214" s="1">
        <v>1.88</v>
      </c>
      <c r="CK4214" s="1">
        <v>8.7799999999999905</v>
      </c>
      <c r="CL4214" s="1">
        <v>0.32900000000000001</v>
      </c>
      <c r="CM4214" s="1">
        <v>186</v>
      </c>
    </row>
    <row r="4215" spans="1:91" x14ac:dyDescent="0.3">
      <c r="A4215" s="1">
        <v>75877</v>
      </c>
      <c r="B4215" s="1" t="s">
        <v>261</v>
      </c>
      <c r="C4215" s="1" t="s">
        <v>262</v>
      </c>
      <c r="D4215" s="2">
        <f t="shared" si="223"/>
        <v>2019</v>
      </c>
      <c r="E4215" s="2">
        <f t="shared" si="224"/>
        <v>10</v>
      </c>
      <c r="G4215" s="4">
        <v>43759</v>
      </c>
      <c r="H4215" s="1">
        <v>6594775</v>
      </c>
      <c r="I4215" s="1">
        <v>668514</v>
      </c>
      <c r="J4215" s="1" t="s">
        <v>192</v>
      </c>
      <c r="L4215" s="1" t="str">
        <f t="shared" si="222"/>
        <v xml:space="preserve">Väsjön </v>
      </c>
      <c r="M4215" s="1" t="s">
        <v>211</v>
      </c>
      <c r="N4215" s="1">
        <v>1</v>
      </c>
      <c r="O4215" s="1">
        <v>1</v>
      </c>
      <c r="Q4215" s="1">
        <v>9</v>
      </c>
      <c r="R4215" s="1">
        <v>9.4</v>
      </c>
      <c r="S4215" s="1">
        <v>81</v>
      </c>
    </row>
    <row r="4216" spans="1:91" x14ac:dyDescent="0.3">
      <c r="A4216" s="1">
        <v>75878</v>
      </c>
      <c r="B4216" s="1" t="s">
        <v>261</v>
      </c>
      <c r="C4216" s="1" t="s">
        <v>262</v>
      </c>
      <c r="D4216" s="2">
        <f t="shared" si="223"/>
        <v>2019</v>
      </c>
      <c r="E4216" s="2">
        <f t="shared" si="224"/>
        <v>10</v>
      </c>
      <c r="G4216" s="4">
        <v>43759</v>
      </c>
      <c r="H4216" s="1">
        <v>6594775</v>
      </c>
      <c r="I4216" s="1">
        <v>668514</v>
      </c>
      <c r="J4216" s="1" t="s">
        <v>192</v>
      </c>
      <c r="L4216" s="1" t="str">
        <f t="shared" si="222"/>
        <v xml:space="preserve">Väsjön </v>
      </c>
      <c r="M4216" s="1" t="s">
        <v>212</v>
      </c>
      <c r="N4216" s="1">
        <v>2</v>
      </c>
      <c r="O4216" s="1">
        <v>2</v>
      </c>
      <c r="Q4216" s="1">
        <v>9</v>
      </c>
      <c r="R4216" s="1">
        <v>9.4</v>
      </c>
      <c r="S4216" s="1">
        <v>81</v>
      </c>
    </row>
    <row r="4217" spans="1:91" x14ac:dyDescent="0.3">
      <c r="A4217" s="1">
        <v>75879</v>
      </c>
      <c r="B4217" s="1" t="s">
        <v>261</v>
      </c>
      <c r="C4217" s="1" t="s">
        <v>262</v>
      </c>
      <c r="D4217" s="2">
        <f t="shared" si="223"/>
        <v>2019</v>
      </c>
      <c r="E4217" s="2">
        <f t="shared" si="224"/>
        <v>10</v>
      </c>
      <c r="G4217" s="4">
        <v>43759</v>
      </c>
      <c r="H4217" s="1">
        <v>6594775</v>
      </c>
      <c r="I4217" s="1">
        <v>668514</v>
      </c>
      <c r="J4217" s="1" t="s">
        <v>192</v>
      </c>
      <c r="L4217" s="1" t="str">
        <f t="shared" si="222"/>
        <v xml:space="preserve">Väsjön </v>
      </c>
      <c r="M4217" s="1" t="s">
        <v>184</v>
      </c>
      <c r="N4217" s="1">
        <v>2.5</v>
      </c>
      <c r="O4217" s="1">
        <v>2.5</v>
      </c>
      <c r="Q4217" s="1">
        <v>9</v>
      </c>
      <c r="R4217" s="1">
        <v>9.3000000000000007</v>
      </c>
      <c r="S4217" s="1">
        <v>81</v>
      </c>
    </row>
    <row r="4218" spans="1:91" x14ac:dyDescent="0.3">
      <c r="A4218" s="1">
        <v>69457</v>
      </c>
      <c r="B4218" s="1" t="s">
        <v>263</v>
      </c>
      <c r="C4218" s="1" t="s">
        <v>209</v>
      </c>
      <c r="D4218" s="2">
        <f t="shared" si="223"/>
        <v>2019</v>
      </c>
      <c r="E4218" s="2">
        <f t="shared" si="224"/>
        <v>1</v>
      </c>
      <c r="G4218" s="4">
        <v>43488</v>
      </c>
      <c r="H4218" s="1">
        <v>6600738</v>
      </c>
      <c r="I4218" s="1">
        <v>672261</v>
      </c>
      <c r="J4218" s="1" t="s">
        <v>191</v>
      </c>
      <c r="K4218" s="29" t="s">
        <v>210</v>
      </c>
      <c r="L4218" s="1" t="str">
        <f t="shared" si="222"/>
        <v>Vallentunasjön Va2</v>
      </c>
      <c r="M4218" s="1" t="s">
        <v>177</v>
      </c>
      <c r="N4218" s="1">
        <v>0.5</v>
      </c>
      <c r="O4218" s="1">
        <v>0.5</v>
      </c>
      <c r="P4218" s="1">
        <v>1.6</v>
      </c>
      <c r="Q4218" s="1">
        <v>1.2</v>
      </c>
      <c r="R4218" s="1">
        <v>8.5</v>
      </c>
      <c r="S4218" s="1">
        <v>62</v>
      </c>
    </row>
    <row r="4219" spans="1:91" x14ac:dyDescent="0.3">
      <c r="A4219" s="1">
        <v>69458</v>
      </c>
      <c r="B4219" s="1" t="s">
        <v>263</v>
      </c>
      <c r="C4219" s="1" t="s">
        <v>209</v>
      </c>
      <c r="D4219" s="2">
        <f t="shared" si="223"/>
        <v>2019</v>
      </c>
      <c r="E4219" s="2">
        <f t="shared" si="224"/>
        <v>1</v>
      </c>
      <c r="G4219" s="4">
        <v>43488</v>
      </c>
      <c r="H4219" s="1">
        <v>6600738</v>
      </c>
      <c r="I4219" s="1">
        <v>672261</v>
      </c>
      <c r="J4219" s="1" t="s">
        <v>191</v>
      </c>
      <c r="K4219" s="29" t="s">
        <v>210</v>
      </c>
      <c r="L4219" s="1" t="str">
        <f t="shared" si="222"/>
        <v>Vallentunasjön Va2</v>
      </c>
      <c r="M4219" s="1" t="s">
        <v>211</v>
      </c>
      <c r="N4219" s="1">
        <v>1</v>
      </c>
      <c r="O4219" s="1">
        <v>1</v>
      </c>
      <c r="Q4219" s="1">
        <v>2.2999999999999998</v>
      </c>
      <c r="R4219" s="1">
        <v>7.9</v>
      </c>
      <c r="S4219" s="1">
        <v>59</v>
      </c>
    </row>
    <row r="4220" spans="1:91" x14ac:dyDescent="0.3">
      <c r="A4220" s="1">
        <v>69459</v>
      </c>
      <c r="B4220" s="1" t="s">
        <v>263</v>
      </c>
      <c r="C4220" s="1" t="s">
        <v>209</v>
      </c>
      <c r="D4220" s="2">
        <f t="shared" si="223"/>
        <v>2019</v>
      </c>
      <c r="E4220" s="2">
        <f t="shared" si="224"/>
        <v>1</v>
      </c>
      <c r="G4220" s="4">
        <v>43488</v>
      </c>
      <c r="H4220" s="1">
        <v>6600738</v>
      </c>
      <c r="I4220" s="1">
        <v>672261</v>
      </c>
      <c r="J4220" s="1" t="s">
        <v>191</v>
      </c>
      <c r="K4220" s="29" t="s">
        <v>210</v>
      </c>
      <c r="L4220" s="1" t="str">
        <f t="shared" si="222"/>
        <v>Vallentunasjön Va2</v>
      </c>
      <c r="M4220" s="1" t="s">
        <v>212</v>
      </c>
      <c r="N4220" s="1">
        <v>2</v>
      </c>
      <c r="O4220" s="1">
        <v>2</v>
      </c>
      <c r="Q4220" s="1">
        <v>3.2</v>
      </c>
      <c r="R4220" s="1">
        <v>4.5</v>
      </c>
      <c r="S4220" s="1">
        <v>34</v>
      </c>
    </row>
    <row r="4221" spans="1:91" x14ac:dyDescent="0.3">
      <c r="A4221" s="1">
        <v>69460</v>
      </c>
      <c r="B4221" s="1" t="s">
        <v>263</v>
      </c>
      <c r="C4221" s="1" t="s">
        <v>209</v>
      </c>
      <c r="D4221" s="2">
        <f t="shared" si="223"/>
        <v>2019</v>
      </c>
      <c r="E4221" s="2">
        <f t="shared" si="224"/>
        <v>1</v>
      </c>
      <c r="G4221" s="4">
        <v>43488</v>
      </c>
      <c r="H4221" s="1">
        <v>6600738</v>
      </c>
      <c r="I4221" s="1">
        <v>672261</v>
      </c>
      <c r="J4221" s="1" t="s">
        <v>191</v>
      </c>
      <c r="K4221" s="29" t="s">
        <v>210</v>
      </c>
      <c r="L4221" s="1" t="str">
        <f t="shared" si="222"/>
        <v>Vallentunasjön Va2</v>
      </c>
      <c r="M4221" s="1" t="s">
        <v>213</v>
      </c>
      <c r="N4221" s="1">
        <v>3</v>
      </c>
      <c r="O4221" s="1">
        <v>3</v>
      </c>
      <c r="Q4221" s="1">
        <v>4.0999999999999996</v>
      </c>
      <c r="R4221" s="1">
        <v>0.4</v>
      </c>
      <c r="S4221" s="1">
        <v>3</v>
      </c>
    </row>
    <row r="4222" spans="1:91" x14ac:dyDescent="0.3">
      <c r="A4222" s="1">
        <v>69461</v>
      </c>
      <c r="B4222" s="1" t="s">
        <v>263</v>
      </c>
      <c r="C4222" s="1" t="s">
        <v>209</v>
      </c>
      <c r="D4222" s="2">
        <f t="shared" si="223"/>
        <v>2019</v>
      </c>
      <c r="E4222" s="2">
        <f t="shared" si="224"/>
        <v>1</v>
      </c>
      <c r="G4222" s="4">
        <v>43488</v>
      </c>
      <c r="H4222" s="1">
        <v>6600738</v>
      </c>
      <c r="I4222" s="1">
        <v>672261</v>
      </c>
      <c r="J4222" s="1" t="s">
        <v>191</v>
      </c>
      <c r="K4222" s="29" t="s">
        <v>210</v>
      </c>
      <c r="L4222" s="1" t="str">
        <f t="shared" ref="L4222:L4285" si="225">CONCATENATE(J4222," ",K4222)</f>
        <v>Vallentunasjön Va2</v>
      </c>
      <c r="M4222" s="1" t="s">
        <v>214</v>
      </c>
      <c r="N4222" s="1">
        <v>4</v>
      </c>
      <c r="O4222" s="1">
        <v>4</v>
      </c>
      <c r="Q4222" s="1">
        <v>4.4000000000000004</v>
      </c>
      <c r="R4222" s="1">
        <v>0.4</v>
      </c>
      <c r="S4222" s="1">
        <v>3</v>
      </c>
    </row>
    <row r="4223" spans="1:91" x14ac:dyDescent="0.3">
      <c r="A4223" s="1">
        <v>69462</v>
      </c>
      <c r="B4223" s="1" t="s">
        <v>263</v>
      </c>
      <c r="C4223" s="1" t="s">
        <v>209</v>
      </c>
      <c r="D4223" s="2">
        <f t="shared" si="223"/>
        <v>2019</v>
      </c>
      <c r="E4223" s="2">
        <f t="shared" si="224"/>
        <v>1</v>
      </c>
      <c r="G4223" s="4">
        <v>43488</v>
      </c>
      <c r="H4223" s="1">
        <v>6600738</v>
      </c>
      <c r="I4223" s="1">
        <v>672261</v>
      </c>
      <c r="J4223" s="1" t="s">
        <v>191</v>
      </c>
      <c r="K4223" s="29" t="s">
        <v>210</v>
      </c>
      <c r="L4223" s="1" t="str">
        <f t="shared" si="225"/>
        <v>Vallentunasjön Va2</v>
      </c>
      <c r="M4223" s="1" t="s">
        <v>184</v>
      </c>
      <c r="N4223" s="1">
        <v>4.5</v>
      </c>
      <c r="O4223" s="1">
        <v>4.5</v>
      </c>
    </row>
    <row r="4224" spans="1:91" x14ac:dyDescent="0.3">
      <c r="A4224" s="1">
        <v>69463</v>
      </c>
      <c r="B4224" s="1" t="s">
        <v>263</v>
      </c>
      <c r="C4224" s="1" t="s">
        <v>209</v>
      </c>
      <c r="D4224" s="2">
        <f t="shared" si="223"/>
        <v>2019</v>
      </c>
      <c r="E4224" s="2">
        <f t="shared" si="224"/>
        <v>1</v>
      </c>
      <c r="G4224" s="4">
        <v>43488</v>
      </c>
      <c r="J4224" s="1" t="s">
        <v>191</v>
      </c>
      <c r="L4224" s="1" t="str">
        <f t="shared" si="225"/>
        <v xml:space="preserve">Vallentunasjön </v>
      </c>
      <c r="M4224" s="1" t="s">
        <v>177</v>
      </c>
      <c r="N4224" s="1">
        <v>4</v>
      </c>
      <c r="O4224" s="1">
        <v>0</v>
      </c>
      <c r="W4224" s="1">
        <v>640.178</v>
      </c>
      <c r="X4224" s="1">
        <v>5.3488342328426368</v>
      </c>
      <c r="Y4224" s="1">
        <v>3.6999999999999998E-2</v>
      </c>
      <c r="Z4224" s="1">
        <v>0</v>
      </c>
      <c r="AB4224" s="1">
        <v>11.11572</v>
      </c>
      <c r="AD4224" s="1">
        <v>42.94</v>
      </c>
      <c r="AE4224" s="1">
        <v>8.01</v>
      </c>
      <c r="AG4224" s="1">
        <v>5.6</v>
      </c>
      <c r="AK4224" s="1">
        <v>25.9</v>
      </c>
      <c r="AL4224" s="1">
        <v>1650.07</v>
      </c>
    </row>
    <row r="4225" spans="1:38" x14ac:dyDescent="0.3">
      <c r="A4225" s="1">
        <v>70288</v>
      </c>
      <c r="B4225" s="1" t="s">
        <v>263</v>
      </c>
      <c r="C4225" s="1" t="s">
        <v>209</v>
      </c>
      <c r="D4225" s="2">
        <f t="shared" si="223"/>
        <v>2019</v>
      </c>
      <c r="E4225" s="2">
        <f t="shared" si="224"/>
        <v>2</v>
      </c>
      <c r="G4225" s="4">
        <v>43523</v>
      </c>
      <c r="H4225" s="1">
        <v>6600738</v>
      </c>
      <c r="I4225" s="1">
        <v>672261</v>
      </c>
      <c r="J4225" s="1" t="s">
        <v>191</v>
      </c>
      <c r="K4225" s="29" t="s">
        <v>206</v>
      </c>
      <c r="L4225" s="1" t="str">
        <f t="shared" si="225"/>
        <v>Vallentunasjön Blandprov</v>
      </c>
      <c r="M4225" s="1" t="s">
        <v>177</v>
      </c>
      <c r="N4225" s="1">
        <v>0.5</v>
      </c>
      <c r="O4225" s="1">
        <v>0.5</v>
      </c>
      <c r="P4225" s="1">
        <v>2.2999999999999998</v>
      </c>
      <c r="Q4225" s="1">
        <v>3.8</v>
      </c>
      <c r="R4225" s="1">
        <v>9.1999999999999993</v>
      </c>
      <c r="S4225" s="1">
        <v>68</v>
      </c>
    </row>
    <row r="4226" spans="1:38" x14ac:dyDescent="0.3">
      <c r="A4226" s="1">
        <v>70289</v>
      </c>
      <c r="B4226" s="1" t="s">
        <v>263</v>
      </c>
      <c r="C4226" s="1" t="s">
        <v>209</v>
      </c>
      <c r="D4226" s="2">
        <f t="shared" si="223"/>
        <v>2019</v>
      </c>
      <c r="E4226" s="2">
        <f t="shared" si="224"/>
        <v>2</v>
      </c>
      <c r="G4226" s="4">
        <v>43523</v>
      </c>
      <c r="H4226" s="1">
        <v>6600738</v>
      </c>
      <c r="I4226" s="1">
        <v>672261</v>
      </c>
      <c r="J4226" s="1" t="s">
        <v>191</v>
      </c>
      <c r="K4226" s="29" t="s">
        <v>210</v>
      </c>
      <c r="L4226" s="1" t="str">
        <f t="shared" si="225"/>
        <v>Vallentunasjön Va2</v>
      </c>
      <c r="M4226" s="1" t="s">
        <v>211</v>
      </c>
      <c r="N4226" s="1">
        <v>1</v>
      </c>
      <c r="O4226" s="1">
        <v>1</v>
      </c>
      <c r="Q4226" s="1">
        <v>4.9000000000000004</v>
      </c>
      <c r="R4226" s="1">
        <v>9.9</v>
      </c>
      <c r="S4226" s="1">
        <v>76</v>
      </c>
    </row>
    <row r="4227" spans="1:38" x14ac:dyDescent="0.3">
      <c r="A4227" s="1">
        <v>70290</v>
      </c>
      <c r="B4227" s="1" t="s">
        <v>263</v>
      </c>
      <c r="C4227" s="1" t="s">
        <v>209</v>
      </c>
      <c r="D4227" s="2">
        <f t="shared" si="223"/>
        <v>2019</v>
      </c>
      <c r="E4227" s="2">
        <f t="shared" si="224"/>
        <v>2</v>
      </c>
      <c r="G4227" s="4">
        <v>43523</v>
      </c>
      <c r="H4227" s="1">
        <v>6600738</v>
      </c>
      <c r="I4227" s="1">
        <v>672261</v>
      </c>
      <c r="J4227" s="1" t="s">
        <v>191</v>
      </c>
      <c r="K4227" s="29" t="s">
        <v>210</v>
      </c>
      <c r="L4227" s="1" t="str">
        <f t="shared" si="225"/>
        <v>Vallentunasjön Va2</v>
      </c>
      <c r="M4227" s="1" t="s">
        <v>212</v>
      </c>
      <c r="N4227" s="1">
        <v>2</v>
      </c>
      <c r="O4227" s="1">
        <v>2</v>
      </c>
      <c r="Q4227" s="1">
        <v>4.4000000000000004</v>
      </c>
      <c r="R4227" s="1">
        <v>4.3</v>
      </c>
      <c r="S4227" s="1">
        <v>33</v>
      </c>
    </row>
    <row r="4228" spans="1:38" x14ac:dyDescent="0.3">
      <c r="A4228" s="1">
        <v>70291</v>
      </c>
      <c r="B4228" s="1" t="s">
        <v>263</v>
      </c>
      <c r="C4228" s="1" t="s">
        <v>209</v>
      </c>
      <c r="D4228" s="2">
        <f t="shared" si="223"/>
        <v>2019</v>
      </c>
      <c r="E4228" s="2">
        <f t="shared" si="224"/>
        <v>2</v>
      </c>
      <c r="G4228" s="4">
        <v>43523</v>
      </c>
      <c r="H4228" s="1">
        <v>6600738</v>
      </c>
      <c r="I4228" s="1">
        <v>672261</v>
      </c>
      <c r="J4228" s="1" t="s">
        <v>191</v>
      </c>
      <c r="K4228" s="29" t="s">
        <v>210</v>
      </c>
      <c r="L4228" s="1" t="str">
        <f t="shared" si="225"/>
        <v>Vallentunasjön Va2</v>
      </c>
      <c r="M4228" s="1" t="s">
        <v>213</v>
      </c>
      <c r="N4228" s="1">
        <v>3</v>
      </c>
      <c r="O4228" s="1">
        <v>3</v>
      </c>
      <c r="Q4228" s="1">
        <v>4.5999999999999996</v>
      </c>
      <c r="R4228" s="1">
        <v>0.9</v>
      </c>
      <c r="S4228" s="1">
        <v>7</v>
      </c>
    </row>
    <row r="4229" spans="1:38" x14ac:dyDescent="0.3">
      <c r="A4229" s="1">
        <v>70292</v>
      </c>
      <c r="B4229" s="1" t="s">
        <v>263</v>
      </c>
      <c r="C4229" s="1" t="s">
        <v>209</v>
      </c>
      <c r="D4229" s="2">
        <f t="shared" si="223"/>
        <v>2019</v>
      </c>
      <c r="E4229" s="2">
        <f t="shared" si="224"/>
        <v>2</v>
      </c>
      <c r="G4229" s="4">
        <v>43523</v>
      </c>
      <c r="H4229" s="1">
        <v>6600738</v>
      </c>
      <c r="I4229" s="1">
        <v>672261</v>
      </c>
      <c r="J4229" s="1" t="s">
        <v>191</v>
      </c>
      <c r="K4229" s="29" t="s">
        <v>210</v>
      </c>
      <c r="L4229" s="1" t="str">
        <f t="shared" si="225"/>
        <v>Vallentunasjön Va2</v>
      </c>
      <c r="M4229" s="1" t="s">
        <v>214</v>
      </c>
      <c r="N4229" s="1">
        <v>4</v>
      </c>
      <c r="O4229" s="1">
        <v>4</v>
      </c>
      <c r="Q4229" s="1">
        <v>4.7</v>
      </c>
      <c r="R4229" s="1">
        <v>2.6</v>
      </c>
      <c r="S4229" s="1">
        <v>20</v>
      </c>
    </row>
    <row r="4230" spans="1:38" x14ac:dyDescent="0.3">
      <c r="A4230" s="1">
        <v>70293</v>
      </c>
      <c r="B4230" s="1" t="s">
        <v>263</v>
      </c>
      <c r="C4230" s="1" t="s">
        <v>209</v>
      </c>
      <c r="D4230" s="2">
        <f t="shared" ref="D4230:D4293" si="226">YEAR(G4230)</f>
        <v>2019</v>
      </c>
      <c r="E4230" s="2">
        <f t="shared" ref="E4230:E4293" si="227">MONTH(G4230)</f>
        <v>2</v>
      </c>
      <c r="G4230" s="4">
        <v>43523</v>
      </c>
      <c r="H4230" s="1">
        <v>6600738</v>
      </c>
      <c r="I4230" s="1">
        <v>672261</v>
      </c>
      <c r="J4230" s="1" t="s">
        <v>191</v>
      </c>
      <c r="K4230" s="29" t="s">
        <v>210</v>
      </c>
      <c r="L4230" s="1" t="str">
        <f t="shared" si="225"/>
        <v>Vallentunasjön Va2</v>
      </c>
      <c r="M4230" s="1" t="s">
        <v>184</v>
      </c>
      <c r="N4230" s="1">
        <v>4.5</v>
      </c>
      <c r="O4230" s="1">
        <v>4.5</v>
      </c>
      <c r="Q4230" s="1">
        <v>4.8</v>
      </c>
      <c r="R4230" s="1">
        <v>2.8</v>
      </c>
      <c r="S4230" s="1">
        <v>22</v>
      </c>
    </row>
    <row r="4231" spans="1:38" x14ac:dyDescent="0.3">
      <c r="A4231" s="1">
        <v>70294</v>
      </c>
      <c r="B4231" s="1" t="s">
        <v>263</v>
      </c>
      <c r="C4231" s="1" t="s">
        <v>209</v>
      </c>
      <c r="D4231" s="2">
        <f t="shared" si="226"/>
        <v>2019</v>
      </c>
      <c r="E4231" s="2">
        <f t="shared" si="227"/>
        <v>2</v>
      </c>
      <c r="G4231" s="4">
        <v>43523</v>
      </c>
      <c r="J4231" s="1" t="s">
        <v>191</v>
      </c>
      <c r="K4231" s="29" t="s">
        <v>206</v>
      </c>
      <c r="L4231" s="1" t="str">
        <f t="shared" si="225"/>
        <v>Vallentunasjön Blandprov</v>
      </c>
      <c r="M4231" s="1" t="s">
        <v>177</v>
      </c>
      <c r="N4231" s="1">
        <v>4</v>
      </c>
      <c r="O4231" s="1">
        <v>0</v>
      </c>
      <c r="W4231" s="1">
        <v>686.5462</v>
      </c>
      <c r="X4231" s="1">
        <v>4.4610884847057566</v>
      </c>
      <c r="Y4231" s="1">
        <v>2.8000000000000001E-2</v>
      </c>
      <c r="Z4231" s="1">
        <v>0</v>
      </c>
      <c r="AB4231" s="1">
        <v>4.5788399999999996</v>
      </c>
      <c r="AD4231" s="1">
        <v>79.92</v>
      </c>
      <c r="AE4231" s="1">
        <v>7.9</v>
      </c>
      <c r="AG4231" s="1">
        <v>2.2857142857000001</v>
      </c>
      <c r="AK4231" s="1">
        <v>20.440000000000001</v>
      </c>
      <c r="AL4231" s="1">
        <v>1373.58</v>
      </c>
    </row>
    <row r="4232" spans="1:38" x14ac:dyDescent="0.3">
      <c r="A4232" s="1">
        <v>70657</v>
      </c>
      <c r="B4232" s="1" t="s">
        <v>263</v>
      </c>
      <c r="C4232" s="1" t="s">
        <v>209</v>
      </c>
      <c r="D4232" s="2">
        <f t="shared" si="226"/>
        <v>2019</v>
      </c>
      <c r="E4232" s="2">
        <f t="shared" si="227"/>
        <v>3</v>
      </c>
      <c r="G4232" s="4">
        <v>43537</v>
      </c>
      <c r="H4232" s="1">
        <v>6600738</v>
      </c>
      <c r="I4232" s="1">
        <v>672261</v>
      </c>
      <c r="J4232" s="1" t="s">
        <v>191</v>
      </c>
      <c r="K4232" s="29" t="s">
        <v>210</v>
      </c>
      <c r="L4232" s="1" t="str">
        <f t="shared" si="225"/>
        <v>Vallentunasjön Va2</v>
      </c>
      <c r="M4232" s="1" t="s">
        <v>177</v>
      </c>
      <c r="N4232" s="1">
        <v>0.5</v>
      </c>
      <c r="O4232" s="1">
        <v>0.5</v>
      </c>
      <c r="P4232" s="1">
        <v>2</v>
      </c>
      <c r="Q4232" s="1">
        <v>3.5</v>
      </c>
      <c r="R4232" s="1">
        <v>10.4</v>
      </c>
      <c r="S4232" s="1">
        <v>80</v>
      </c>
    </row>
    <row r="4233" spans="1:38" x14ac:dyDescent="0.3">
      <c r="A4233" s="1">
        <v>70658</v>
      </c>
      <c r="B4233" s="1" t="s">
        <v>263</v>
      </c>
      <c r="C4233" s="1" t="s">
        <v>209</v>
      </c>
      <c r="D4233" s="2">
        <f t="shared" si="226"/>
        <v>2019</v>
      </c>
      <c r="E4233" s="2">
        <f t="shared" si="227"/>
        <v>3</v>
      </c>
      <c r="G4233" s="4">
        <v>43537</v>
      </c>
      <c r="H4233" s="1">
        <v>6600738</v>
      </c>
      <c r="I4233" s="1">
        <v>672261</v>
      </c>
      <c r="J4233" s="1" t="s">
        <v>191</v>
      </c>
      <c r="K4233" s="29" t="s">
        <v>210</v>
      </c>
      <c r="L4233" s="1" t="str">
        <f t="shared" si="225"/>
        <v>Vallentunasjön Va2</v>
      </c>
      <c r="M4233" s="1" t="s">
        <v>211</v>
      </c>
      <c r="N4233" s="1">
        <v>1</v>
      </c>
      <c r="O4233" s="1">
        <v>1</v>
      </c>
      <c r="Q4233" s="1">
        <v>5.0999999999999996</v>
      </c>
      <c r="R4233" s="1">
        <v>12.9</v>
      </c>
      <c r="S4233" s="1">
        <v>104</v>
      </c>
    </row>
    <row r="4234" spans="1:38" x14ac:dyDescent="0.3">
      <c r="A4234" s="1">
        <v>70659</v>
      </c>
      <c r="B4234" s="1" t="s">
        <v>263</v>
      </c>
      <c r="C4234" s="1" t="s">
        <v>209</v>
      </c>
      <c r="D4234" s="2">
        <f t="shared" si="226"/>
        <v>2019</v>
      </c>
      <c r="E4234" s="2">
        <f t="shared" si="227"/>
        <v>3</v>
      </c>
      <c r="G4234" s="4">
        <v>43537</v>
      </c>
      <c r="H4234" s="1">
        <v>6600738</v>
      </c>
      <c r="I4234" s="1">
        <v>672261</v>
      </c>
      <c r="J4234" s="1" t="s">
        <v>191</v>
      </c>
      <c r="K4234" s="29" t="s">
        <v>210</v>
      </c>
      <c r="L4234" s="1" t="str">
        <f t="shared" si="225"/>
        <v>Vallentunasjön Va2</v>
      </c>
      <c r="M4234" s="1" t="s">
        <v>212</v>
      </c>
      <c r="N4234" s="1">
        <v>2</v>
      </c>
      <c r="O4234" s="1">
        <v>2</v>
      </c>
      <c r="Q4234" s="1">
        <v>5</v>
      </c>
      <c r="R4234" s="1">
        <v>3.7</v>
      </c>
      <c r="S4234" s="1">
        <v>30</v>
      </c>
    </row>
    <row r="4235" spans="1:38" x14ac:dyDescent="0.3">
      <c r="A4235" s="1">
        <v>70660</v>
      </c>
      <c r="B4235" s="1" t="s">
        <v>263</v>
      </c>
      <c r="C4235" s="1" t="s">
        <v>209</v>
      </c>
      <c r="D4235" s="2">
        <f t="shared" si="226"/>
        <v>2019</v>
      </c>
      <c r="E4235" s="2">
        <f t="shared" si="227"/>
        <v>3</v>
      </c>
      <c r="G4235" s="4">
        <v>43537</v>
      </c>
      <c r="H4235" s="1">
        <v>6600738</v>
      </c>
      <c r="I4235" s="1">
        <v>672261</v>
      </c>
      <c r="J4235" s="1" t="s">
        <v>191</v>
      </c>
      <c r="K4235" s="29" t="s">
        <v>210</v>
      </c>
      <c r="L4235" s="1" t="str">
        <f t="shared" si="225"/>
        <v>Vallentunasjön Va2</v>
      </c>
      <c r="M4235" s="1" t="s">
        <v>213</v>
      </c>
      <c r="N4235" s="1">
        <v>3</v>
      </c>
      <c r="O4235" s="1">
        <v>3</v>
      </c>
      <c r="Q4235" s="1">
        <v>4.8</v>
      </c>
      <c r="R4235" s="1">
        <v>1.7</v>
      </c>
      <c r="S4235" s="1">
        <v>13</v>
      </c>
    </row>
    <row r="4236" spans="1:38" x14ac:dyDescent="0.3">
      <c r="A4236" s="1">
        <v>70661</v>
      </c>
      <c r="B4236" s="1" t="s">
        <v>263</v>
      </c>
      <c r="C4236" s="1" t="s">
        <v>209</v>
      </c>
      <c r="D4236" s="2">
        <f t="shared" si="226"/>
        <v>2019</v>
      </c>
      <c r="E4236" s="2">
        <f t="shared" si="227"/>
        <v>3</v>
      </c>
      <c r="G4236" s="4">
        <v>43537</v>
      </c>
      <c r="H4236" s="1">
        <v>6600738</v>
      </c>
      <c r="I4236" s="1">
        <v>672261</v>
      </c>
      <c r="J4236" s="1" t="s">
        <v>191</v>
      </c>
      <c r="K4236" s="29" t="s">
        <v>210</v>
      </c>
      <c r="L4236" s="1" t="str">
        <f t="shared" si="225"/>
        <v>Vallentunasjön Va2</v>
      </c>
      <c r="M4236" s="1" t="s">
        <v>214</v>
      </c>
      <c r="N4236" s="1">
        <v>4</v>
      </c>
      <c r="O4236" s="1">
        <v>4</v>
      </c>
      <c r="Q4236" s="1">
        <v>5</v>
      </c>
      <c r="R4236" s="1">
        <v>0.5</v>
      </c>
      <c r="S4236" s="1">
        <v>4</v>
      </c>
    </row>
    <row r="4237" spans="1:38" x14ac:dyDescent="0.3">
      <c r="A4237" s="1">
        <v>70662</v>
      </c>
      <c r="B4237" s="1" t="s">
        <v>263</v>
      </c>
      <c r="C4237" s="1" t="s">
        <v>209</v>
      </c>
      <c r="D4237" s="2">
        <f t="shared" si="226"/>
        <v>2019</v>
      </c>
      <c r="E4237" s="2">
        <f t="shared" si="227"/>
        <v>3</v>
      </c>
      <c r="G4237" s="4">
        <v>43537</v>
      </c>
      <c r="H4237" s="1">
        <v>6600738</v>
      </c>
      <c r="I4237" s="1">
        <v>672261</v>
      </c>
      <c r="J4237" s="1" t="s">
        <v>191</v>
      </c>
      <c r="K4237" s="29" t="s">
        <v>210</v>
      </c>
      <c r="L4237" s="1" t="str">
        <f t="shared" si="225"/>
        <v>Vallentunasjön Va2</v>
      </c>
      <c r="M4237" s="1" t="s">
        <v>184</v>
      </c>
      <c r="N4237" s="1">
        <v>4.5</v>
      </c>
      <c r="O4237" s="1">
        <v>4.5</v>
      </c>
      <c r="Q4237" s="1">
        <v>5.0999999999999996</v>
      </c>
      <c r="R4237" s="1">
        <v>0.1</v>
      </c>
      <c r="S4237" s="1">
        <v>1</v>
      </c>
    </row>
    <row r="4238" spans="1:38" x14ac:dyDescent="0.3">
      <c r="A4238" s="1">
        <v>70663</v>
      </c>
      <c r="B4238" s="1" t="s">
        <v>263</v>
      </c>
      <c r="C4238" s="1" t="s">
        <v>209</v>
      </c>
      <c r="D4238" s="2">
        <f t="shared" si="226"/>
        <v>2019</v>
      </c>
      <c r="E4238" s="2">
        <f t="shared" si="227"/>
        <v>3</v>
      </c>
      <c r="G4238" s="4">
        <v>43537</v>
      </c>
      <c r="J4238" s="1" t="s">
        <v>191</v>
      </c>
      <c r="K4238" s="29" t="s">
        <v>206</v>
      </c>
      <c r="L4238" s="1" t="str">
        <f t="shared" si="225"/>
        <v>Vallentunasjön Blandprov</v>
      </c>
      <c r="M4238" s="1" t="s">
        <v>177</v>
      </c>
      <c r="N4238" s="1">
        <v>4</v>
      </c>
      <c r="O4238" s="1">
        <v>0</v>
      </c>
      <c r="W4238" s="1">
        <v>892.51639999999998</v>
      </c>
      <c r="X4238" s="1">
        <v>4.406249664483127</v>
      </c>
      <c r="Y4238" s="1">
        <v>3.6999999999999998E-2</v>
      </c>
      <c r="Z4238" s="1">
        <v>0</v>
      </c>
      <c r="AB4238" s="1">
        <v>14.7567</v>
      </c>
      <c r="AD4238" s="1">
        <v>214.88</v>
      </c>
      <c r="AE4238" s="1">
        <v>7.78</v>
      </c>
      <c r="AG4238" s="1">
        <v>4.6666666667000003</v>
      </c>
      <c r="AK4238" s="1">
        <v>28.05</v>
      </c>
      <c r="AL4238" s="1">
        <v>1693.76</v>
      </c>
    </row>
    <row r="4239" spans="1:38" x14ac:dyDescent="0.3">
      <c r="A4239" s="1">
        <v>71062</v>
      </c>
      <c r="B4239" s="1" t="s">
        <v>263</v>
      </c>
      <c r="C4239" s="1" t="s">
        <v>209</v>
      </c>
      <c r="D4239" s="2">
        <f t="shared" si="226"/>
        <v>2019</v>
      </c>
      <c r="E4239" s="2">
        <f t="shared" si="227"/>
        <v>4</v>
      </c>
      <c r="G4239" s="4">
        <v>43564</v>
      </c>
      <c r="H4239" s="1">
        <v>6600738</v>
      </c>
      <c r="I4239" s="1">
        <v>672261</v>
      </c>
      <c r="J4239" s="1" t="s">
        <v>191</v>
      </c>
      <c r="K4239" s="29" t="s">
        <v>210</v>
      </c>
      <c r="L4239" s="1" t="str">
        <f t="shared" si="225"/>
        <v>Vallentunasjön Va2</v>
      </c>
      <c r="M4239" s="1" t="s">
        <v>177</v>
      </c>
      <c r="N4239" s="1">
        <v>0.5</v>
      </c>
      <c r="O4239" s="1">
        <v>0.5</v>
      </c>
      <c r="P4239" s="1">
        <v>1.5</v>
      </c>
      <c r="Q4239" s="1">
        <v>3.6</v>
      </c>
      <c r="R4239" s="1">
        <v>12.8</v>
      </c>
      <c r="S4239" s="1">
        <v>95</v>
      </c>
    </row>
    <row r="4240" spans="1:38" x14ac:dyDescent="0.3">
      <c r="A4240" s="1">
        <v>71063</v>
      </c>
      <c r="B4240" s="1" t="s">
        <v>263</v>
      </c>
      <c r="C4240" s="1" t="s">
        <v>209</v>
      </c>
      <c r="D4240" s="2">
        <f t="shared" si="226"/>
        <v>2019</v>
      </c>
      <c r="E4240" s="2">
        <f t="shared" si="227"/>
        <v>4</v>
      </c>
      <c r="G4240" s="4">
        <v>43564</v>
      </c>
      <c r="H4240" s="1">
        <v>6600738</v>
      </c>
      <c r="I4240" s="1">
        <v>672261</v>
      </c>
      <c r="J4240" s="1" t="s">
        <v>191</v>
      </c>
      <c r="K4240" s="29" t="s">
        <v>210</v>
      </c>
      <c r="L4240" s="1" t="str">
        <f t="shared" si="225"/>
        <v>Vallentunasjön Va2</v>
      </c>
      <c r="M4240" s="1" t="s">
        <v>211</v>
      </c>
      <c r="N4240" s="1">
        <v>1</v>
      </c>
      <c r="O4240" s="1">
        <v>1</v>
      </c>
      <c r="Q4240" s="1">
        <v>3.6</v>
      </c>
      <c r="R4240" s="1">
        <v>12.9</v>
      </c>
      <c r="S4240" s="1">
        <v>96</v>
      </c>
    </row>
    <row r="4241" spans="1:38" x14ac:dyDescent="0.3">
      <c r="A4241" s="1">
        <v>71064</v>
      </c>
      <c r="B4241" s="1" t="s">
        <v>263</v>
      </c>
      <c r="C4241" s="1" t="s">
        <v>209</v>
      </c>
      <c r="D4241" s="2">
        <f t="shared" si="226"/>
        <v>2019</v>
      </c>
      <c r="E4241" s="2">
        <f t="shared" si="227"/>
        <v>4</v>
      </c>
      <c r="G4241" s="4">
        <v>43564</v>
      </c>
      <c r="H4241" s="1">
        <v>6600738</v>
      </c>
      <c r="I4241" s="1">
        <v>672261</v>
      </c>
      <c r="J4241" s="1" t="s">
        <v>191</v>
      </c>
      <c r="K4241" s="29" t="s">
        <v>210</v>
      </c>
      <c r="L4241" s="1" t="str">
        <f t="shared" si="225"/>
        <v>Vallentunasjön Va2</v>
      </c>
      <c r="M4241" s="1" t="s">
        <v>212</v>
      </c>
      <c r="N4241" s="1">
        <v>2</v>
      </c>
      <c r="O4241" s="1">
        <v>2</v>
      </c>
      <c r="Q4241" s="1">
        <v>3.7</v>
      </c>
      <c r="R4241" s="1">
        <v>13.3</v>
      </c>
      <c r="S4241" s="1">
        <v>100</v>
      </c>
    </row>
    <row r="4242" spans="1:38" x14ac:dyDescent="0.3">
      <c r="A4242" s="1">
        <v>71065</v>
      </c>
      <c r="B4242" s="1" t="s">
        <v>263</v>
      </c>
      <c r="C4242" s="1" t="s">
        <v>209</v>
      </c>
      <c r="D4242" s="2">
        <f t="shared" si="226"/>
        <v>2019</v>
      </c>
      <c r="E4242" s="2">
        <f t="shared" si="227"/>
        <v>4</v>
      </c>
      <c r="G4242" s="4">
        <v>43564</v>
      </c>
      <c r="H4242" s="1">
        <v>6600738</v>
      </c>
      <c r="I4242" s="1">
        <v>672261</v>
      </c>
      <c r="J4242" s="1" t="s">
        <v>191</v>
      </c>
      <c r="K4242" s="29" t="s">
        <v>210</v>
      </c>
      <c r="L4242" s="1" t="str">
        <f t="shared" si="225"/>
        <v>Vallentunasjön Va2</v>
      </c>
      <c r="M4242" s="1" t="s">
        <v>213</v>
      </c>
      <c r="N4242" s="1">
        <v>3</v>
      </c>
      <c r="O4242" s="1">
        <v>3</v>
      </c>
      <c r="Q4242" s="1">
        <v>3.7</v>
      </c>
      <c r="R4242" s="1">
        <v>13.7</v>
      </c>
      <c r="S4242" s="1">
        <v>102</v>
      </c>
    </row>
    <row r="4243" spans="1:38" x14ac:dyDescent="0.3">
      <c r="A4243" s="1">
        <v>71066</v>
      </c>
      <c r="B4243" s="1" t="s">
        <v>263</v>
      </c>
      <c r="C4243" s="1" t="s">
        <v>209</v>
      </c>
      <c r="D4243" s="2">
        <f t="shared" si="226"/>
        <v>2019</v>
      </c>
      <c r="E4243" s="2">
        <f t="shared" si="227"/>
        <v>4</v>
      </c>
      <c r="G4243" s="4">
        <v>43564</v>
      </c>
      <c r="H4243" s="1">
        <v>6600738</v>
      </c>
      <c r="I4243" s="1">
        <v>672261</v>
      </c>
      <c r="J4243" s="1" t="s">
        <v>191</v>
      </c>
      <c r="K4243" s="29" t="s">
        <v>210</v>
      </c>
      <c r="L4243" s="1" t="str">
        <f t="shared" si="225"/>
        <v>Vallentunasjön Va2</v>
      </c>
      <c r="M4243" s="1" t="s">
        <v>214</v>
      </c>
      <c r="N4243" s="1">
        <v>4</v>
      </c>
      <c r="O4243" s="1">
        <v>4</v>
      </c>
      <c r="Q4243" s="1">
        <v>3.7</v>
      </c>
      <c r="R4243" s="1">
        <v>13.9</v>
      </c>
      <c r="S4243" s="1">
        <v>104</v>
      </c>
    </row>
    <row r="4244" spans="1:38" x14ac:dyDescent="0.3">
      <c r="A4244" s="1">
        <v>71067</v>
      </c>
      <c r="B4244" s="1" t="s">
        <v>263</v>
      </c>
      <c r="C4244" s="1" t="s">
        <v>209</v>
      </c>
      <c r="D4244" s="2">
        <f t="shared" si="226"/>
        <v>2019</v>
      </c>
      <c r="E4244" s="2">
        <f t="shared" si="227"/>
        <v>4</v>
      </c>
      <c r="G4244" s="4">
        <v>43564</v>
      </c>
      <c r="H4244" s="1">
        <v>6600738</v>
      </c>
      <c r="I4244" s="1">
        <v>672261</v>
      </c>
      <c r="J4244" s="1" t="s">
        <v>191</v>
      </c>
      <c r="K4244" s="29" t="s">
        <v>210</v>
      </c>
      <c r="L4244" s="1" t="str">
        <f t="shared" si="225"/>
        <v>Vallentunasjön Va2</v>
      </c>
      <c r="M4244" s="1" t="s">
        <v>184</v>
      </c>
      <c r="N4244" s="1">
        <v>4.5</v>
      </c>
      <c r="O4244" s="1">
        <v>4.5</v>
      </c>
      <c r="Q4244" s="1">
        <v>3.8</v>
      </c>
      <c r="R4244" s="1">
        <v>14</v>
      </c>
      <c r="S4244" s="1">
        <v>105</v>
      </c>
    </row>
    <row r="4245" spans="1:38" x14ac:dyDescent="0.3">
      <c r="A4245" s="1">
        <v>71068</v>
      </c>
      <c r="B4245" s="1" t="s">
        <v>263</v>
      </c>
      <c r="C4245" s="1" t="s">
        <v>209</v>
      </c>
      <c r="D4245" s="2">
        <f t="shared" si="226"/>
        <v>2019</v>
      </c>
      <c r="E4245" s="2">
        <f t="shared" si="227"/>
        <v>4</v>
      </c>
      <c r="G4245" s="4">
        <v>43564</v>
      </c>
      <c r="J4245" s="1" t="s">
        <v>191</v>
      </c>
      <c r="K4245" s="29" t="s">
        <v>206</v>
      </c>
      <c r="L4245" s="1" t="str">
        <f t="shared" si="225"/>
        <v>Vallentunasjön Blandprov</v>
      </c>
      <c r="M4245" s="1" t="s">
        <v>177</v>
      </c>
      <c r="N4245" s="1">
        <v>4</v>
      </c>
      <c r="O4245" s="1">
        <v>0</v>
      </c>
      <c r="W4245" s="1">
        <v>376.59199999999998</v>
      </c>
      <c r="X4245" s="1">
        <v>4.8511263129445421</v>
      </c>
      <c r="Y4245" s="1">
        <v>3.5000000000000003E-2</v>
      </c>
      <c r="Z4245" s="1">
        <v>0</v>
      </c>
      <c r="AB4245" s="1">
        <v>22.290900000000001</v>
      </c>
      <c r="AD4245" s="1">
        <v>293.55</v>
      </c>
      <c r="AE4245" s="1">
        <v>8.1999999999999993</v>
      </c>
      <c r="AG4245" s="1">
        <v>10</v>
      </c>
      <c r="AK4245" s="1">
        <v>40.4</v>
      </c>
      <c r="AL4245" s="1">
        <v>1570.67</v>
      </c>
    </row>
    <row r="4246" spans="1:38" x14ac:dyDescent="0.3">
      <c r="A4246" s="1">
        <v>71513</v>
      </c>
      <c r="B4246" s="1" t="s">
        <v>263</v>
      </c>
      <c r="C4246" s="1" t="s">
        <v>209</v>
      </c>
      <c r="D4246" s="2">
        <f t="shared" si="226"/>
        <v>2019</v>
      </c>
      <c r="E4246" s="2">
        <f t="shared" si="227"/>
        <v>4</v>
      </c>
      <c r="G4246" s="4">
        <v>43584</v>
      </c>
      <c r="H4246" s="1">
        <v>6600738</v>
      </c>
      <c r="I4246" s="1">
        <v>672261</v>
      </c>
      <c r="J4246" s="1" t="s">
        <v>191</v>
      </c>
      <c r="K4246" s="29" t="s">
        <v>210</v>
      </c>
      <c r="L4246" s="1" t="str">
        <f t="shared" si="225"/>
        <v>Vallentunasjön Va2</v>
      </c>
      <c r="M4246" s="1" t="s">
        <v>177</v>
      </c>
      <c r="N4246" s="1">
        <v>0.5</v>
      </c>
      <c r="O4246" s="1">
        <v>0.5</v>
      </c>
      <c r="P4246" s="1">
        <v>1.4</v>
      </c>
      <c r="Q4246" s="1">
        <v>12.8</v>
      </c>
      <c r="R4246" s="1">
        <v>12.3</v>
      </c>
      <c r="S4246" s="1">
        <v>115</v>
      </c>
    </row>
    <row r="4247" spans="1:38" x14ac:dyDescent="0.3">
      <c r="A4247" s="1">
        <v>71514</v>
      </c>
      <c r="B4247" s="1" t="s">
        <v>263</v>
      </c>
      <c r="C4247" s="1" t="s">
        <v>209</v>
      </c>
      <c r="D4247" s="2">
        <f t="shared" si="226"/>
        <v>2019</v>
      </c>
      <c r="E4247" s="2">
        <f t="shared" si="227"/>
        <v>4</v>
      </c>
      <c r="G4247" s="4">
        <v>43584</v>
      </c>
      <c r="H4247" s="1">
        <v>6600738</v>
      </c>
      <c r="I4247" s="1">
        <v>672261</v>
      </c>
      <c r="J4247" s="1" t="s">
        <v>191</v>
      </c>
      <c r="K4247" s="29" t="s">
        <v>210</v>
      </c>
      <c r="L4247" s="1" t="str">
        <f t="shared" si="225"/>
        <v>Vallentunasjön Va2</v>
      </c>
      <c r="M4247" s="1" t="s">
        <v>211</v>
      </c>
      <c r="N4247" s="1">
        <v>1</v>
      </c>
      <c r="O4247" s="1">
        <v>1</v>
      </c>
      <c r="Q4247" s="1">
        <v>12.6</v>
      </c>
      <c r="R4247" s="1">
        <v>12.3</v>
      </c>
      <c r="S4247" s="1">
        <v>114</v>
      </c>
    </row>
    <row r="4248" spans="1:38" x14ac:dyDescent="0.3">
      <c r="A4248" s="1">
        <v>71515</v>
      </c>
      <c r="B4248" s="1" t="s">
        <v>263</v>
      </c>
      <c r="C4248" s="1" t="s">
        <v>209</v>
      </c>
      <c r="D4248" s="2">
        <f t="shared" si="226"/>
        <v>2019</v>
      </c>
      <c r="E4248" s="2">
        <f t="shared" si="227"/>
        <v>4</v>
      </c>
      <c r="G4248" s="4">
        <v>43584</v>
      </c>
      <c r="H4248" s="1">
        <v>6600738</v>
      </c>
      <c r="I4248" s="1">
        <v>672261</v>
      </c>
      <c r="J4248" s="1" t="s">
        <v>191</v>
      </c>
      <c r="K4248" s="29" t="s">
        <v>210</v>
      </c>
      <c r="L4248" s="1" t="str">
        <f t="shared" si="225"/>
        <v>Vallentunasjön Va2</v>
      </c>
      <c r="M4248" s="1" t="s">
        <v>212</v>
      </c>
      <c r="N4248" s="1">
        <v>2</v>
      </c>
      <c r="O4248" s="1">
        <v>2</v>
      </c>
      <c r="Q4248" s="1">
        <v>12.6</v>
      </c>
      <c r="R4248" s="1">
        <v>12.1</v>
      </c>
      <c r="S4248" s="1">
        <v>113</v>
      </c>
    </row>
    <row r="4249" spans="1:38" x14ac:dyDescent="0.3">
      <c r="A4249" s="1">
        <v>71516</v>
      </c>
      <c r="B4249" s="1" t="s">
        <v>263</v>
      </c>
      <c r="C4249" s="1" t="s">
        <v>209</v>
      </c>
      <c r="D4249" s="2">
        <f t="shared" si="226"/>
        <v>2019</v>
      </c>
      <c r="E4249" s="2">
        <f t="shared" si="227"/>
        <v>4</v>
      </c>
      <c r="G4249" s="4">
        <v>43584</v>
      </c>
      <c r="H4249" s="1">
        <v>6600738</v>
      </c>
      <c r="I4249" s="1">
        <v>672261</v>
      </c>
      <c r="J4249" s="1" t="s">
        <v>191</v>
      </c>
      <c r="K4249" s="29" t="s">
        <v>210</v>
      </c>
      <c r="L4249" s="1" t="str">
        <f t="shared" si="225"/>
        <v>Vallentunasjön Va2</v>
      </c>
      <c r="M4249" s="1" t="s">
        <v>213</v>
      </c>
      <c r="N4249" s="1">
        <v>3</v>
      </c>
      <c r="O4249" s="1">
        <v>3</v>
      </c>
      <c r="Q4249" s="1">
        <v>12.5</v>
      </c>
      <c r="R4249" s="1">
        <v>12.1</v>
      </c>
      <c r="S4249" s="1">
        <v>112</v>
      </c>
    </row>
    <row r="4250" spans="1:38" x14ac:dyDescent="0.3">
      <c r="A4250" s="1">
        <v>71517</v>
      </c>
      <c r="B4250" s="1" t="s">
        <v>263</v>
      </c>
      <c r="C4250" s="1" t="s">
        <v>209</v>
      </c>
      <c r="D4250" s="2">
        <f t="shared" si="226"/>
        <v>2019</v>
      </c>
      <c r="E4250" s="2">
        <f t="shared" si="227"/>
        <v>4</v>
      </c>
      <c r="G4250" s="4">
        <v>43584</v>
      </c>
      <c r="H4250" s="1">
        <v>6600738</v>
      </c>
      <c r="I4250" s="1">
        <v>672261</v>
      </c>
      <c r="J4250" s="1" t="s">
        <v>191</v>
      </c>
      <c r="K4250" s="29" t="s">
        <v>210</v>
      </c>
      <c r="L4250" s="1" t="str">
        <f t="shared" si="225"/>
        <v>Vallentunasjön Va2</v>
      </c>
      <c r="M4250" s="1" t="s">
        <v>214</v>
      </c>
      <c r="N4250" s="1">
        <v>4</v>
      </c>
      <c r="O4250" s="1">
        <v>4</v>
      </c>
      <c r="Q4250" s="1">
        <v>12.5</v>
      </c>
      <c r="R4250" s="1">
        <v>12</v>
      </c>
      <c r="S4250" s="1">
        <v>111</v>
      </c>
    </row>
    <row r="4251" spans="1:38" x14ac:dyDescent="0.3">
      <c r="A4251" s="1">
        <v>71518</v>
      </c>
      <c r="B4251" s="1" t="s">
        <v>263</v>
      </c>
      <c r="C4251" s="1" t="s">
        <v>209</v>
      </c>
      <c r="D4251" s="2">
        <f t="shared" si="226"/>
        <v>2019</v>
      </c>
      <c r="E4251" s="2">
        <f t="shared" si="227"/>
        <v>4</v>
      </c>
      <c r="G4251" s="4">
        <v>43584</v>
      </c>
      <c r="H4251" s="1">
        <v>6600738</v>
      </c>
      <c r="I4251" s="1">
        <v>672261</v>
      </c>
      <c r="J4251" s="1" t="s">
        <v>191</v>
      </c>
      <c r="K4251" s="29" t="s">
        <v>210</v>
      </c>
      <c r="L4251" s="1" t="str">
        <f t="shared" si="225"/>
        <v>Vallentunasjön Va2</v>
      </c>
      <c r="M4251" s="1" t="s">
        <v>184</v>
      </c>
      <c r="N4251" s="1">
        <v>4.5</v>
      </c>
      <c r="O4251" s="1">
        <v>4.5</v>
      </c>
      <c r="Q4251" s="1">
        <v>12.5</v>
      </c>
      <c r="R4251" s="1">
        <v>11.8</v>
      </c>
      <c r="S4251" s="1">
        <v>110</v>
      </c>
    </row>
    <row r="4252" spans="1:38" x14ac:dyDescent="0.3">
      <c r="A4252" s="1">
        <v>71519</v>
      </c>
      <c r="B4252" s="1" t="s">
        <v>263</v>
      </c>
      <c r="C4252" s="1" t="s">
        <v>209</v>
      </c>
      <c r="D4252" s="2">
        <f t="shared" si="226"/>
        <v>2019</v>
      </c>
      <c r="E4252" s="2">
        <f t="shared" si="227"/>
        <v>4</v>
      </c>
      <c r="G4252" s="4">
        <v>43584</v>
      </c>
      <c r="J4252" s="1" t="s">
        <v>191</v>
      </c>
      <c r="K4252" s="29" t="s">
        <v>206</v>
      </c>
      <c r="L4252" s="1" t="str">
        <f t="shared" si="225"/>
        <v>Vallentunasjön Blandprov</v>
      </c>
      <c r="M4252" s="1" t="s">
        <v>177</v>
      </c>
      <c r="N4252" s="1">
        <v>4</v>
      </c>
      <c r="O4252" s="1">
        <v>0</v>
      </c>
      <c r="W4252" s="1">
        <v>117.4166</v>
      </c>
      <c r="X4252" s="1">
        <v>2.6037117901605438</v>
      </c>
      <c r="Y4252" s="1">
        <v>3.9E-2</v>
      </c>
      <c r="Z4252" s="1">
        <v>1.23</v>
      </c>
      <c r="AB4252" s="1">
        <v>25.18704</v>
      </c>
      <c r="AD4252" s="1">
        <v>252.07</v>
      </c>
      <c r="AE4252" s="1">
        <v>8.44</v>
      </c>
      <c r="AG4252" s="1">
        <v>10.4</v>
      </c>
      <c r="AK4252" s="1">
        <v>40.67</v>
      </c>
      <c r="AL4252" s="1">
        <v>1493.13</v>
      </c>
    </row>
    <row r="4253" spans="1:38" x14ac:dyDescent="0.3">
      <c r="A4253" s="1">
        <v>71608</v>
      </c>
      <c r="B4253" s="1" t="s">
        <v>263</v>
      </c>
      <c r="C4253" s="1" t="s">
        <v>209</v>
      </c>
      <c r="D4253" s="2">
        <f t="shared" si="226"/>
        <v>2019</v>
      </c>
      <c r="E4253" s="2">
        <f t="shared" si="227"/>
        <v>5</v>
      </c>
      <c r="G4253" s="4">
        <v>43592</v>
      </c>
      <c r="H4253" s="1">
        <v>6600738</v>
      </c>
      <c r="I4253" s="1">
        <v>672261</v>
      </c>
      <c r="J4253" s="1" t="s">
        <v>191</v>
      </c>
      <c r="K4253" s="29" t="s">
        <v>210</v>
      </c>
      <c r="L4253" s="1" t="str">
        <f t="shared" si="225"/>
        <v>Vallentunasjön Va2</v>
      </c>
      <c r="M4253" s="1" t="s">
        <v>177</v>
      </c>
      <c r="N4253" s="1">
        <v>0.5</v>
      </c>
      <c r="O4253" s="1">
        <v>0.5</v>
      </c>
      <c r="P4253" s="1">
        <v>1</v>
      </c>
      <c r="Q4253" s="1">
        <v>10.7</v>
      </c>
      <c r="R4253" s="1">
        <v>11.5</v>
      </c>
      <c r="S4253" s="1">
        <v>104</v>
      </c>
    </row>
    <row r="4254" spans="1:38" x14ac:dyDescent="0.3">
      <c r="A4254" s="1">
        <v>71609</v>
      </c>
      <c r="B4254" s="1" t="s">
        <v>263</v>
      </c>
      <c r="C4254" s="1" t="s">
        <v>209</v>
      </c>
      <c r="D4254" s="2">
        <f t="shared" si="226"/>
        <v>2019</v>
      </c>
      <c r="E4254" s="2">
        <f t="shared" si="227"/>
        <v>5</v>
      </c>
      <c r="G4254" s="4">
        <v>43592</v>
      </c>
      <c r="H4254" s="1">
        <v>6600738</v>
      </c>
      <c r="I4254" s="1">
        <v>672261</v>
      </c>
      <c r="J4254" s="1" t="s">
        <v>191</v>
      </c>
      <c r="K4254" s="29" t="s">
        <v>210</v>
      </c>
      <c r="L4254" s="1" t="str">
        <f t="shared" si="225"/>
        <v>Vallentunasjön Va2</v>
      </c>
      <c r="M4254" s="1" t="s">
        <v>211</v>
      </c>
      <c r="N4254" s="1">
        <v>1</v>
      </c>
      <c r="O4254" s="1">
        <v>1</v>
      </c>
      <c r="Q4254" s="1">
        <v>10.7</v>
      </c>
      <c r="R4254" s="1">
        <v>11.5</v>
      </c>
      <c r="S4254" s="1">
        <v>104</v>
      </c>
    </row>
    <row r="4255" spans="1:38" x14ac:dyDescent="0.3">
      <c r="A4255" s="1">
        <v>71610</v>
      </c>
      <c r="B4255" s="1" t="s">
        <v>263</v>
      </c>
      <c r="C4255" s="1" t="s">
        <v>209</v>
      </c>
      <c r="D4255" s="2">
        <f t="shared" si="226"/>
        <v>2019</v>
      </c>
      <c r="E4255" s="2">
        <f t="shared" si="227"/>
        <v>5</v>
      </c>
      <c r="G4255" s="4">
        <v>43592</v>
      </c>
      <c r="H4255" s="1">
        <v>6600738</v>
      </c>
      <c r="I4255" s="1">
        <v>672261</v>
      </c>
      <c r="J4255" s="1" t="s">
        <v>191</v>
      </c>
      <c r="K4255" s="29" t="s">
        <v>210</v>
      </c>
      <c r="L4255" s="1" t="str">
        <f t="shared" si="225"/>
        <v>Vallentunasjön Va2</v>
      </c>
      <c r="M4255" s="1" t="s">
        <v>212</v>
      </c>
      <c r="N4255" s="1">
        <v>2</v>
      </c>
      <c r="O4255" s="1">
        <v>2</v>
      </c>
      <c r="Q4255" s="1">
        <v>10.7</v>
      </c>
      <c r="R4255" s="1">
        <v>11.5</v>
      </c>
      <c r="S4255" s="1">
        <v>104</v>
      </c>
    </row>
    <row r="4256" spans="1:38" x14ac:dyDescent="0.3">
      <c r="A4256" s="1">
        <v>71611</v>
      </c>
      <c r="B4256" s="1" t="s">
        <v>263</v>
      </c>
      <c r="C4256" s="1" t="s">
        <v>209</v>
      </c>
      <c r="D4256" s="2">
        <f t="shared" si="226"/>
        <v>2019</v>
      </c>
      <c r="E4256" s="2">
        <f t="shared" si="227"/>
        <v>5</v>
      </c>
      <c r="G4256" s="4">
        <v>43592</v>
      </c>
      <c r="H4256" s="1">
        <v>6600738</v>
      </c>
      <c r="I4256" s="1">
        <v>672261</v>
      </c>
      <c r="J4256" s="1" t="s">
        <v>191</v>
      </c>
      <c r="K4256" s="29" t="s">
        <v>210</v>
      </c>
      <c r="L4256" s="1" t="str">
        <f t="shared" si="225"/>
        <v>Vallentunasjön Va2</v>
      </c>
      <c r="M4256" s="1" t="s">
        <v>213</v>
      </c>
      <c r="N4256" s="1">
        <v>3</v>
      </c>
      <c r="O4256" s="1">
        <v>3</v>
      </c>
      <c r="Q4256" s="1">
        <v>10.7</v>
      </c>
      <c r="R4256" s="1">
        <v>11.5</v>
      </c>
      <c r="S4256" s="1">
        <v>104</v>
      </c>
    </row>
    <row r="4257" spans="1:38" x14ac:dyDescent="0.3">
      <c r="A4257" s="1">
        <v>71612</v>
      </c>
      <c r="B4257" s="1" t="s">
        <v>263</v>
      </c>
      <c r="C4257" s="1" t="s">
        <v>209</v>
      </c>
      <c r="D4257" s="2">
        <f t="shared" si="226"/>
        <v>2019</v>
      </c>
      <c r="E4257" s="2">
        <f t="shared" si="227"/>
        <v>5</v>
      </c>
      <c r="G4257" s="4">
        <v>43592</v>
      </c>
      <c r="H4257" s="1">
        <v>6600738</v>
      </c>
      <c r="I4257" s="1">
        <v>672261</v>
      </c>
      <c r="J4257" s="1" t="s">
        <v>191</v>
      </c>
      <c r="K4257" s="29" t="s">
        <v>210</v>
      </c>
      <c r="L4257" s="1" t="str">
        <f t="shared" si="225"/>
        <v>Vallentunasjön Va2</v>
      </c>
      <c r="M4257" s="1" t="s">
        <v>214</v>
      </c>
      <c r="N4257" s="1">
        <v>4</v>
      </c>
      <c r="O4257" s="1">
        <v>4</v>
      </c>
      <c r="Q4257" s="1">
        <v>10.7</v>
      </c>
      <c r="R4257" s="1">
        <v>11.4</v>
      </c>
      <c r="S4257" s="1">
        <v>104</v>
      </c>
    </row>
    <row r="4258" spans="1:38" x14ac:dyDescent="0.3">
      <c r="A4258" s="1">
        <v>71613</v>
      </c>
      <c r="B4258" s="1" t="s">
        <v>263</v>
      </c>
      <c r="C4258" s="1" t="s">
        <v>209</v>
      </c>
      <c r="D4258" s="2">
        <f t="shared" si="226"/>
        <v>2019</v>
      </c>
      <c r="E4258" s="2">
        <f t="shared" si="227"/>
        <v>5</v>
      </c>
      <c r="G4258" s="4">
        <v>43592</v>
      </c>
      <c r="H4258" s="1">
        <v>6600738</v>
      </c>
      <c r="I4258" s="1">
        <v>672261</v>
      </c>
      <c r="J4258" s="1" t="s">
        <v>191</v>
      </c>
      <c r="K4258" s="29" t="s">
        <v>210</v>
      </c>
      <c r="L4258" s="1" t="str">
        <f t="shared" si="225"/>
        <v>Vallentunasjön Va2</v>
      </c>
      <c r="M4258" s="1" t="s">
        <v>184</v>
      </c>
      <c r="N4258" s="1">
        <v>4.5</v>
      </c>
      <c r="O4258" s="1">
        <v>4.5</v>
      </c>
      <c r="Q4258" s="1">
        <v>10.7</v>
      </c>
      <c r="R4258" s="1">
        <v>11.4</v>
      </c>
      <c r="S4258" s="1">
        <v>104</v>
      </c>
    </row>
    <row r="4259" spans="1:38" x14ac:dyDescent="0.3">
      <c r="A4259" s="1">
        <v>71614</v>
      </c>
      <c r="B4259" s="1" t="s">
        <v>263</v>
      </c>
      <c r="C4259" s="1" t="s">
        <v>209</v>
      </c>
      <c r="D4259" s="2">
        <f t="shared" si="226"/>
        <v>2019</v>
      </c>
      <c r="E4259" s="2">
        <f t="shared" si="227"/>
        <v>5</v>
      </c>
      <c r="G4259" s="4">
        <v>43592</v>
      </c>
      <c r="J4259" s="1" t="s">
        <v>191</v>
      </c>
      <c r="K4259" s="29" t="s">
        <v>206</v>
      </c>
      <c r="L4259" s="1" t="str">
        <f t="shared" si="225"/>
        <v>Vallentunasjön Blandprov</v>
      </c>
      <c r="M4259" s="1" t="s">
        <v>177</v>
      </c>
      <c r="N4259" s="1">
        <v>4</v>
      </c>
      <c r="O4259" s="1">
        <v>0</v>
      </c>
      <c r="W4259" s="1">
        <v>8.0222999999999995</v>
      </c>
      <c r="X4259" s="1">
        <v>0.16626681474855259</v>
      </c>
      <c r="Y4259" s="1">
        <v>3.9E-2</v>
      </c>
      <c r="Z4259" s="1">
        <v>0</v>
      </c>
      <c r="AB4259" s="1">
        <v>25.342020000000002</v>
      </c>
      <c r="AD4259" s="1">
        <v>185.93</v>
      </c>
      <c r="AE4259" s="1">
        <v>8.41</v>
      </c>
      <c r="AG4259" s="1">
        <v>13</v>
      </c>
      <c r="AK4259" s="1">
        <v>36.74</v>
      </c>
      <c r="AL4259" s="1">
        <v>1387.45</v>
      </c>
    </row>
    <row r="4260" spans="1:38" x14ac:dyDescent="0.3">
      <c r="A4260" s="1">
        <v>71885</v>
      </c>
      <c r="B4260" s="1" t="s">
        <v>263</v>
      </c>
      <c r="C4260" s="1" t="s">
        <v>209</v>
      </c>
      <c r="D4260" s="2">
        <f t="shared" si="226"/>
        <v>2019</v>
      </c>
      <c r="E4260" s="2">
        <f t="shared" si="227"/>
        <v>5</v>
      </c>
      <c r="G4260" s="4">
        <v>43608</v>
      </c>
      <c r="H4260" s="1">
        <v>6600738</v>
      </c>
      <c r="I4260" s="1">
        <v>672261</v>
      </c>
      <c r="J4260" s="1" t="s">
        <v>191</v>
      </c>
      <c r="K4260" s="29" t="s">
        <v>210</v>
      </c>
      <c r="L4260" s="1" t="str">
        <f t="shared" si="225"/>
        <v>Vallentunasjön Va2</v>
      </c>
      <c r="M4260" s="1" t="s">
        <v>177</v>
      </c>
      <c r="N4260" s="1">
        <v>0.5</v>
      </c>
      <c r="O4260" s="1">
        <v>0.5</v>
      </c>
      <c r="P4260" s="1">
        <v>0.8</v>
      </c>
      <c r="Q4260" s="1">
        <v>17.899999999999999</v>
      </c>
      <c r="R4260" s="1">
        <v>10.4</v>
      </c>
      <c r="S4260" s="1">
        <v>110</v>
      </c>
    </row>
    <row r="4261" spans="1:38" x14ac:dyDescent="0.3">
      <c r="A4261" s="1">
        <v>71886</v>
      </c>
      <c r="B4261" s="1" t="s">
        <v>263</v>
      </c>
      <c r="C4261" s="1" t="s">
        <v>209</v>
      </c>
      <c r="D4261" s="2">
        <f t="shared" si="226"/>
        <v>2019</v>
      </c>
      <c r="E4261" s="2">
        <f t="shared" si="227"/>
        <v>5</v>
      </c>
      <c r="G4261" s="4">
        <v>43608</v>
      </c>
      <c r="H4261" s="1">
        <v>6600738</v>
      </c>
      <c r="I4261" s="1">
        <v>672261</v>
      </c>
      <c r="J4261" s="1" t="s">
        <v>191</v>
      </c>
      <c r="K4261" s="29" t="s">
        <v>210</v>
      </c>
      <c r="L4261" s="1" t="str">
        <f t="shared" si="225"/>
        <v>Vallentunasjön Va2</v>
      </c>
      <c r="M4261" s="1" t="s">
        <v>211</v>
      </c>
      <c r="N4261" s="1">
        <v>1</v>
      </c>
      <c r="O4261" s="1">
        <v>1</v>
      </c>
      <c r="Q4261" s="1">
        <v>17.899999999999999</v>
      </c>
      <c r="R4261" s="1">
        <v>10.4</v>
      </c>
      <c r="S4261" s="1">
        <v>110</v>
      </c>
    </row>
    <row r="4262" spans="1:38" x14ac:dyDescent="0.3">
      <c r="A4262" s="1">
        <v>71887</v>
      </c>
      <c r="B4262" s="1" t="s">
        <v>263</v>
      </c>
      <c r="C4262" s="1" t="s">
        <v>209</v>
      </c>
      <c r="D4262" s="2">
        <f t="shared" si="226"/>
        <v>2019</v>
      </c>
      <c r="E4262" s="2">
        <f t="shared" si="227"/>
        <v>5</v>
      </c>
      <c r="G4262" s="4">
        <v>43608</v>
      </c>
      <c r="H4262" s="1">
        <v>6600738</v>
      </c>
      <c r="I4262" s="1">
        <v>672261</v>
      </c>
      <c r="J4262" s="1" t="s">
        <v>191</v>
      </c>
      <c r="K4262" s="29" t="s">
        <v>210</v>
      </c>
      <c r="L4262" s="1" t="str">
        <f t="shared" si="225"/>
        <v>Vallentunasjön Va2</v>
      </c>
      <c r="M4262" s="1" t="s">
        <v>212</v>
      </c>
      <c r="N4262" s="1">
        <v>2</v>
      </c>
      <c r="O4262" s="1">
        <v>2</v>
      </c>
      <c r="Q4262" s="1">
        <v>17.100000000000001</v>
      </c>
      <c r="R4262" s="1">
        <v>9.9</v>
      </c>
      <c r="S4262" s="1">
        <v>104</v>
      </c>
    </row>
    <row r="4263" spans="1:38" x14ac:dyDescent="0.3">
      <c r="A4263" s="1">
        <v>71888</v>
      </c>
      <c r="B4263" s="1" t="s">
        <v>263</v>
      </c>
      <c r="C4263" s="1" t="s">
        <v>209</v>
      </c>
      <c r="D4263" s="2">
        <f t="shared" si="226"/>
        <v>2019</v>
      </c>
      <c r="E4263" s="2">
        <f t="shared" si="227"/>
        <v>5</v>
      </c>
      <c r="G4263" s="4">
        <v>43608</v>
      </c>
      <c r="H4263" s="1">
        <v>6600738</v>
      </c>
      <c r="I4263" s="1">
        <v>672261</v>
      </c>
      <c r="J4263" s="1" t="s">
        <v>191</v>
      </c>
      <c r="K4263" s="29" t="s">
        <v>210</v>
      </c>
      <c r="L4263" s="1" t="str">
        <f t="shared" si="225"/>
        <v>Vallentunasjön Va2</v>
      </c>
      <c r="M4263" s="1" t="s">
        <v>213</v>
      </c>
      <c r="N4263" s="1">
        <v>3</v>
      </c>
      <c r="O4263" s="1">
        <v>3</v>
      </c>
      <c r="Q4263" s="1">
        <v>15.3</v>
      </c>
      <c r="R4263" s="1">
        <v>6.7</v>
      </c>
      <c r="S4263" s="1">
        <v>67</v>
      </c>
    </row>
    <row r="4264" spans="1:38" x14ac:dyDescent="0.3">
      <c r="A4264" s="1">
        <v>71889</v>
      </c>
      <c r="B4264" s="1" t="s">
        <v>263</v>
      </c>
      <c r="C4264" s="1" t="s">
        <v>209</v>
      </c>
      <c r="D4264" s="2">
        <f t="shared" si="226"/>
        <v>2019</v>
      </c>
      <c r="E4264" s="2">
        <f t="shared" si="227"/>
        <v>5</v>
      </c>
      <c r="G4264" s="4">
        <v>43608</v>
      </c>
      <c r="H4264" s="1">
        <v>6600738</v>
      </c>
      <c r="I4264" s="1">
        <v>672261</v>
      </c>
      <c r="J4264" s="1" t="s">
        <v>191</v>
      </c>
      <c r="K4264" s="29" t="s">
        <v>210</v>
      </c>
      <c r="L4264" s="1" t="str">
        <f t="shared" si="225"/>
        <v>Vallentunasjön Va2</v>
      </c>
      <c r="M4264" s="1" t="s">
        <v>214</v>
      </c>
      <c r="N4264" s="1">
        <v>4</v>
      </c>
      <c r="O4264" s="1">
        <v>4</v>
      </c>
      <c r="Q4264" s="1">
        <v>13.9</v>
      </c>
      <c r="R4264" s="1">
        <v>2.8</v>
      </c>
      <c r="S4264" s="1">
        <v>27</v>
      </c>
    </row>
    <row r="4265" spans="1:38" x14ac:dyDescent="0.3">
      <c r="A4265" s="1">
        <v>71890</v>
      </c>
      <c r="B4265" s="1" t="s">
        <v>263</v>
      </c>
      <c r="C4265" s="1" t="s">
        <v>209</v>
      </c>
      <c r="D4265" s="2">
        <f t="shared" si="226"/>
        <v>2019</v>
      </c>
      <c r="E4265" s="2">
        <f t="shared" si="227"/>
        <v>5</v>
      </c>
      <c r="G4265" s="4">
        <v>43608</v>
      </c>
      <c r="H4265" s="1">
        <v>6600738</v>
      </c>
      <c r="I4265" s="1">
        <v>672261</v>
      </c>
      <c r="J4265" s="1" t="s">
        <v>191</v>
      </c>
      <c r="K4265" s="29" t="s">
        <v>210</v>
      </c>
      <c r="L4265" s="1" t="str">
        <f t="shared" si="225"/>
        <v>Vallentunasjön Va2</v>
      </c>
      <c r="M4265" s="1" t="s">
        <v>184</v>
      </c>
      <c r="N4265" s="1">
        <v>4.5</v>
      </c>
      <c r="O4265" s="1">
        <v>4.5</v>
      </c>
      <c r="Q4265" s="1">
        <v>12.8</v>
      </c>
      <c r="R4265" s="1">
        <v>0.8</v>
      </c>
      <c r="S4265" s="1">
        <v>8</v>
      </c>
    </row>
    <row r="4266" spans="1:38" x14ac:dyDescent="0.3">
      <c r="A4266" s="1">
        <v>71891</v>
      </c>
      <c r="B4266" s="1" t="s">
        <v>263</v>
      </c>
      <c r="C4266" s="1" t="s">
        <v>209</v>
      </c>
      <c r="D4266" s="2">
        <f t="shared" si="226"/>
        <v>2019</v>
      </c>
      <c r="E4266" s="2">
        <f t="shared" si="227"/>
        <v>5</v>
      </c>
      <c r="G4266" s="4">
        <v>43608</v>
      </c>
      <c r="J4266" s="1" t="s">
        <v>191</v>
      </c>
      <c r="K4266" s="29" t="s">
        <v>206</v>
      </c>
      <c r="L4266" s="1" t="str">
        <f t="shared" si="225"/>
        <v>Vallentunasjön Blandprov</v>
      </c>
      <c r="M4266" s="1" t="s">
        <v>177</v>
      </c>
      <c r="N4266" s="1">
        <v>4</v>
      </c>
      <c r="O4266" s="1">
        <v>0</v>
      </c>
      <c r="W4266" s="1">
        <v>41.537399999999998</v>
      </c>
      <c r="X4266" s="1">
        <v>0.53507024607878717</v>
      </c>
      <c r="Y4266" s="1">
        <v>5.6000000000000001E-2</v>
      </c>
      <c r="Z4266" s="1">
        <v>0</v>
      </c>
      <c r="AB4266" s="1">
        <v>14.414759999999999</v>
      </c>
      <c r="AD4266" s="1">
        <v>43.38</v>
      </c>
      <c r="AE4266" s="1">
        <v>8.1999999999999993</v>
      </c>
      <c r="AG4266" s="1">
        <v>14.444444444</v>
      </c>
      <c r="AK4266" s="1">
        <v>59.92</v>
      </c>
      <c r="AL4266" s="1">
        <v>1231.73</v>
      </c>
    </row>
    <row r="4267" spans="1:38" x14ac:dyDescent="0.3">
      <c r="A4267" s="1">
        <v>72980</v>
      </c>
      <c r="B4267" s="1" t="s">
        <v>263</v>
      </c>
      <c r="C4267" s="1" t="s">
        <v>209</v>
      </c>
      <c r="D4267" s="2">
        <f t="shared" si="226"/>
        <v>2019</v>
      </c>
      <c r="E4267" s="2">
        <f t="shared" si="227"/>
        <v>6</v>
      </c>
      <c r="G4267" s="4">
        <v>43627</v>
      </c>
      <c r="H4267" s="1">
        <v>6600738</v>
      </c>
      <c r="I4267" s="1">
        <v>672261</v>
      </c>
      <c r="J4267" s="1" t="s">
        <v>191</v>
      </c>
      <c r="K4267" s="29" t="s">
        <v>210</v>
      </c>
      <c r="L4267" s="1" t="str">
        <f t="shared" si="225"/>
        <v>Vallentunasjön Va2</v>
      </c>
      <c r="M4267" s="1" t="s">
        <v>177</v>
      </c>
      <c r="N4267" s="1">
        <v>0.5</v>
      </c>
      <c r="O4267" s="1">
        <v>0.5</v>
      </c>
      <c r="P4267" s="1">
        <v>1.1000000000000001</v>
      </c>
      <c r="Q4267" s="1">
        <v>19.899999999999999</v>
      </c>
      <c r="R4267" s="1">
        <v>8.1999999999999993</v>
      </c>
      <c r="S4267" s="1">
        <v>90</v>
      </c>
    </row>
    <row r="4268" spans="1:38" x14ac:dyDescent="0.3">
      <c r="A4268" s="1">
        <v>72981</v>
      </c>
      <c r="B4268" s="1" t="s">
        <v>263</v>
      </c>
      <c r="C4268" s="1" t="s">
        <v>209</v>
      </c>
      <c r="D4268" s="2">
        <f t="shared" si="226"/>
        <v>2019</v>
      </c>
      <c r="E4268" s="2">
        <f t="shared" si="227"/>
        <v>6</v>
      </c>
      <c r="G4268" s="4">
        <v>43627</v>
      </c>
      <c r="H4268" s="1">
        <v>6600738</v>
      </c>
      <c r="I4268" s="1">
        <v>672261</v>
      </c>
      <c r="J4268" s="1" t="s">
        <v>191</v>
      </c>
      <c r="K4268" s="29" t="s">
        <v>210</v>
      </c>
      <c r="L4268" s="1" t="str">
        <f t="shared" si="225"/>
        <v>Vallentunasjön Va2</v>
      </c>
      <c r="M4268" s="1" t="s">
        <v>211</v>
      </c>
      <c r="N4268" s="1">
        <v>1</v>
      </c>
      <c r="O4268" s="1">
        <v>1</v>
      </c>
      <c r="Q4268" s="1">
        <v>20.100000000000001</v>
      </c>
      <c r="R4268" s="1">
        <v>8.1999999999999993</v>
      </c>
      <c r="S4268" s="1">
        <v>89</v>
      </c>
    </row>
    <row r="4269" spans="1:38" x14ac:dyDescent="0.3">
      <c r="A4269" s="1">
        <v>72982</v>
      </c>
      <c r="B4269" s="1" t="s">
        <v>263</v>
      </c>
      <c r="C4269" s="1" t="s">
        <v>209</v>
      </c>
      <c r="D4269" s="2">
        <f t="shared" si="226"/>
        <v>2019</v>
      </c>
      <c r="E4269" s="2">
        <f t="shared" si="227"/>
        <v>6</v>
      </c>
      <c r="G4269" s="4">
        <v>43627</v>
      </c>
      <c r="H4269" s="1">
        <v>6600738</v>
      </c>
      <c r="I4269" s="1">
        <v>672261</v>
      </c>
      <c r="J4269" s="1" t="s">
        <v>191</v>
      </c>
      <c r="K4269" s="29" t="s">
        <v>210</v>
      </c>
      <c r="L4269" s="1" t="str">
        <f t="shared" si="225"/>
        <v>Vallentunasjön Va2</v>
      </c>
      <c r="M4269" s="1" t="s">
        <v>212</v>
      </c>
      <c r="N4269" s="1">
        <v>2</v>
      </c>
      <c r="O4269" s="1">
        <v>2</v>
      </c>
      <c r="Q4269" s="1">
        <v>20.100000000000001</v>
      </c>
      <c r="R4269" s="1">
        <v>8.1</v>
      </c>
      <c r="S4269" s="1">
        <v>88</v>
      </c>
    </row>
    <row r="4270" spans="1:38" x14ac:dyDescent="0.3">
      <c r="A4270" s="1">
        <v>72983</v>
      </c>
      <c r="B4270" s="1" t="s">
        <v>263</v>
      </c>
      <c r="C4270" s="1" t="s">
        <v>209</v>
      </c>
      <c r="D4270" s="2">
        <f t="shared" si="226"/>
        <v>2019</v>
      </c>
      <c r="E4270" s="2">
        <f t="shared" si="227"/>
        <v>6</v>
      </c>
      <c r="G4270" s="4">
        <v>43627</v>
      </c>
      <c r="H4270" s="1">
        <v>6600738</v>
      </c>
      <c r="I4270" s="1">
        <v>672261</v>
      </c>
      <c r="J4270" s="1" t="s">
        <v>191</v>
      </c>
      <c r="K4270" s="29" t="s">
        <v>210</v>
      </c>
      <c r="L4270" s="1" t="str">
        <f t="shared" si="225"/>
        <v>Vallentunasjön Va2</v>
      </c>
      <c r="M4270" s="1" t="s">
        <v>213</v>
      </c>
      <c r="N4270" s="1">
        <v>3</v>
      </c>
      <c r="O4270" s="1">
        <v>3</v>
      </c>
      <c r="Q4270" s="1">
        <v>20.2</v>
      </c>
      <c r="R4270" s="1">
        <v>7.9</v>
      </c>
      <c r="S4270" s="1">
        <v>87</v>
      </c>
    </row>
    <row r="4271" spans="1:38" x14ac:dyDescent="0.3">
      <c r="A4271" s="1">
        <v>72984</v>
      </c>
      <c r="B4271" s="1" t="s">
        <v>263</v>
      </c>
      <c r="C4271" s="1" t="s">
        <v>209</v>
      </c>
      <c r="D4271" s="2">
        <f t="shared" si="226"/>
        <v>2019</v>
      </c>
      <c r="E4271" s="2">
        <f t="shared" si="227"/>
        <v>6</v>
      </c>
      <c r="G4271" s="4">
        <v>43627</v>
      </c>
      <c r="H4271" s="1">
        <v>6600738</v>
      </c>
      <c r="I4271" s="1">
        <v>672261</v>
      </c>
      <c r="J4271" s="1" t="s">
        <v>191</v>
      </c>
      <c r="K4271" s="29" t="s">
        <v>210</v>
      </c>
      <c r="L4271" s="1" t="str">
        <f t="shared" si="225"/>
        <v>Vallentunasjön Va2</v>
      </c>
      <c r="M4271" s="1" t="s">
        <v>214</v>
      </c>
      <c r="N4271" s="1">
        <v>4</v>
      </c>
      <c r="O4271" s="1">
        <v>4</v>
      </c>
      <c r="Q4271" s="1">
        <v>20.100000000000001</v>
      </c>
      <c r="R4271" s="1">
        <v>7.8</v>
      </c>
      <c r="S4271" s="1">
        <v>85</v>
      </c>
    </row>
    <row r="4272" spans="1:38" x14ac:dyDescent="0.3">
      <c r="A4272" s="1">
        <v>72985</v>
      </c>
      <c r="B4272" s="1" t="s">
        <v>263</v>
      </c>
      <c r="C4272" s="1" t="s">
        <v>209</v>
      </c>
      <c r="D4272" s="2">
        <f t="shared" si="226"/>
        <v>2019</v>
      </c>
      <c r="E4272" s="2">
        <f t="shared" si="227"/>
        <v>6</v>
      </c>
      <c r="G4272" s="4">
        <v>43627</v>
      </c>
      <c r="H4272" s="1">
        <v>6600738</v>
      </c>
      <c r="I4272" s="1">
        <v>672261</v>
      </c>
      <c r="J4272" s="1" t="s">
        <v>191</v>
      </c>
      <c r="K4272" s="29" t="s">
        <v>210</v>
      </c>
      <c r="L4272" s="1" t="str">
        <f t="shared" si="225"/>
        <v>Vallentunasjön Va2</v>
      </c>
      <c r="M4272" s="1" t="s">
        <v>184</v>
      </c>
      <c r="N4272" s="1">
        <v>4.5</v>
      </c>
      <c r="O4272" s="1">
        <v>4.5</v>
      </c>
      <c r="Q4272" s="1">
        <v>20.100000000000001</v>
      </c>
      <c r="R4272" s="1">
        <v>7.6</v>
      </c>
      <c r="S4272" s="1">
        <v>83</v>
      </c>
    </row>
    <row r="4273" spans="1:38" x14ac:dyDescent="0.3">
      <c r="A4273" s="1">
        <v>72986</v>
      </c>
      <c r="B4273" s="1" t="s">
        <v>263</v>
      </c>
      <c r="C4273" s="1" t="s">
        <v>209</v>
      </c>
      <c r="D4273" s="2">
        <f t="shared" si="226"/>
        <v>2019</v>
      </c>
      <c r="E4273" s="2">
        <f t="shared" si="227"/>
        <v>6</v>
      </c>
      <c r="G4273" s="4">
        <v>43627</v>
      </c>
      <c r="J4273" s="1" t="s">
        <v>191</v>
      </c>
      <c r="K4273" s="29" t="s">
        <v>206</v>
      </c>
      <c r="L4273" s="1" t="str">
        <f t="shared" si="225"/>
        <v>Vallentunasjön Blandprov</v>
      </c>
      <c r="M4273" s="1" t="s">
        <v>177</v>
      </c>
      <c r="N4273" s="1">
        <v>4</v>
      </c>
      <c r="O4273" s="1">
        <v>0</v>
      </c>
      <c r="W4273" s="1">
        <v>252.88149999999999</v>
      </c>
      <c r="X4273" s="1">
        <v>3.6492739256889828</v>
      </c>
      <c r="Y4273" s="1">
        <v>3.9E-2</v>
      </c>
      <c r="Z4273" s="1">
        <v>0</v>
      </c>
      <c r="AB4273" s="1">
        <v>19.733039999999999</v>
      </c>
      <c r="AD4273" s="1">
        <v>25.28</v>
      </c>
      <c r="AE4273" s="1">
        <v>8.25</v>
      </c>
      <c r="AG4273" s="1">
        <v>15</v>
      </c>
      <c r="AK4273" s="1">
        <v>55.71</v>
      </c>
      <c r="AL4273" s="1">
        <v>1464.71</v>
      </c>
    </row>
    <row r="4274" spans="1:38" x14ac:dyDescent="0.3">
      <c r="A4274" s="1">
        <v>73618</v>
      </c>
      <c r="B4274" s="1" t="s">
        <v>263</v>
      </c>
      <c r="C4274" s="1" t="s">
        <v>209</v>
      </c>
      <c r="D4274" s="2">
        <f t="shared" si="226"/>
        <v>2019</v>
      </c>
      <c r="E4274" s="2">
        <f t="shared" si="227"/>
        <v>6</v>
      </c>
      <c r="G4274" s="4">
        <v>43641</v>
      </c>
      <c r="H4274" s="1">
        <v>6600738</v>
      </c>
      <c r="I4274" s="1">
        <v>672261</v>
      </c>
      <c r="J4274" s="1" t="s">
        <v>191</v>
      </c>
      <c r="K4274" s="29" t="s">
        <v>210</v>
      </c>
      <c r="L4274" s="1" t="str">
        <f t="shared" si="225"/>
        <v>Vallentunasjön Va2</v>
      </c>
      <c r="M4274" s="1" t="s">
        <v>177</v>
      </c>
      <c r="N4274" s="1">
        <v>0.5</v>
      </c>
      <c r="O4274" s="1">
        <v>0.5</v>
      </c>
      <c r="P4274" s="1">
        <v>0.7</v>
      </c>
      <c r="Q4274" s="1">
        <v>20.9</v>
      </c>
      <c r="R4274" s="1">
        <v>11.3</v>
      </c>
      <c r="S4274" s="1">
        <v>124</v>
      </c>
    </row>
    <row r="4275" spans="1:38" x14ac:dyDescent="0.3">
      <c r="A4275" s="1">
        <v>73619</v>
      </c>
      <c r="B4275" s="1" t="s">
        <v>263</v>
      </c>
      <c r="C4275" s="1" t="s">
        <v>209</v>
      </c>
      <c r="D4275" s="2">
        <f t="shared" si="226"/>
        <v>2019</v>
      </c>
      <c r="E4275" s="2">
        <f t="shared" si="227"/>
        <v>6</v>
      </c>
      <c r="G4275" s="4">
        <v>43641</v>
      </c>
      <c r="H4275" s="1">
        <v>6600738</v>
      </c>
      <c r="I4275" s="1">
        <v>672261</v>
      </c>
      <c r="J4275" s="1" t="s">
        <v>191</v>
      </c>
      <c r="K4275" s="29" t="s">
        <v>210</v>
      </c>
      <c r="L4275" s="1" t="str">
        <f t="shared" si="225"/>
        <v>Vallentunasjön Va2</v>
      </c>
      <c r="M4275" s="1" t="s">
        <v>211</v>
      </c>
      <c r="N4275" s="1">
        <v>1</v>
      </c>
      <c r="O4275" s="1">
        <v>1</v>
      </c>
      <c r="Q4275" s="1">
        <v>20.9</v>
      </c>
      <c r="R4275" s="1">
        <v>11</v>
      </c>
      <c r="S4275" s="1">
        <v>121</v>
      </c>
    </row>
    <row r="4276" spans="1:38" x14ac:dyDescent="0.3">
      <c r="A4276" s="1">
        <v>73620</v>
      </c>
      <c r="B4276" s="1" t="s">
        <v>263</v>
      </c>
      <c r="C4276" s="1" t="s">
        <v>209</v>
      </c>
      <c r="D4276" s="2">
        <f t="shared" si="226"/>
        <v>2019</v>
      </c>
      <c r="E4276" s="2">
        <f t="shared" si="227"/>
        <v>6</v>
      </c>
      <c r="G4276" s="4">
        <v>43641</v>
      </c>
      <c r="H4276" s="1">
        <v>6600738</v>
      </c>
      <c r="I4276" s="1">
        <v>672261</v>
      </c>
      <c r="J4276" s="1" t="s">
        <v>191</v>
      </c>
      <c r="K4276" s="29" t="s">
        <v>210</v>
      </c>
      <c r="L4276" s="1" t="str">
        <f t="shared" si="225"/>
        <v>Vallentunasjön Va2</v>
      </c>
      <c r="M4276" s="1" t="s">
        <v>212</v>
      </c>
      <c r="N4276" s="1">
        <v>2</v>
      </c>
      <c r="O4276" s="1">
        <v>2</v>
      </c>
      <c r="Q4276" s="1">
        <v>20.8</v>
      </c>
      <c r="R4276" s="1">
        <v>9.3000000000000007</v>
      </c>
      <c r="S4276" s="1">
        <v>102</v>
      </c>
    </row>
    <row r="4277" spans="1:38" x14ac:dyDescent="0.3">
      <c r="A4277" s="1">
        <v>73621</v>
      </c>
      <c r="B4277" s="1" t="s">
        <v>263</v>
      </c>
      <c r="C4277" s="1" t="s">
        <v>209</v>
      </c>
      <c r="D4277" s="2">
        <f t="shared" si="226"/>
        <v>2019</v>
      </c>
      <c r="E4277" s="2">
        <f t="shared" si="227"/>
        <v>6</v>
      </c>
      <c r="G4277" s="4">
        <v>43641</v>
      </c>
      <c r="H4277" s="1">
        <v>6600738</v>
      </c>
      <c r="I4277" s="1">
        <v>672261</v>
      </c>
      <c r="J4277" s="1" t="s">
        <v>191</v>
      </c>
      <c r="K4277" s="29" t="s">
        <v>210</v>
      </c>
      <c r="L4277" s="1" t="str">
        <f t="shared" si="225"/>
        <v>Vallentunasjön Va2</v>
      </c>
      <c r="M4277" s="1" t="s">
        <v>213</v>
      </c>
      <c r="N4277" s="1">
        <v>3</v>
      </c>
      <c r="O4277" s="1">
        <v>3</v>
      </c>
      <c r="Q4277" s="1">
        <v>20.5</v>
      </c>
      <c r="R4277" s="1">
        <v>5.8</v>
      </c>
      <c r="S4277" s="1">
        <v>64</v>
      </c>
    </row>
    <row r="4278" spans="1:38" x14ac:dyDescent="0.3">
      <c r="A4278" s="1">
        <v>73622</v>
      </c>
      <c r="B4278" s="1" t="s">
        <v>263</v>
      </c>
      <c r="C4278" s="1" t="s">
        <v>209</v>
      </c>
      <c r="D4278" s="2">
        <f t="shared" si="226"/>
        <v>2019</v>
      </c>
      <c r="E4278" s="2">
        <f t="shared" si="227"/>
        <v>6</v>
      </c>
      <c r="G4278" s="4">
        <v>43641</v>
      </c>
      <c r="H4278" s="1">
        <v>6600738</v>
      </c>
      <c r="I4278" s="1">
        <v>672261</v>
      </c>
      <c r="J4278" s="1" t="s">
        <v>191</v>
      </c>
      <c r="K4278" s="29" t="s">
        <v>210</v>
      </c>
      <c r="L4278" s="1" t="str">
        <f t="shared" si="225"/>
        <v>Vallentunasjön Va2</v>
      </c>
      <c r="M4278" s="1" t="s">
        <v>214</v>
      </c>
      <c r="N4278" s="1">
        <v>4</v>
      </c>
      <c r="O4278" s="1">
        <v>4</v>
      </c>
      <c r="Q4278" s="1">
        <v>20.2</v>
      </c>
      <c r="R4278" s="1">
        <v>5.8</v>
      </c>
      <c r="S4278" s="1">
        <v>64</v>
      </c>
    </row>
    <row r="4279" spans="1:38" x14ac:dyDescent="0.3">
      <c r="A4279" s="1">
        <v>73623</v>
      </c>
      <c r="B4279" s="1" t="s">
        <v>263</v>
      </c>
      <c r="C4279" s="1" t="s">
        <v>209</v>
      </c>
      <c r="D4279" s="2">
        <f t="shared" si="226"/>
        <v>2019</v>
      </c>
      <c r="E4279" s="2">
        <f t="shared" si="227"/>
        <v>6</v>
      </c>
      <c r="G4279" s="4">
        <v>43641</v>
      </c>
      <c r="H4279" s="1">
        <v>6600738</v>
      </c>
      <c r="I4279" s="1">
        <v>672261</v>
      </c>
      <c r="J4279" s="1" t="s">
        <v>191</v>
      </c>
      <c r="K4279" s="29" t="s">
        <v>210</v>
      </c>
      <c r="L4279" s="1" t="str">
        <f t="shared" si="225"/>
        <v>Vallentunasjön Va2</v>
      </c>
      <c r="M4279" s="1" t="s">
        <v>184</v>
      </c>
      <c r="N4279" s="1">
        <v>4.5</v>
      </c>
      <c r="O4279" s="1">
        <v>4.5</v>
      </c>
    </row>
    <row r="4280" spans="1:38" x14ac:dyDescent="0.3">
      <c r="A4280" s="1">
        <v>73624</v>
      </c>
      <c r="B4280" s="1" t="s">
        <v>263</v>
      </c>
      <c r="C4280" s="1" t="s">
        <v>209</v>
      </c>
      <c r="D4280" s="2">
        <f t="shared" si="226"/>
        <v>2019</v>
      </c>
      <c r="E4280" s="2">
        <f t="shared" si="227"/>
        <v>6</v>
      </c>
      <c r="G4280" s="4">
        <v>43641</v>
      </c>
      <c r="J4280" s="1" t="s">
        <v>191</v>
      </c>
      <c r="K4280" s="29" t="s">
        <v>206</v>
      </c>
      <c r="L4280" s="1" t="str">
        <f t="shared" si="225"/>
        <v>Vallentunasjön Blandprov</v>
      </c>
      <c r="M4280" s="1" t="s">
        <v>177</v>
      </c>
      <c r="N4280" s="1">
        <v>4</v>
      </c>
      <c r="O4280" s="1">
        <v>0</v>
      </c>
      <c r="W4280" s="1">
        <v>7.5627000000000004</v>
      </c>
      <c r="X4280" s="1">
        <v>9.9659355535046498E-2</v>
      </c>
      <c r="Y4280" s="1">
        <v>3.9E-2</v>
      </c>
      <c r="Z4280" s="1">
        <v>0.75</v>
      </c>
      <c r="AB4280" s="1">
        <v>37.099800000000002</v>
      </c>
      <c r="AD4280" s="1">
        <v>1.99</v>
      </c>
      <c r="AE4280" s="1">
        <v>8.2100000000000009</v>
      </c>
      <c r="AG4280" s="1">
        <v>22.105263158</v>
      </c>
      <c r="AK4280" s="1">
        <v>56.31</v>
      </c>
      <c r="AL4280" s="1">
        <v>1340</v>
      </c>
    </row>
    <row r="4281" spans="1:38" x14ac:dyDescent="0.3">
      <c r="A4281" s="1">
        <v>73673</v>
      </c>
      <c r="B4281" s="1" t="s">
        <v>263</v>
      </c>
      <c r="C4281" s="1" t="s">
        <v>209</v>
      </c>
      <c r="D4281" s="2">
        <f t="shared" si="226"/>
        <v>2019</v>
      </c>
      <c r="E4281" s="2">
        <f t="shared" si="227"/>
        <v>7</v>
      </c>
      <c r="G4281" s="4">
        <v>43655</v>
      </c>
      <c r="H4281" s="1">
        <v>6600738</v>
      </c>
      <c r="I4281" s="1">
        <v>672261</v>
      </c>
      <c r="J4281" s="1" t="s">
        <v>191</v>
      </c>
      <c r="K4281" s="29" t="s">
        <v>210</v>
      </c>
      <c r="L4281" s="1" t="str">
        <f t="shared" si="225"/>
        <v>Vallentunasjön Va2</v>
      </c>
      <c r="M4281" s="1" t="s">
        <v>177</v>
      </c>
      <c r="N4281" s="1">
        <v>0.5</v>
      </c>
      <c r="O4281" s="1">
        <v>0.5</v>
      </c>
      <c r="P4281" s="1">
        <v>0.7</v>
      </c>
      <c r="Q4281" s="1">
        <v>16.100000000000001</v>
      </c>
      <c r="R4281" s="1">
        <v>8.8000000000000007</v>
      </c>
      <c r="S4281" s="1">
        <v>89</v>
      </c>
    </row>
    <row r="4282" spans="1:38" x14ac:dyDescent="0.3">
      <c r="A4282" s="1">
        <v>73674</v>
      </c>
      <c r="B4282" s="1" t="s">
        <v>263</v>
      </c>
      <c r="C4282" s="1" t="s">
        <v>209</v>
      </c>
      <c r="D4282" s="2">
        <f t="shared" si="226"/>
        <v>2019</v>
      </c>
      <c r="E4282" s="2">
        <f t="shared" si="227"/>
        <v>7</v>
      </c>
      <c r="G4282" s="4">
        <v>43655</v>
      </c>
      <c r="H4282" s="1">
        <v>6600738</v>
      </c>
      <c r="I4282" s="1">
        <v>672261</v>
      </c>
      <c r="J4282" s="1" t="s">
        <v>191</v>
      </c>
      <c r="K4282" s="29" t="s">
        <v>210</v>
      </c>
      <c r="L4282" s="1" t="str">
        <f t="shared" si="225"/>
        <v>Vallentunasjön Va2</v>
      </c>
      <c r="M4282" s="1" t="s">
        <v>211</v>
      </c>
      <c r="N4282" s="1">
        <v>1</v>
      </c>
      <c r="O4282" s="1">
        <v>1</v>
      </c>
      <c r="Q4282" s="1">
        <v>16.100000000000001</v>
      </c>
      <c r="R4282" s="1">
        <v>8.6999999999999993</v>
      </c>
      <c r="S4282" s="1">
        <v>89</v>
      </c>
    </row>
    <row r="4283" spans="1:38" x14ac:dyDescent="0.3">
      <c r="A4283" s="1">
        <v>73675</v>
      </c>
      <c r="B4283" s="1" t="s">
        <v>263</v>
      </c>
      <c r="C4283" s="1" t="s">
        <v>209</v>
      </c>
      <c r="D4283" s="2">
        <f t="shared" si="226"/>
        <v>2019</v>
      </c>
      <c r="E4283" s="2">
        <f t="shared" si="227"/>
        <v>7</v>
      </c>
      <c r="G4283" s="4">
        <v>43655</v>
      </c>
      <c r="H4283" s="1">
        <v>6600738</v>
      </c>
      <c r="I4283" s="1">
        <v>672261</v>
      </c>
      <c r="J4283" s="1" t="s">
        <v>191</v>
      </c>
      <c r="K4283" s="29" t="s">
        <v>210</v>
      </c>
      <c r="L4283" s="1" t="str">
        <f t="shared" si="225"/>
        <v>Vallentunasjön Va2</v>
      </c>
      <c r="M4283" s="1" t="s">
        <v>212</v>
      </c>
      <c r="N4283" s="1">
        <v>2</v>
      </c>
      <c r="O4283" s="1">
        <v>2</v>
      </c>
      <c r="Q4283" s="1">
        <v>16.100000000000001</v>
      </c>
      <c r="R4283" s="1">
        <v>8.6999999999999993</v>
      </c>
      <c r="S4283" s="1">
        <v>89</v>
      </c>
    </row>
    <row r="4284" spans="1:38" x14ac:dyDescent="0.3">
      <c r="A4284" s="1">
        <v>73676</v>
      </c>
      <c r="B4284" s="1" t="s">
        <v>263</v>
      </c>
      <c r="C4284" s="1" t="s">
        <v>209</v>
      </c>
      <c r="D4284" s="2">
        <f t="shared" si="226"/>
        <v>2019</v>
      </c>
      <c r="E4284" s="2">
        <f t="shared" si="227"/>
        <v>7</v>
      </c>
      <c r="G4284" s="4">
        <v>43655</v>
      </c>
      <c r="H4284" s="1">
        <v>6600738</v>
      </c>
      <c r="I4284" s="1">
        <v>672261</v>
      </c>
      <c r="J4284" s="1" t="s">
        <v>191</v>
      </c>
      <c r="K4284" s="29" t="s">
        <v>210</v>
      </c>
      <c r="L4284" s="1" t="str">
        <f t="shared" si="225"/>
        <v>Vallentunasjön Va2</v>
      </c>
      <c r="M4284" s="1" t="s">
        <v>213</v>
      </c>
      <c r="N4284" s="1">
        <v>3</v>
      </c>
      <c r="O4284" s="1">
        <v>3</v>
      </c>
      <c r="Q4284" s="1">
        <v>16.100000000000001</v>
      </c>
      <c r="R4284" s="1">
        <v>8.6999999999999993</v>
      </c>
      <c r="S4284" s="1">
        <v>89</v>
      </c>
    </row>
    <row r="4285" spans="1:38" x14ac:dyDescent="0.3">
      <c r="A4285" s="1">
        <v>73677</v>
      </c>
      <c r="B4285" s="1" t="s">
        <v>263</v>
      </c>
      <c r="C4285" s="1" t="s">
        <v>209</v>
      </c>
      <c r="D4285" s="2">
        <f t="shared" si="226"/>
        <v>2019</v>
      </c>
      <c r="E4285" s="2">
        <f t="shared" si="227"/>
        <v>7</v>
      </c>
      <c r="G4285" s="4">
        <v>43655</v>
      </c>
      <c r="H4285" s="1">
        <v>6600738</v>
      </c>
      <c r="I4285" s="1">
        <v>672261</v>
      </c>
      <c r="J4285" s="1" t="s">
        <v>191</v>
      </c>
      <c r="K4285" s="29" t="s">
        <v>210</v>
      </c>
      <c r="L4285" s="1" t="str">
        <f t="shared" si="225"/>
        <v>Vallentunasjön Va2</v>
      </c>
      <c r="M4285" s="1" t="s">
        <v>214</v>
      </c>
      <c r="N4285" s="1">
        <v>4</v>
      </c>
      <c r="O4285" s="1">
        <v>4</v>
      </c>
      <c r="Q4285" s="1">
        <v>16.100000000000001</v>
      </c>
      <c r="R4285" s="1">
        <v>8.6</v>
      </c>
      <c r="S4285" s="1">
        <v>87</v>
      </c>
    </row>
    <row r="4286" spans="1:38" x14ac:dyDescent="0.3">
      <c r="A4286" s="1">
        <v>73678</v>
      </c>
      <c r="B4286" s="1" t="s">
        <v>263</v>
      </c>
      <c r="C4286" s="1" t="s">
        <v>209</v>
      </c>
      <c r="D4286" s="2">
        <f t="shared" si="226"/>
        <v>2019</v>
      </c>
      <c r="E4286" s="2">
        <f t="shared" si="227"/>
        <v>7</v>
      </c>
      <c r="G4286" s="4">
        <v>43655</v>
      </c>
      <c r="H4286" s="1">
        <v>6600738</v>
      </c>
      <c r="I4286" s="1">
        <v>672261</v>
      </c>
      <c r="J4286" s="1" t="s">
        <v>191</v>
      </c>
      <c r="K4286" s="29" t="s">
        <v>210</v>
      </c>
      <c r="L4286" s="1" t="str">
        <f t="shared" ref="L4286:L4349" si="228">CONCATENATE(J4286," ",K4286)</f>
        <v>Vallentunasjön Va2</v>
      </c>
      <c r="M4286" s="1" t="s">
        <v>184</v>
      </c>
      <c r="N4286" s="1">
        <v>4.5</v>
      </c>
      <c r="O4286" s="1">
        <v>4.5</v>
      </c>
    </row>
    <row r="4287" spans="1:38" x14ac:dyDescent="0.3">
      <c r="A4287" s="1">
        <v>73679</v>
      </c>
      <c r="B4287" s="1" t="s">
        <v>263</v>
      </c>
      <c r="C4287" s="1" t="s">
        <v>209</v>
      </c>
      <c r="D4287" s="2">
        <f t="shared" si="226"/>
        <v>2019</v>
      </c>
      <c r="E4287" s="2">
        <f t="shared" si="227"/>
        <v>7</v>
      </c>
      <c r="G4287" s="4">
        <v>43655</v>
      </c>
      <c r="J4287" s="1" t="s">
        <v>191</v>
      </c>
      <c r="K4287" s="29" t="s">
        <v>206</v>
      </c>
      <c r="L4287" s="1" t="str">
        <f t="shared" si="228"/>
        <v>Vallentunasjön Blandprov</v>
      </c>
      <c r="M4287" s="1" t="s">
        <v>177</v>
      </c>
      <c r="N4287" s="1">
        <v>4</v>
      </c>
      <c r="O4287" s="1">
        <v>0</v>
      </c>
      <c r="W4287" s="1">
        <v>5.2740999999999998</v>
      </c>
      <c r="X4287" s="1">
        <v>7.2731061715155199E-2</v>
      </c>
      <c r="Y4287" s="1">
        <v>6.9000000000000006E-2</v>
      </c>
      <c r="Z4287" s="1">
        <v>2.19</v>
      </c>
      <c r="AB4287" s="1">
        <v>44.286923076999997</v>
      </c>
      <c r="AD4287" s="1">
        <v>1.25</v>
      </c>
      <c r="AE4287" s="1">
        <v>8.23</v>
      </c>
      <c r="AG4287" s="1">
        <v>31</v>
      </c>
      <c r="AK4287" s="1">
        <v>74.760000000000005</v>
      </c>
      <c r="AL4287" s="1">
        <v>1490.1</v>
      </c>
    </row>
    <row r="4288" spans="1:38" x14ac:dyDescent="0.3">
      <c r="A4288" s="1">
        <v>73872</v>
      </c>
      <c r="B4288" s="1" t="s">
        <v>263</v>
      </c>
      <c r="C4288" s="1" t="s">
        <v>209</v>
      </c>
      <c r="D4288" s="2">
        <f t="shared" si="226"/>
        <v>2019</v>
      </c>
      <c r="E4288" s="2">
        <f t="shared" si="227"/>
        <v>7</v>
      </c>
      <c r="G4288" s="4">
        <v>43662</v>
      </c>
      <c r="H4288" s="1">
        <v>6600738</v>
      </c>
      <c r="I4288" s="1">
        <v>672261</v>
      </c>
      <c r="J4288" s="1" t="s">
        <v>191</v>
      </c>
      <c r="K4288" s="29" t="s">
        <v>210</v>
      </c>
      <c r="L4288" s="1" t="str">
        <f t="shared" si="228"/>
        <v>Vallentunasjön Va2</v>
      </c>
      <c r="M4288" s="1" t="s">
        <v>177</v>
      </c>
      <c r="N4288" s="1">
        <v>0.5</v>
      </c>
      <c r="O4288" s="1">
        <v>0.5</v>
      </c>
      <c r="P4288" s="1">
        <v>0.8</v>
      </c>
      <c r="Q4288" s="1">
        <v>17.899999999999999</v>
      </c>
      <c r="R4288" s="1">
        <v>8.5</v>
      </c>
      <c r="S4288" s="1">
        <v>91</v>
      </c>
    </row>
    <row r="4289" spans="1:38" x14ac:dyDescent="0.3">
      <c r="A4289" s="1">
        <v>73873</v>
      </c>
      <c r="B4289" s="1" t="s">
        <v>263</v>
      </c>
      <c r="C4289" s="1" t="s">
        <v>209</v>
      </c>
      <c r="D4289" s="2">
        <f t="shared" si="226"/>
        <v>2019</v>
      </c>
      <c r="E4289" s="2">
        <f t="shared" si="227"/>
        <v>7</v>
      </c>
      <c r="G4289" s="4">
        <v>43662</v>
      </c>
      <c r="H4289" s="1">
        <v>6600738</v>
      </c>
      <c r="I4289" s="1">
        <v>672261</v>
      </c>
      <c r="J4289" s="1" t="s">
        <v>191</v>
      </c>
      <c r="K4289" s="29" t="s">
        <v>210</v>
      </c>
      <c r="L4289" s="1" t="str">
        <f t="shared" si="228"/>
        <v>Vallentunasjön Va2</v>
      </c>
      <c r="M4289" s="1" t="s">
        <v>211</v>
      </c>
      <c r="N4289" s="1">
        <v>1</v>
      </c>
      <c r="O4289" s="1">
        <v>1</v>
      </c>
      <c r="Q4289" s="1">
        <v>18</v>
      </c>
      <c r="R4289" s="1">
        <v>8.5</v>
      </c>
      <c r="S4289" s="1">
        <v>91</v>
      </c>
    </row>
    <row r="4290" spans="1:38" x14ac:dyDescent="0.3">
      <c r="A4290" s="1">
        <v>73874</v>
      </c>
      <c r="B4290" s="1" t="s">
        <v>263</v>
      </c>
      <c r="C4290" s="1" t="s">
        <v>209</v>
      </c>
      <c r="D4290" s="2">
        <f t="shared" si="226"/>
        <v>2019</v>
      </c>
      <c r="E4290" s="2">
        <f t="shared" si="227"/>
        <v>7</v>
      </c>
      <c r="G4290" s="4">
        <v>43662</v>
      </c>
      <c r="H4290" s="1">
        <v>6600738</v>
      </c>
      <c r="I4290" s="1">
        <v>672261</v>
      </c>
      <c r="J4290" s="1" t="s">
        <v>191</v>
      </c>
      <c r="K4290" s="29" t="s">
        <v>210</v>
      </c>
      <c r="L4290" s="1" t="str">
        <f t="shared" si="228"/>
        <v>Vallentunasjön Va2</v>
      </c>
      <c r="M4290" s="1" t="s">
        <v>212</v>
      </c>
      <c r="N4290" s="1">
        <v>2</v>
      </c>
      <c r="O4290" s="1">
        <v>2</v>
      </c>
      <c r="Q4290" s="1">
        <v>17.899999999999999</v>
      </c>
      <c r="R4290" s="1">
        <v>8.1</v>
      </c>
      <c r="S4290" s="1">
        <v>86</v>
      </c>
    </row>
    <row r="4291" spans="1:38" x14ac:dyDescent="0.3">
      <c r="A4291" s="1">
        <v>73875</v>
      </c>
      <c r="B4291" s="1" t="s">
        <v>263</v>
      </c>
      <c r="C4291" s="1" t="s">
        <v>209</v>
      </c>
      <c r="D4291" s="2">
        <f t="shared" si="226"/>
        <v>2019</v>
      </c>
      <c r="E4291" s="2">
        <f t="shared" si="227"/>
        <v>7</v>
      </c>
      <c r="G4291" s="4">
        <v>43662</v>
      </c>
      <c r="H4291" s="1">
        <v>6600738</v>
      </c>
      <c r="I4291" s="1">
        <v>672261</v>
      </c>
      <c r="J4291" s="1" t="s">
        <v>191</v>
      </c>
      <c r="K4291" s="29" t="s">
        <v>210</v>
      </c>
      <c r="L4291" s="1" t="str">
        <f t="shared" si="228"/>
        <v>Vallentunasjön Va2</v>
      </c>
      <c r="M4291" s="1" t="s">
        <v>213</v>
      </c>
      <c r="N4291" s="1">
        <v>3</v>
      </c>
      <c r="O4291" s="1">
        <v>3</v>
      </c>
      <c r="Q4291" s="1">
        <v>17.899999999999999</v>
      </c>
      <c r="R4291" s="1">
        <v>7.9</v>
      </c>
      <c r="S4291" s="1">
        <v>84</v>
      </c>
    </row>
    <row r="4292" spans="1:38" x14ac:dyDescent="0.3">
      <c r="A4292" s="1">
        <v>73876</v>
      </c>
      <c r="B4292" s="1" t="s">
        <v>263</v>
      </c>
      <c r="C4292" s="1" t="s">
        <v>209</v>
      </c>
      <c r="D4292" s="2">
        <f t="shared" si="226"/>
        <v>2019</v>
      </c>
      <c r="E4292" s="2">
        <f t="shared" si="227"/>
        <v>7</v>
      </c>
      <c r="G4292" s="4">
        <v>43662</v>
      </c>
      <c r="H4292" s="1">
        <v>6600738</v>
      </c>
      <c r="I4292" s="1">
        <v>672261</v>
      </c>
      <c r="J4292" s="1" t="s">
        <v>191</v>
      </c>
      <c r="K4292" s="29" t="s">
        <v>210</v>
      </c>
      <c r="L4292" s="1" t="str">
        <f t="shared" si="228"/>
        <v>Vallentunasjön Va2</v>
      </c>
      <c r="M4292" s="1" t="s">
        <v>214</v>
      </c>
      <c r="N4292" s="1">
        <v>4</v>
      </c>
      <c r="O4292" s="1">
        <v>4</v>
      </c>
      <c r="Q4292" s="1">
        <v>17.8</v>
      </c>
      <c r="R4292" s="1">
        <v>7.3</v>
      </c>
      <c r="S4292" s="1">
        <v>77</v>
      </c>
    </row>
    <row r="4293" spans="1:38" x14ac:dyDescent="0.3">
      <c r="A4293" s="1">
        <v>73877</v>
      </c>
      <c r="B4293" s="1" t="s">
        <v>263</v>
      </c>
      <c r="C4293" s="1" t="s">
        <v>209</v>
      </c>
      <c r="D4293" s="2">
        <f t="shared" si="226"/>
        <v>2019</v>
      </c>
      <c r="E4293" s="2">
        <f t="shared" si="227"/>
        <v>7</v>
      </c>
      <c r="G4293" s="4">
        <v>43662</v>
      </c>
      <c r="H4293" s="1">
        <v>6600738</v>
      </c>
      <c r="I4293" s="1">
        <v>672261</v>
      </c>
      <c r="J4293" s="1" t="s">
        <v>191</v>
      </c>
      <c r="K4293" s="29" t="s">
        <v>210</v>
      </c>
      <c r="L4293" s="1" t="str">
        <f t="shared" si="228"/>
        <v>Vallentunasjön Va2</v>
      </c>
      <c r="M4293" s="1" t="s">
        <v>184</v>
      </c>
      <c r="N4293" s="1">
        <v>4.5</v>
      </c>
      <c r="O4293" s="1">
        <v>4.5</v>
      </c>
    </row>
    <row r="4294" spans="1:38" x14ac:dyDescent="0.3">
      <c r="A4294" s="1">
        <v>73878</v>
      </c>
      <c r="B4294" s="1" t="s">
        <v>263</v>
      </c>
      <c r="C4294" s="1" t="s">
        <v>209</v>
      </c>
      <c r="D4294" s="2">
        <f t="shared" ref="D4294:D4357" si="229">YEAR(G4294)</f>
        <v>2019</v>
      </c>
      <c r="E4294" s="2">
        <f t="shared" ref="E4294:E4357" si="230">MONTH(G4294)</f>
        <v>7</v>
      </c>
      <c r="G4294" s="4">
        <v>43662</v>
      </c>
      <c r="J4294" s="1" t="s">
        <v>191</v>
      </c>
      <c r="K4294" s="29" t="s">
        <v>206</v>
      </c>
      <c r="L4294" s="1" t="str">
        <f t="shared" si="228"/>
        <v>Vallentunasjön Blandprov</v>
      </c>
      <c r="M4294" s="1" t="s">
        <v>177</v>
      </c>
      <c r="N4294" s="1">
        <v>4</v>
      </c>
      <c r="O4294" s="1">
        <v>0</v>
      </c>
      <c r="W4294" s="1">
        <v>8.0599000000000007</v>
      </c>
      <c r="X4294" s="1">
        <v>0.11631053641195831</v>
      </c>
      <c r="Y4294" s="1">
        <v>7.2999999999999995E-2</v>
      </c>
      <c r="Z4294" s="1">
        <v>3.27</v>
      </c>
      <c r="AB4294" s="1">
        <v>34.51005</v>
      </c>
      <c r="AD4294" s="1">
        <v>2.94</v>
      </c>
      <c r="AE4294" s="1">
        <v>8.25</v>
      </c>
      <c r="AG4294" s="1">
        <v>24</v>
      </c>
      <c r="AK4294" s="1">
        <v>73.36</v>
      </c>
      <c r="AL4294" s="1">
        <v>1344.7</v>
      </c>
    </row>
    <row r="4295" spans="1:38" x14ac:dyDescent="0.3">
      <c r="A4295" s="1">
        <v>74136</v>
      </c>
      <c r="B4295" s="1" t="s">
        <v>263</v>
      </c>
      <c r="C4295" s="1" t="s">
        <v>209</v>
      </c>
      <c r="D4295" s="2">
        <f t="shared" si="229"/>
        <v>2019</v>
      </c>
      <c r="E4295" s="2">
        <f t="shared" si="230"/>
        <v>8</v>
      </c>
      <c r="G4295" s="4">
        <v>43684</v>
      </c>
      <c r="H4295" s="1">
        <v>6600738</v>
      </c>
      <c r="I4295" s="1">
        <v>672261</v>
      </c>
      <c r="J4295" s="1" t="s">
        <v>191</v>
      </c>
      <c r="K4295" s="29" t="s">
        <v>210</v>
      </c>
      <c r="L4295" s="1" t="str">
        <f t="shared" si="228"/>
        <v>Vallentunasjön Va2</v>
      </c>
      <c r="M4295" s="1" t="s">
        <v>177</v>
      </c>
      <c r="N4295" s="1">
        <v>0.5</v>
      </c>
      <c r="O4295" s="1">
        <v>0.5</v>
      </c>
      <c r="P4295" s="1">
        <v>0.8</v>
      </c>
      <c r="Q4295" s="1">
        <v>20.5</v>
      </c>
      <c r="R4295" s="1">
        <v>9.8000000000000007</v>
      </c>
      <c r="S4295" s="1">
        <v>109</v>
      </c>
    </row>
    <row r="4296" spans="1:38" x14ac:dyDescent="0.3">
      <c r="A4296" s="1">
        <v>74137</v>
      </c>
      <c r="B4296" s="1" t="s">
        <v>263</v>
      </c>
      <c r="C4296" s="1" t="s">
        <v>209</v>
      </c>
      <c r="D4296" s="2">
        <f t="shared" si="229"/>
        <v>2019</v>
      </c>
      <c r="E4296" s="2">
        <f t="shared" si="230"/>
        <v>8</v>
      </c>
      <c r="G4296" s="4">
        <v>43684</v>
      </c>
      <c r="H4296" s="1">
        <v>6600738</v>
      </c>
      <c r="I4296" s="1">
        <v>672261</v>
      </c>
      <c r="J4296" s="1" t="s">
        <v>191</v>
      </c>
      <c r="K4296" s="29" t="s">
        <v>210</v>
      </c>
      <c r="L4296" s="1" t="str">
        <f t="shared" si="228"/>
        <v>Vallentunasjön Va2</v>
      </c>
      <c r="M4296" s="1" t="s">
        <v>211</v>
      </c>
      <c r="N4296" s="1">
        <v>1</v>
      </c>
      <c r="O4296" s="1">
        <v>1</v>
      </c>
      <c r="Q4296" s="1">
        <v>20.5</v>
      </c>
      <c r="R4296" s="1">
        <v>9.8000000000000007</v>
      </c>
      <c r="S4296" s="1">
        <v>110</v>
      </c>
    </row>
    <row r="4297" spans="1:38" x14ac:dyDescent="0.3">
      <c r="A4297" s="1">
        <v>74138</v>
      </c>
      <c r="B4297" s="1" t="s">
        <v>263</v>
      </c>
      <c r="C4297" s="1" t="s">
        <v>209</v>
      </c>
      <c r="D4297" s="2">
        <f t="shared" si="229"/>
        <v>2019</v>
      </c>
      <c r="E4297" s="2">
        <f t="shared" si="230"/>
        <v>8</v>
      </c>
      <c r="G4297" s="4">
        <v>43684</v>
      </c>
      <c r="H4297" s="1">
        <v>6600738</v>
      </c>
      <c r="I4297" s="1">
        <v>672261</v>
      </c>
      <c r="J4297" s="1" t="s">
        <v>191</v>
      </c>
      <c r="K4297" s="29" t="s">
        <v>210</v>
      </c>
      <c r="L4297" s="1" t="str">
        <f t="shared" si="228"/>
        <v>Vallentunasjön Va2</v>
      </c>
      <c r="M4297" s="1" t="s">
        <v>212</v>
      </c>
      <c r="N4297" s="1">
        <v>2</v>
      </c>
      <c r="O4297" s="1">
        <v>2</v>
      </c>
      <c r="Q4297" s="1">
        <v>20.399999999999999</v>
      </c>
      <c r="R4297" s="1">
        <v>9.6999999999999993</v>
      </c>
      <c r="S4297" s="1">
        <v>109</v>
      </c>
    </row>
    <row r="4298" spans="1:38" x14ac:dyDescent="0.3">
      <c r="A4298" s="1">
        <v>74139</v>
      </c>
      <c r="B4298" s="1" t="s">
        <v>263</v>
      </c>
      <c r="C4298" s="1" t="s">
        <v>209</v>
      </c>
      <c r="D4298" s="2">
        <f t="shared" si="229"/>
        <v>2019</v>
      </c>
      <c r="E4298" s="2">
        <f t="shared" si="230"/>
        <v>8</v>
      </c>
      <c r="G4298" s="4">
        <v>43684</v>
      </c>
      <c r="H4298" s="1">
        <v>6600738</v>
      </c>
      <c r="I4298" s="1">
        <v>672261</v>
      </c>
      <c r="J4298" s="1" t="s">
        <v>191</v>
      </c>
      <c r="K4298" s="29" t="s">
        <v>210</v>
      </c>
      <c r="L4298" s="1" t="str">
        <f t="shared" si="228"/>
        <v>Vallentunasjön Va2</v>
      </c>
      <c r="M4298" s="1" t="s">
        <v>213</v>
      </c>
      <c r="N4298" s="1">
        <v>3</v>
      </c>
      <c r="O4298" s="1">
        <v>3</v>
      </c>
      <c r="Q4298" s="1">
        <v>20.3</v>
      </c>
      <c r="R4298" s="1">
        <v>9.4</v>
      </c>
      <c r="S4298" s="1">
        <v>105</v>
      </c>
    </row>
    <row r="4299" spans="1:38" x14ac:dyDescent="0.3">
      <c r="A4299" s="1">
        <v>74140</v>
      </c>
      <c r="B4299" s="1" t="s">
        <v>263</v>
      </c>
      <c r="C4299" s="1" t="s">
        <v>209</v>
      </c>
      <c r="D4299" s="2">
        <f t="shared" si="229"/>
        <v>2019</v>
      </c>
      <c r="E4299" s="2">
        <f t="shared" si="230"/>
        <v>8</v>
      </c>
      <c r="G4299" s="4">
        <v>43684</v>
      </c>
      <c r="H4299" s="1">
        <v>6600738</v>
      </c>
      <c r="I4299" s="1">
        <v>672261</v>
      </c>
      <c r="J4299" s="1" t="s">
        <v>191</v>
      </c>
      <c r="K4299" s="29" t="s">
        <v>210</v>
      </c>
      <c r="L4299" s="1" t="str">
        <f t="shared" si="228"/>
        <v>Vallentunasjön Va2</v>
      </c>
      <c r="M4299" s="1" t="s">
        <v>214</v>
      </c>
      <c r="N4299" s="1">
        <v>4</v>
      </c>
      <c r="O4299" s="1">
        <v>4</v>
      </c>
      <c r="Q4299" s="1">
        <v>20.2</v>
      </c>
      <c r="R4299" s="1">
        <v>7.6</v>
      </c>
      <c r="S4299" s="1">
        <v>85</v>
      </c>
    </row>
    <row r="4300" spans="1:38" x14ac:dyDescent="0.3">
      <c r="A4300" s="1">
        <v>74141</v>
      </c>
      <c r="B4300" s="1" t="s">
        <v>263</v>
      </c>
      <c r="C4300" s="1" t="s">
        <v>209</v>
      </c>
      <c r="D4300" s="2">
        <f t="shared" si="229"/>
        <v>2019</v>
      </c>
      <c r="E4300" s="2">
        <f t="shared" si="230"/>
        <v>8</v>
      </c>
      <c r="G4300" s="4">
        <v>43684</v>
      </c>
      <c r="H4300" s="1">
        <v>6600738</v>
      </c>
      <c r="I4300" s="1">
        <v>672261</v>
      </c>
      <c r="J4300" s="1" t="s">
        <v>191</v>
      </c>
      <c r="K4300" s="29" t="s">
        <v>210</v>
      </c>
      <c r="L4300" s="1" t="str">
        <f t="shared" si="228"/>
        <v>Vallentunasjön Va2</v>
      </c>
      <c r="M4300" s="1" t="s">
        <v>184</v>
      </c>
      <c r="N4300" s="1">
        <v>4.5</v>
      </c>
      <c r="O4300" s="1">
        <v>4.5</v>
      </c>
    </row>
    <row r="4301" spans="1:38" x14ac:dyDescent="0.3">
      <c r="A4301" s="1">
        <v>74142</v>
      </c>
      <c r="B4301" s="1" t="s">
        <v>263</v>
      </c>
      <c r="C4301" s="1" t="s">
        <v>209</v>
      </c>
      <c r="D4301" s="2">
        <f t="shared" si="229"/>
        <v>2019</v>
      </c>
      <c r="E4301" s="2">
        <f t="shared" si="230"/>
        <v>8</v>
      </c>
      <c r="G4301" s="4">
        <v>43684</v>
      </c>
      <c r="J4301" s="1" t="s">
        <v>191</v>
      </c>
      <c r="K4301" s="29" t="s">
        <v>206</v>
      </c>
      <c r="L4301" s="1" t="str">
        <f t="shared" si="228"/>
        <v>Vallentunasjön Blandprov</v>
      </c>
      <c r="M4301" s="1" t="s">
        <v>177</v>
      </c>
      <c r="N4301" s="1">
        <v>4</v>
      </c>
      <c r="O4301" s="1">
        <v>0</v>
      </c>
      <c r="W4301" s="1">
        <v>4.8396999999999997</v>
      </c>
      <c r="X4301" s="1">
        <v>6.8273242496154393E-2</v>
      </c>
      <c r="Y4301" s="1">
        <v>0.03</v>
      </c>
      <c r="Z4301" s="1">
        <v>0.74</v>
      </c>
      <c r="AB4301" s="1">
        <v>40.816894736999998</v>
      </c>
      <c r="AD4301" s="1">
        <v>1.1599999999999999</v>
      </c>
      <c r="AE4301" s="1">
        <v>8.24</v>
      </c>
      <c r="AG4301" s="1">
        <v>29</v>
      </c>
      <c r="AK4301" s="1">
        <v>71.98</v>
      </c>
      <c r="AL4301" s="1">
        <v>1484.9</v>
      </c>
    </row>
    <row r="4302" spans="1:38" x14ac:dyDescent="0.3">
      <c r="A4302" s="1">
        <v>74167</v>
      </c>
      <c r="B4302" s="1" t="s">
        <v>263</v>
      </c>
      <c r="C4302" s="1" t="s">
        <v>209</v>
      </c>
      <c r="D4302" s="2">
        <f t="shared" si="229"/>
        <v>2019</v>
      </c>
      <c r="E4302" s="2">
        <f t="shared" si="230"/>
        <v>7</v>
      </c>
      <c r="G4302" s="4">
        <v>43675</v>
      </c>
      <c r="H4302" s="1">
        <v>6600738</v>
      </c>
      <c r="I4302" s="1">
        <v>672261</v>
      </c>
      <c r="J4302" s="1" t="s">
        <v>191</v>
      </c>
      <c r="K4302" s="29" t="s">
        <v>210</v>
      </c>
      <c r="L4302" s="1" t="str">
        <f t="shared" si="228"/>
        <v>Vallentunasjön Va2</v>
      </c>
      <c r="M4302" s="1" t="s">
        <v>177</v>
      </c>
      <c r="N4302" s="1">
        <v>0.5</v>
      </c>
      <c r="O4302" s="1">
        <v>0.5</v>
      </c>
      <c r="P4302" s="1">
        <v>0.6</v>
      </c>
      <c r="Q4302" s="1">
        <v>23.7</v>
      </c>
      <c r="R4302" s="1">
        <v>8.1</v>
      </c>
      <c r="S4302" s="1">
        <v>96</v>
      </c>
    </row>
    <row r="4303" spans="1:38" x14ac:dyDescent="0.3">
      <c r="A4303" s="1">
        <v>74168</v>
      </c>
      <c r="B4303" s="1" t="s">
        <v>263</v>
      </c>
      <c r="C4303" s="1" t="s">
        <v>209</v>
      </c>
      <c r="D4303" s="2">
        <f t="shared" si="229"/>
        <v>2019</v>
      </c>
      <c r="E4303" s="2">
        <f t="shared" si="230"/>
        <v>7</v>
      </c>
      <c r="G4303" s="4">
        <v>43675</v>
      </c>
      <c r="H4303" s="1">
        <v>6600738</v>
      </c>
      <c r="I4303" s="1">
        <v>672261</v>
      </c>
      <c r="J4303" s="1" t="s">
        <v>191</v>
      </c>
      <c r="K4303" s="29" t="s">
        <v>210</v>
      </c>
      <c r="L4303" s="1" t="str">
        <f t="shared" si="228"/>
        <v>Vallentunasjön Va2</v>
      </c>
      <c r="M4303" s="1" t="s">
        <v>211</v>
      </c>
      <c r="N4303" s="1">
        <v>1</v>
      </c>
      <c r="O4303" s="1">
        <v>1</v>
      </c>
      <c r="Q4303" s="1">
        <v>23.7</v>
      </c>
      <c r="R4303" s="1">
        <v>8.1</v>
      </c>
      <c r="S4303" s="1">
        <v>96</v>
      </c>
    </row>
    <row r="4304" spans="1:38" x14ac:dyDescent="0.3">
      <c r="A4304" s="1">
        <v>74169</v>
      </c>
      <c r="B4304" s="1" t="s">
        <v>263</v>
      </c>
      <c r="C4304" s="1" t="s">
        <v>209</v>
      </c>
      <c r="D4304" s="2">
        <f t="shared" si="229"/>
        <v>2019</v>
      </c>
      <c r="E4304" s="2">
        <f t="shared" si="230"/>
        <v>7</v>
      </c>
      <c r="G4304" s="4">
        <v>43675</v>
      </c>
      <c r="H4304" s="1">
        <v>6600738</v>
      </c>
      <c r="I4304" s="1">
        <v>672261</v>
      </c>
      <c r="J4304" s="1" t="s">
        <v>191</v>
      </c>
      <c r="K4304" s="29" t="s">
        <v>210</v>
      </c>
      <c r="L4304" s="1" t="str">
        <f t="shared" si="228"/>
        <v>Vallentunasjön Va2</v>
      </c>
      <c r="M4304" s="1" t="s">
        <v>212</v>
      </c>
      <c r="N4304" s="1">
        <v>2</v>
      </c>
      <c r="O4304" s="1">
        <v>2</v>
      </c>
      <c r="Q4304" s="1">
        <v>23.6</v>
      </c>
      <c r="R4304" s="1">
        <v>8</v>
      </c>
      <c r="S4304" s="1">
        <v>95</v>
      </c>
    </row>
    <row r="4305" spans="1:38" x14ac:dyDescent="0.3">
      <c r="A4305" s="1">
        <v>74170</v>
      </c>
      <c r="B4305" s="1" t="s">
        <v>263</v>
      </c>
      <c r="C4305" s="1" t="s">
        <v>209</v>
      </c>
      <c r="D4305" s="2">
        <f t="shared" si="229"/>
        <v>2019</v>
      </c>
      <c r="E4305" s="2">
        <f t="shared" si="230"/>
        <v>7</v>
      </c>
      <c r="G4305" s="4">
        <v>43675</v>
      </c>
      <c r="H4305" s="1">
        <v>6600738</v>
      </c>
      <c r="I4305" s="1">
        <v>672261</v>
      </c>
      <c r="J4305" s="1" t="s">
        <v>191</v>
      </c>
      <c r="K4305" s="29" t="s">
        <v>210</v>
      </c>
      <c r="L4305" s="1" t="str">
        <f t="shared" si="228"/>
        <v>Vallentunasjön Va2</v>
      </c>
      <c r="M4305" s="1" t="s">
        <v>213</v>
      </c>
      <c r="N4305" s="1">
        <v>3</v>
      </c>
      <c r="O4305" s="1">
        <v>3</v>
      </c>
      <c r="Q4305" s="1">
        <v>23.4</v>
      </c>
      <c r="R4305" s="1">
        <v>6.5</v>
      </c>
      <c r="S4305" s="1">
        <v>74</v>
      </c>
    </row>
    <row r="4306" spans="1:38" x14ac:dyDescent="0.3">
      <c r="A4306" s="1">
        <v>74171</v>
      </c>
      <c r="B4306" s="1" t="s">
        <v>263</v>
      </c>
      <c r="C4306" s="1" t="s">
        <v>209</v>
      </c>
      <c r="D4306" s="2">
        <f t="shared" si="229"/>
        <v>2019</v>
      </c>
      <c r="E4306" s="2">
        <f t="shared" si="230"/>
        <v>7</v>
      </c>
      <c r="G4306" s="4">
        <v>43675</v>
      </c>
      <c r="H4306" s="1">
        <v>6600738</v>
      </c>
      <c r="I4306" s="1">
        <v>672261</v>
      </c>
      <c r="J4306" s="1" t="s">
        <v>191</v>
      </c>
      <c r="K4306" s="29" t="s">
        <v>210</v>
      </c>
      <c r="L4306" s="1" t="str">
        <f t="shared" si="228"/>
        <v>Vallentunasjön Va2</v>
      </c>
      <c r="M4306" s="1" t="s">
        <v>214</v>
      </c>
      <c r="N4306" s="1">
        <v>4</v>
      </c>
      <c r="O4306" s="1">
        <v>4</v>
      </c>
      <c r="Q4306" s="1">
        <v>18.5</v>
      </c>
      <c r="R4306" s="1">
        <v>0.2</v>
      </c>
      <c r="S4306" s="1">
        <v>1</v>
      </c>
    </row>
    <row r="4307" spans="1:38" x14ac:dyDescent="0.3">
      <c r="A4307" s="1">
        <v>74172</v>
      </c>
      <c r="B4307" s="1" t="s">
        <v>263</v>
      </c>
      <c r="C4307" s="1" t="s">
        <v>209</v>
      </c>
      <c r="D4307" s="2">
        <f t="shared" si="229"/>
        <v>2019</v>
      </c>
      <c r="E4307" s="2">
        <f t="shared" si="230"/>
        <v>7</v>
      </c>
      <c r="G4307" s="4">
        <v>43675</v>
      </c>
      <c r="H4307" s="1">
        <v>6600738</v>
      </c>
      <c r="I4307" s="1">
        <v>672261</v>
      </c>
      <c r="J4307" s="1" t="s">
        <v>191</v>
      </c>
      <c r="K4307" s="29" t="s">
        <v>210</v>
      </c>
      <c r="L4307" s="1" t="str">
        <f t="shared" si="228"/>
        <v>Vallentunasjön Va2</v>
      </c>
      <c r="M4307" s="1" t="s">
        <v>184</v>
      </c>
      <c r="N4307" s="1">
        <v>4.5</v>
      </c>
      <c r="O4307" s="1">
        <v>4.5</v>
      </c>
      <c r="Q4307" s="1">
        <v>18.2</v>
      </c>
      <c r="R4307" s="1">
        <v>0.2</v>
      </c>
      <c r="S4307" s="1">
        <v>1</v>
      </c>
    </row>
    <row r="4308" spans="1:38" x14ac:dyDescent="0.3">
      <c r="A4308" s="1">
        <v>74173</v>
      </c>
      <c r="B4308" s="1" t="s">
        <v>263</v>
      </c>
      <c r="C4308" s="1" t="s">
        <v>209</v>
      </c>
      <c r="D4308" s="2">
        <f t="shared" si="229"/>
        <v>2019</v>
      </c>
      <c r="E4308" s="2">
        <f t="shared" si="230"/>
        <v>7</v>
      </c>
      <c r="G4308" s="4">
        <v>43675</v>
      </c>
      <c r="J4308" s="1" t="s">
        <v>191</v>
      </c>
      <c r="K4308" s="29" t="s">
        <v>206</v>
      </c>
      <c r="L4308" s="1" t="str">
        <f t="shared" si="228"/>
        <v>Vallentunasjön Blandprov</v>
      </c>
      <c r="M4308" s="1" t="s">
        <v>177</v>
      </c>
      <c r="N4308" s="1">
        <v>4</v>
      </c>
      <c r="O4308" s="1">
        <v>0</v>
      </c>
      <c r="W4308" s="1">
        <v>9.3483000000000001</v>
      </c>
      <c r="X4308" s="1">
        <v>7.6343776612994393E-2</v>
      </c>
      <c r="Y4308" s="1">
        <v>0.06</v>
      </c>
      <c r="Z4308" s="1">
        <v>1.17</v>
      </c>
      <c r="AB4308" s="1">
        <v>32.865119999999997</v>
      </c>
      <c r="AD4308" s="1">
        <v>1.6</v>
      </c>
      <c r="AE4308" s="1">
        <v>8</v>
      </c>
      <c r="AG4308" s="1">
        <v>26.666666667000001</v>
      </c>
      <c r="AK4308" s="1">
        <v>67.27</v>
      </c>
      <c r="AL4308" s="1">
        <v>1398.69</v>
      </c>
    </row>
    <row r="4309" spans="1:38" x14ac:dyDescent="0.3">
      <c r="A4309" s="1">
        <v>74327</v>
      </c>
      <c r="B4309" s="1" t="s">
        <v>263</v>
      </c>
      <c r="C4309" s="1" t="s">
        <v>209</v>
      </c>
      <c r="D4309" s="2">
        <f t="shared" si="229"/>
        <v>2019</v>
      </c>
      <c r="E4309" s="2">
        <f t="shared" si="230"/>
        <v>8</v>
      </c>
      <c r="G4309" s="4">
        <v>43691</v>
      </c>
      <c r="H4309" s="1">
        <v>6600738</v>
      </c>
      <c r="I4309" s="1">
        <v>672261</v>
      </c>
      <c r="J4309" s="1" t="s">
        <v>191</v>
      </c>
      <c r="K4309" s="29" t="s">
        <v>210</v>
      </c>
      <c r="L4309" s="1" t="str">
        <f t="shared" si="228"/>
        <v>Vallentunasjön Va2</v>
      </c>
      <c r="M4309" s="1" t="s">
        <v>177</v>
      </c>
      <c r="N4309" s="1">
        <v>0.5</v>
      </c>
      <c r="O4309" s="1">
        <v>0.5</v>
      </c>
      <c r="P4309" s="1">
        <v>0.6</v>
      </c>
      <c r="Q4309" s="1">
        <v>20</v>
      </c>
      <c r="R4309" s="1">
        <v>9.3000000000000007</v>
      </c>
      <c r="S4309" s="1">
        <v>103</v>
      </c>
    </row>
    <row r="4310" spans="1:38" x14ac:dyDescent="0.3">
      <c r="A4310" s="1">
        <v>74328</v>
      </c>
      <c r="B4310" s="1" t="s">
        <v>263</v>
      </c>
      <c r="C4310" s="1" t="s">
        <v>209</v>
      </c>
      <c r="D4310" s="2">
        <f t="shared" si="229"/>
        <v>2019</v>
      </c>
      <c r="E4310" s="2">
        <f t="shared" si="230"/>
        <v>8</v>
      </c>
      <c r="G4310" s="4">
        <v>43691</v>
      </c>
      <c r="H4310" s="1">
        <v>6600738</v>
      </c>
      <c r="I4310" s="1">
        <v>672261</v>
      </c>
      <c r="J4310" s="1" t="s">
        <v>191</v>
      </c>
      <c r="K4310" s="29" t="s">
        <v>210</v>
      </c>
      <c r="L4310" s="1" t="str">
        <f t="shared" si="228"/>
        <v>Vallentunasjön Va2</v>
      </c>
      <c r="M4310" s="1" t="s">
        <v>211</v>
      </c>
      <c r="N4310" s="1">
        <v>1</v>
      </c>
      <c r="O4310" s="1">
        <v>1</v>
      </c>
      <c r="Q4310" s="1">
        <v>20</v>
      </c>
      <c r="R4310" s="1">
        <v>9.1999999999999993</v>
      </c>
      <c r="S4310" s="1">
        <v>102</v>
      </c>
    </row>
    <row r="4311" spans="1:38" x14ac:dyDescent="0.3">
      <c r="A4311" s="1">
        <v>74329</v>
      </c>
      <c r="B4311" s="1" t="s">
        <v>263</v>
      </c>
      <c r="C4311" s="1" t="s">
        <v>209</v>
      </c>
      <c r="D4311" s="2">
        <f t="shared" si="229"/>
        <v>2019</v>
      </c>
      <c r="E4311" s="2">
        <f t="shared" si="230"/>
        <v>8</v>
      </c>
      <c r="G4311" s="4">
        <v>43691</v>
      </c>
      <c r="H4311" s="1">
        <v>6600738</v>
      </c>
      <c r="I4311" s="1">
        <v>672261</v>
      </c>
      <c r="J4311" s="1" t="s">
        <v>191</v>
      </c>
      <c r="K4311" s="29" t="s">
        <v>210</v>
      </c>
      <c r="L4311" s="1" t="str">
        <f t="shared" si="228"/>
        <v>Vallentunasjön Va2</v>
      </c>
      <c r="M4311" s="1" t="s">
        <v>212</v>
      </c>
      <c r="N4311" s="1">
        <v>2</v>
      </c>
      <c r="O4311" s="1">
        <v>2</v>
      </c>
      <c r="Q4311" s="1">
        <v>20</v>
      </c>
      <c r="R4311" s="1">
        <v>9.1</v>
      </c>
      <c r="S4311" s="1">
        <v>101</v>
      </c>
    </row>
    <row r="4312" spans="1:38" x14ac:dyDescent="0.3">
      <c r="A4312" s="1">
        <v>74330</v>
      </c>
      <c r="B4312" s="1" t="s">
        <v>263</v>
      </c>
      <c r="C4312" s="1" t="s">
        <v>209</v>
      </c>
      <c r="D4312" s="2">
        <f t="shared" si="229"/>
        <v>2019</v>
      </c>
      <c r="E4312" s="2">
        <f t="shared" si="230"/>
        <v>8</v>
      </c>
      <c r="G4312" s="4">
        <v>43691</v>
      </c>
      <c r="H4312" s="1">
        <v>6600738</v>
      </c>
      <c r="I4312" s="1">
        <v>672261</v>
      </c>
      <c r="J4312" s="1" t="s">
        <v>191</v>
      </c>
      <c r="K4312" s="29" t="s">
        <v>210</v>
      </c>
      <c r="L4312" s="1" t="str">
        <f t="shared" si="228"/>
        <v>Vallentunasjön Va2</v>
      </c>
      <c r="M4312" s="1" t="s">
        <v>213</v>
      </c>
      <c r="N4312" s="1">
        <v>3</v>
      </c>
      <c r="O4312" s="1">
        <v>3</v>
      </c>
      <c r="Q4312" s="1">
        <v>20</v>
      </c>
      <c r="R4312" s="1">
        <v>9</v>
      </c>
      <c r="S4312" s="1">
        <v>100</v>
      </c>
    </row>
    <row r="4313" spans="1:38" x14ac:dyDescent="0.3">
      <c r="A4313" s="1">
        <v>74331</v>
      </c>
      <c r="B4313" s="1" t="s">
        <v>263</v>
      </c>
      <c r="C4313" s="1" t="s">
        <v>209</v>
      </c>
      <c r="D4313" s="2">
        <f t="shared" si="229"/>
        <v>2019</v>
      </c>
      <c r="E4313" s="2">
        <f t="shared" si="230"/>
        <v>8</v>
      </c>
      <c r="G4313" s="4">
        <v>43691</v>
      </c>
      <c r="H4313" s="1">
        <v>6600738</v>
      </c>
      <c r="I4313" s="1">
        <v>672261</v>
      </c>
      <c r="J4313" s="1" t="s">
        <v>191</v>
      </c>
      <c r="K4313" s="29" t="s">
        <v>210</v>
      </c>
      <c r="L4313" s="1" t="str">
        <f t="shared" si="228"/>
        <v>Vallentunasjön Va2</v>
      </c>
      <c r="M4313" s="1" t="s">
        <v>214</v>
      </c>
      <c r="N4313" s="1">
        <v>4</v>
      </c>
      <c r="O4313" s="1">
        <v>4</v>
      </c>
    </row>
    <row r="4314" spans="1:38" x14ac:dyDescent="0.3">
      <c r="A4314" s="1">
        <v>74332</v>
      </c>
      <c r="B4314" s="1" t="s">
        <v>263</v>
      </c>
      <c r="C4314" s="1" t="s">
        <v>209</v>
      </c>
      <c r="D4314" s="2">
        <f t="shared" si="229"/>
        <v>2019</v>
      </c>
      <c r="E4314" s="2">
        <f t="shared" si="230"/>
        <v>8</v>
      </c>
      <c r="G4314" s="4">
        <v>43691</v>
      </c>
      <c r="H4314" s="1">
        <v>6600738</v>
      </c>
      <c r="I4314" s="1">
        <v>672261</v>
      </c>
      <c r="J4314" s="1" t="s">
        <v>191</v>
      </c>
      <c r="K4314" s="29" t="s">
        <v>210</v>
      </c>
      <c r="L4314" s="1" t="str">
        <f t="shared" si="228"/>
        <v>Vallentunasjön Va2</v>
      </c>
      <c r="M4314" s="1" t="s">
        <v>184</v>
      </c>
      <c r="N4314" s="1">
        <v>4.5</v>
      </c>
      <c r="O4314" s="1">
        <v>4.5</v>
      </c>
      <c r="Q4314" s="1">
        <v>20</v>
      </c>
      <c r="R4314" s="1">
        <v>9</v>
      </c>
      <c r="S4314" s="1">
        <v>100</v>
      </c>
    </row>
    <row r="4315" spans="1:38" x14ac:dyDescent="0.3">
      <c r="A4315" s="1">
        <v>74333</v>
      </c>
      <c r="B4315" s="1" t="s">
        <v>263</v>
      </c>
      <c r="C4315" s="1" t="s">
        <v>209</v>
      </c>
      <c r="D4315" s="2">
        <f t="shared" si="229"/>
        <v>2019</v>
      </c>
      <c r="E4315" s="2">
        <f t="shared" si="230"/>
        <v>8</v>
      </c>
      <c r="G4315" s="4">
        <v>43691</v>
      </c>
      <c r="J4315" s="1" t="s">
        <v>191</v>
      </c>
      <c r="K4315" s="29" t="s">
        <v>206</v>
      </c>
      <c r="L4315" s="1" t="str">
        <f t="shared" si="228"/>
        <v>Vallentunasjön Blandprov</v>
      </c>
      <c r="M4315" s="1" t="s">
        <v>177</v>
      </c>
      <c r="N4315" s="1">
        <v>4</v>
      </c>
      <c r="O4315" s="1">
        <v>0</v>
      </c>
      <c r="W4315" s="1">
        <v>7.0564</v>
      </c>
      <c r="X4315" s="1">
        <v>0.11149833152325279</v>
      </c>
      <c r="Y4315" s="1">
        <v>5.2999999999999999E-2</v>
      </c>
      <c r="Z4315" s="1">
        <v>4.1100000000000003</v>
      </c>
      <c r="AB4315" s="1">
        <v>45.699300000000001</v>
      </c>
      <c r="AD4315" s="1">
        <v>2.5</v>
      </c>
      <c r="AE4315" s="1">
        <v>8.2899999999999991</v>
      </c>
      <c r="AG4315" s="1">
        <v>24</v>
      </c>
      <c r="AK4315" s="1">
        <v>80.87</v>
      </c>
      <c r="AL4315" s="1">
        <v>1656.35</v>
      </c>
    </row>
    <row r="4316" spans="1:38" x14ac:dyDescent="0.3">
      <c r="A4316" s="1">
        <v>74812</v>
      </c>
      <c r="B4316" s="1" t="s">
        <v>263</v>
      </c>
      <c r="C4316" s="1" t="s">
        <v>209</v>
      </c>
      <c r="D4316" s="2">
        <f t="shared" si="229"/>
        <v>2019</v>
      </c>
      <c r="E4316" s="2">
        <f t="shared" si="230"/>
        <v>8</v>
      </c>
      <c r="G4316" s="4">
        <v>43703</v>
      </c>
      <c r="H4316" s="1">
        <v>6600738</v>
      </c>
      <c r="I4316" s="1">
        <v>672261</v>
      </c>
      <c r="J4316" s="1" t="s">
        <v>191</v>
      </c>
      <c r="K4316" s="29" t="s">
        <v>210</v>
      </c>
      <c r="L4316" s="1" t="str">
        <f t="shared" si="228"/>
        <v>Vallentunasjön Va2</v>
      </c>
      <c r="M4316" s="1" t="s">
        <v>177</v>
      </c>
      <c r="N4316" s="1">
        <v>0.5</v>
      </c>
      <c r="O4316" s="1">
        <v>0.5</v>
      </c>
      <c r="P4316" s="1">
        <v>0.7</v>
      </c>
      <c r="Q4316" s="1">
        <v>19.7</v>
      </c>
      <c r="R4316" s="1">
        <v>10.6</v>
      </c>
      <c r="S4316" s="1">
        <v>115</v>
      </c>
    </row>
    <row r="4317" spans="1:38" x14ac:dyDescent="0.3">
      <c r="A4317" s="1">
        <v>74813</v>
      </c>
      <c r="B4317" s="1" t="s">
        <v>263</v>
      </c>
      <c r="C4317" s="1" t="s">
        <v>209</v>
      </c>
      <c r="D4317" s="2">
        <f t="shared" si="229"/>
        <v>2019</v>
      </c>
      <c r="E4317" s="2">
        <f t="shared" si="230"/>
        <v>8</v>
      </c>
      <c r="G4317" s="4">
        <v>43703</v>
      </c>
      <c r="H4317" s="1">
        <v>6600738</v>
      </c>
      <c r="I4317" s="1">
        <v>672261</v>
      </c>
      <c r="J4317" s="1" t="s">
        <v>191</v>
      </c>
      <c r="K4317" s="29" t="s">
        <v>210</v>
      </c>
      <c r="L4317" s="1" t="str">
        <f t="shared" si="228"/>
        <v>Vallentunasjön Va2</v>
      </c>
      <c r="M4317" s="1" t="s">
        <v>211</v>
      </c>
      <c r="N4317" s="1">
        <v>1</v>
      </c>
      <c r="O4317" s="1">
        <v>1</v>
      </c>
      <c r="Q4317" s="1">
        <v>19.7</v>
      </c>
      <c r="R4317" s="1">
        <v>10.6</v>
      </c>
      <c r="S4317" s="1">
        <v>115</v>
      </c>
    </row>
    <row r="4318" spans="1:38" x14ac:dyDescent="0.3">
      <c r="A4318" s="1">
        <v>74814</v>
      </c>
      <c r="B4318" s="1" t="s">
        <v>263</v>
      </c>
      <c r="C4318" s="1" t="s">
        <v>209</v>
      </c>
      <c r="D4318" s="2">
        <f t="shared" si="229"/>
        <v>2019</v>
      </c>
      <c r="E4318" s="2">
        <f t="shared" si="230"/>
        <v>8</v>
      </c>
      <c r="G4318" s="4">
        <v>43703</v>
      </c>
      <c r="H4318" s="1">
        <v>6600738</v>
      </c>
      <c r="I4318" s="1">
        <v>672261</v>
      </c>
      <c r="J4318" s="1" t="s">
        <v>191</v>
      </c>
      <c r="K4318" s="29" t="s">
        <v>210</v>
      </c>
      <c r="L4318" s="1" t="str">
        <f t="shared" si="228"/>
        <v>Vallentunasjön Va2</v>
      </c>
      <c r="M4318" s="1" t="s">
        <v>212</v>
      </c>
      <c r="N4318" s="1">
        <v>2</v>
      </c>
      <c r="O4318" s="1">
        <v>2</v>
      </c>
      <c r="Q4318" s="1">
        <v>19.600000000000001</v>
      </c>
      <c r="R4318" s="1">
        <v>10.5</v>
      </c>
      <c r="S4318" s="1">
        <v>113</v>
      </c>
    </row>
    <row r="4319" spans="1:38" x14ac:dyDescent="0.3">
      <c r="A4319" s="1">
        <v>74815</v>
      </c>
      <c r="B4319" s="1" t="s">
        <v>263</v>
      </c>
      <c r="C4319" s="1" t="s">
        <v>209</v>
      </c>
      <c r="D4319" s="2">
        <f t="shared" si="229"/>
        <v>2019</v>
      </c>
      <c r="E4319" s="2">
        <f t="shared" si="230"/>
        <v>8</v>
      </c>
      <c r="G4319" s="4">
        <v>43703</v>
      </c>
      <c r="H4319" s="1">
        <v>6600738</v>
      </c>
      <c r="I4319" s="1">
        <v>672261</v>
      </c>
      <c r="J4319" s="1" t="s">
        <v>191</v>
      </c>
      <c r="K4319" s="29" t="s">
        <v>210</v>
      </c>
      <c r="L4319" s="1" t="str">
        <f t="shared" si="228"/>
        <v>Vallentunasjön Va2</v>
      </c>
      <c r="M4319" s="1" t="s">
        <v>213</v>
      </c>
      <c r="N4319" s="1">
        <v>3</v>
      </c>
      <c r="O4319" s="1">
        <v>3</v>
      </c>
      <c r="Q4319" s="1">
        <v>19.600000000000001</v>
      </c>
      <c r="R4319" s="1">
        <v>10.5</v>
      </c>
      <c r="S4319" s="1">
        <v>113</v>
      </c>
    </row>
    <row r="4320" spans="1:38" x14ac:dyDescent="0.3">
      <c r="A4320" s="1">
        <v>74816</v>
      </c>
      <c r="B4320" s="1" t="s">
        <v>263</v>
      </c>
      <c r="C4320" s="1" t="s">
        <v>209</v>
      </c>
      <c r="D4320" s="2">
        <f t="shared" si="229"/>
        <v>2019</v>
      </c>
      <c r="E4320" s="2">
        <f t="shared" si="230"/>
        <v>8</v>
      </c>
      <c r="G4320" s="4">
        <v>43703</v>
      </c>
      <c r="H4320" s="1">
        <v>6600738</v>
      </c>
      <c r="I4320" s="1">
        <v>672261</v>
      </c>
      <c r="J4320" s="1" t="s">
        <v>191</v>
      </c>
      <c r="K4320" s="29" t="s">
        <v>210</v>
      </c>
      <c r="L4320" s="1" t="str">
        <f t="shared" si="228"/>
        <v>Vallentunasjön Va2</v>
      </c>
      <c r="M4320" s="1" t="s">
        <v>214</v>
      </c>
      <c r="N4320" s="1">
        <v>4</v>
      </c>
      <c r="O4320" s="1">
        <v>4</v>
      </c>
    </row>
    <row r="4321" spans="1:38" x14ac:dyDescent="0.3">
      <c r="A4321" s="1">
        <v>74817</v>
      </c>
      <c r="B4321" s="1" t="s">
        <v>263</v>
      </c>
      <c r="C4321" s="1" t="s">
        <v>209</v>
      </c>
      <c r="D4321" s="2">
        <f t="shared" si="229"/>
        <v>2019</v>
      </c>
      <c r="E4321" s="2">
        <f t="shared" si="230"/>
        <v>8</v>
      </c>
      <c r="G4321" s="4">
        <v>43703</v>
      </c>
      <c r="H4321" s="1">
        <v>6600738</v>
      </c>
      <c r="I4321" s="1">
        <v>672261</v>
      </c>
      <c r="J4321" s="1" t="s">
        <v>191</v>
      </c>
      <c r="K4321" s="29" t="s">
        <v>210</v>
      </c>
      <c r="L4321" s="1" t="str">
        <f t="shared" si="228"/>
        <v>Vallentunasjön Va2</v>
      </c>
      <c r="M4321" s="1" t="s">
        <v>184</v>
      </c>
      <c r="N4321" s="1">
        <v>4.5</v>
      </c>
      <c r="O4321" s="1">
        <v>4.5</v>
      </c>
      <c r="Q4321" s="1">
        <v>19.5</v>
      </c>
      <c r="R4321" s="1">
        <v>10.3</v>
      </c>
      <c r="S4321" s="1">
        <v>111</v>
      </c>
    </row>
    <row r="4322" spans="1:38" x14ac:dyDescent="0.3">
      <c r="A4322" s="1">
        <v>74818</v>
      </c>
      <c r="B4322" s="1" t="s">
        <v>263</v>
      </c>
      <c r="C4322" s="1" t="s">
        <v>209</v>
      </c>
      <c r="D4322" s="2">
        <f t="shared" si="229"/>
        <v>2019</v>
      </c>
      <c r="E4322" s="2">
        <f t="shared" si="230"/>
        <v>8</v>
      </c>
      <c r="G4322" s="4">
        <v>43703</v>
      </c>
      <c r="J4322" s="1" t="s">
        <v>191</v>
      </c>
      <c r="K4322" s="29" t="s">
        <v>206</v>
      </c>
      <c r="L4322" s="1" t="str">
        <f t="shared" si="228"/>
        <v>Vallentunasjön Blandprov</v>
      </c>
      <c r="M4322" s="1" t="s">
        <v>177</v>
      </c>
      <c r="N4322" s="1">
        <v>4</v>
      </c>
      <c r="O4322" s="1">
        <v>0</v>
      </c>
      <c r="W4322" s="1">
        <v>45.213299999999997</v>
      </c>
      <c r="X4322" s="1">
        <v>0.66743604021448499</v>
      </c>
      <c r="Y4322" s="1">
        <v>5.1999999999999998E-2</v>
      </c>
      <c r="Z4322" s="1">
        <v>0.9</v>
      </c>
      <c r="AB4322" s="1">
        <v>50.683500000000002</v>
      </c>
      <c r="AD4322" s="1">
        <v>0.46</v>
      </c>
      <c r="AE4322" s="1">
        <v>8.26</v>
      </c>
      <c r="AG4322" s="1">
        <v>30</v>
      </c>
      <c r="AK4322" s="1">
        <v>59.47</v>
      </c>
      <c r="AL4322" s="1">
        <v>1588.85</v>
      </c>
    </row>
    <row r="4323" spans="1:38" x14ac:dyDescent="0.3">
      <c r="A4323" s="1">
        <v>75186</v>
      </c>
      <c r="B4323" s="1" t="s">
        <v>263</v>
      </c>
      <c r="C4323" s="1" t="s">
        <v>209</v>
      </c>
      <c r="D4323" s="2">
        <f t="shared" si="229"/>
        <v>2019</v>
      </c>
      <c r="E4323" s="2">
        <f t="shared" si="230"/>
        <v>9</v>
      </c>
      <c r="G4323" s="4">
        <v>43712</v>
      </c>
      <c r="H4323" s="1">
        <v>6600738</v>
      </c>
      <c r="I4323" s="1">
        <v>672261</v>
      </c>
      <c r="J4323" s="1" t="s">
        <v>191</v>
      </c>
      <c r="K4323" s="29" t="s">
        <v>210</v>
      </c>
      <c r="L4323" s="1" t="str">
        <f t="shared" si="228"/>
        <v>Vallentunasjön Va2</v>
      </c>
      <c r="M4323" s="1" t="s">
        <v>177</v>
      </c>
      <c r="N4323" s="1">
        <v>0.5</v>
      </c>
      <c r="O4323" s="1">
        <v>0.5</v>
      </c>
      <c r="P4323" s="1">
        <v>0.6</v>
      </c>
      <c r="Q4323" s="1">
        <v>17.100000000000001</v>
      </c>
      <c r="R4323" s="1">
        <v>9.3000000000000007</v>
      </c>
      <c r="S4323" s="1">
        <v>96</v>
      </c>
    </row>
    <row r="4324" spans="1:38" x14ac:dyDescent="0.3">
      <c r="A4324" s="1">
        <v>75187</v>
      </c>
      <c r="B4324" s="1" t="s">
        <v>263</v>
      </c>
      <c r="C4324" s="1" t="s">
        <v>209</v>
      </c>
      <c r="D4324" s="2">
        <f t="shared" si="229"/>
        <v>2019</v>
      </c>
      <c r="E4324" s="2">
        <f t="shared" si="230"/>
        <v>9</v>
      </c>
      <c r="G4324" s="4">
        <v>43712</v>
      </c>
      <c r="H4324" s="1">
        <v>6600738</v>
      </c>
      <c r="I4324" s="1">
        <v>672261</v>
      </c>
      <c r="J4324" s="1" t="s">
        <v>191</v>
      </c>
      <c r="K4324" s="29" t="s">
        <v>210</v>
      </c>
      <c r="L4324" s="1" t="str">
        <f t="shared" si="228"/>
        <v>Vallentunasjön Va2</v>
      </c>
      <c r="M4324" s="1" t="s">
        <v>211</v>
      </c>
      <c r="N4324" s="1">
        <v>1</v>
      </c>
      <c r="O4324" s="1">
        <v>1</v>
      </c>
      <c r="Q4324" s="1">
        <v>17.100000000000001</v>
      </c>
      <c r="R4324" s="1">
        <v>9.3000000000000007</v>
      </c>
      <c r="S4324" s="1">
        <v>96</v>
      </c>
    </row>
    <row r="4325" spans="1:38" x14ac:dyDescent="0.3">
      <c r="A4325" s="1">
        <v>75188</v>
      </c>
      <c r="B4325" s="1" t="s">
        <v>263</v>
      </c>
      <c r="C4325" s="1" t="s">
        <v>209</v>
      </c>
      <c r="D4325" s="2">
        <f t="shared" si="229"/>
        <v>2019</v>
      </c>
      <c r="E4325" s="2">
        <f t="shared" si="230"/>
        <v>9</v>
      </c>
      <c r="G4325" s="4">
        <v>43712</v>
      </c>
      <c r="H4325" s="1">
        <v>6600738</v>
      </c>
      <c r="I4325" s="1">
        <v>672261</v>
      </c>
      <c r="J4325" s="1" t="s">
        <v>191</v>
      </c>
      <c r="K4325" s="29" t="s">
        <v>210</v>
      </c>
      <c r="L4325" s="1" t="str">
        <f t="shared" si="228"/>
        <v>Vallentunasjön Va2</v>
      </c>
      <c r="M4325" s="1" t="s">
        <v>212</v>
      </c>
      <c r="N4325" s="1">
        <v>2</v>
      </c>
      <c r="O4325" s="1">
        <v>2</v>
      </c>
      <c r="Q4325" s="1">
        <v>17.100000000000001</v>
      </c>
      <c r="R4325" s="1">
        <v>9.3000000000000007</v>
      </c>
      <c r="S4325" s="1">
        <v>96</v>
      </c>
    </row>
    <row r="4326" spans="1:38" x14ac:dyDescent="0.3">
      <c r="A4326" s="1">
        <v>75189</v>
      </c>
      <c r="B4326" s="1" t="s">
        <v>263</v>
      </c>
      <c r="C4326" s="1" t="s">
        <v>209</v>
      </c>
      <c r="D4326" s="2">
        <f t="shared" si="229"/>
        <v>2019</v>
      </c>
      <c r="E4326" s="2">
        <f t="shared" si="230"/>
        <v>9</v>
      </c>
      <c r="G4326" s="4">
        <v>43712</v>
      </c>
      <c r="H4326" s="1">
        <v>6600738</v>
      </c>
      <c r="I4326" s="1">
        <v>672261</v>
      </c>
      <c r="J4326" s="1" t="s">
        <v>191</v>
      </c>
      <c r="K4326" s="29" t="s">
        <v>210</v>
      </c>
      <c r="L4326" s="1" t="str">
        <f t="shared" si="228"/>
        <v>Vallentunasjön Va2</v>
      </c>
      <c r="M4326" s="1" t="s">
        <v>213</v>
      </c>
      <c r="N4326" s="1">
        <v>3</v>
      </c>
      <c r="O4326" s="1">
        <v>3</v>
      </c>
      <c r="Q4326" s="1">
        <v>17.100000000000001</v>
      </c>
      <c r="R4326" s="1">
        <v>9.3000000000000007</v>
      </c>
      <c r="S4326" s="1">
        <v>95</v>
      </c>
    </row>
    <row r="4327" spans="1:38" x14ac:dyDescent="0.3">
      <c r="A4327" s="1">
        <v>75190</v>
      </c>
      <c r="B4327" s="1" t="s">
        <v>263</v>
      </c>
      <c r="C4327" s="1" t="s">
        <v>209</v>
      </c>
      <c r="D4327" s="2">
        <f t="shared" si="229"/>
        <v>2019</v>
      </c>
      <c r="E4327" s="2">
        <f t="shared" si="230"/>
        <v>9</v>
      </c>
      <c r="G4327" s="4">
        <v>43712</v>
      </c>
      <c r="H4327" s="1">
        <v>6600738</v>
      </c>
      <c r="I4327" s="1">
        <v>672261</v>
      </c>
      <c r="J4327" s="1" t="s">
        <v>191</v>
      </c>
      <c r="K4327" s="29" t="s">
        <v>210</v>
      </c>
      <c r="L4327" s="1" t="str">
        <f t="shared" si="228"/>
        <v>Vallentunasjön Va2</v>
      </c>
      <c r="M4327" s="1" t="s">
        <v>214</v>
      </c>
      <c r="N4327" s="1">
        <v>4</v>
      </c>
      <c r="O4327" s="1">
        <v>4</v>
      </c>
      <c r="Q4327" s="1">
        <v>17</v>
      </c>
      <c r="R4327" s="1">
        <v>9.1999999999999993</v>
      </c>
      <c r="S4327" s="1">
        <v>95</v>
      </c>
    </row>
    <row r="4328" spans="1:38" x14ac:dyDescent="0.3">
      <c r="A4328" s="1">
        <v>75191</v>
      </c>
      <c r="B4328" s="1" t="s">
        <v>263</v>
      </c>
      <c r="C4328" s="1" t="s">
        <v>209</v>
      </c>
      <c r="D4328" s="2">
        <f t="shared" si="229"/>
        <v>2019</v>
      </c>
      <c r="E4328" s="2">
        <f t="shared" si="230"/>
        <v>9</v>
      </c>
      <c r="G4328" s="4">
        <v>43712</v>
      </c>
      <c r="H4328" s="1">
        <v>6600738</v>
      </c>
      <c r="I4328" s="1">
        <v>672261</v>
      </c>
      <c r="J4328" s="1" t="s">
        <v>191</v>
      </c>
      <c r="K4328" s="29" t="s">
        <v>210</v>
      </c>
      <c r="L4328" s="1" t="str">
        <f t="shared" si="228"/>
        <v>Vallentunasjön Va2</v>
      </c>
      <c r="M4328" s="1" t="s">
        <v>184</v>
      </c>
      <c r="N4328" s="1">
        <v>4.5</v>
      </c>
      <c r="O4328" s="1">
        <v>4.5</v>
      </c>
      <c r="Q4328" s="1">
        <v>17</v>
      </c>
      <c r="R4328" s="1">
        <v>9</v>
      </c>
      <c r="S4328" s="1">
        <v>93</v>
      </c>
    </row>
    <row r="4329" spans="1:38" x14ac:dyDescent="0.3">
      <c r="A4329" s="1">
        <v>75192</v>
      </c>
      <c r="B4329" s="1" t="s">
        <v>263</v>
      </c>
      <c r="C4329" s="1" t="s">
        <v>209</v>
      </c>
      <c r="D4329" s="2">
        <f t="shared" si="229"/>
        <v>2019</v>
      </c>
      <c r="E4329" s="2">
        <f t="shared" si="230"/>
        <v>9</v>
      </c>
      <c r="G4329" s="4">
        <v>43712</v>
      </c>
      <c r="J4329" s="1" t="s">
        <v>191</v>
      </c>
      <c r="K4329" s="29" t="s">
        <v>206</v>
      </c>
      <c r="L4329" s="1" t="str">
        <f t="shared" si="228"/>
        <v>Vallentunasjön Blandprov</v>
      </c>
      <c r="M4329" s="1" t="s">
        <v>177</v>
      </c>
      <c r="N4329" s="1">
        <v>4</v>
      </c>
      <c r="O4329" s="1">
        <v>0</v>
      </c>
      <c r="W4329" s="1">
        <v>7.7595000000000001</v>
      </c>
      <c r="X4329" s="1">
        <v>0.2153826436296338</v>
      </c>
      <c r="Y4329" s="1">
        <v>6.0999999999999999E-2</v>
      </c>
      <c r="Z4329" s="1">
        <v>2.08</v>
      </c>
      <c r="AB4329" s="1">
        <v>87.424199999999999</v>
      </c>
      <c r="AD4329" s="1">
        <v>2.71</v>
      </c>
      <c r="AE4329" s="1">
        <v>8.5399999999999991</v>
      </c>
      <c r="AG4329" s="1">
        <v>33</v>
      </c>
      <c r="AK4329" s="1">
        <v>81</v>
      </c>
      <c r="AL4329" s="1">
        <v>1958.23</v>
      </c>
    </row>
    <row r="4330" spans="1:38" x14ac:dyDescent="0.3">
      <c r="A4330" s="1">
        <v>75203</v>
      </c>
      <c r="B4330" s="1" t="s">
        <v>263</v>
      </c>
      <c r="C4330" s="1" t="s">
        <v>209</v>
      </c>
      <c r="D4330" s="2">
        <f t="shared" si="229"/>
        <v>2019</v>
      </c>
      <c r="E4330" s="2">
        <f t="shared" si="230"/>
        <v>9</v>
      </c>
      <c r="G4330" s="4">
        <v>43723</v>
      </c>
      <c r="H4330" s="1">
        <v>6600738</v>
      </c>
      <c r="I4330" s="1">
        <v>672261</v>
      </c>
      <c r="J4330" s="1" t="s">
        <v>191</v>
      </c>
      <c r="K4330" s="29" t="s">
        <v>210</v>
      </c>
      <c r="L4330" s="1" t="str">
        <f t="shared" si="228"/>
        <v>Vallentunasjön Va2</v>
      </c>
      <c r="M4330" s="1" t="s">
        <v>177</v>
      </c>
      <c r="N4330" s="1">
        <v>0.5</v>
      </c>
      <c r="O4330" s="1">
        <v>0.5</v>
      </c>
      <c r="Q4330" s="1">
        <v>14.9</v>
      </c>
      <c r="R4330" s="1">
        <v>9.6</v>
      </c>
      <c r="S4330" s="1">
        <v>95</v>
      </c>
    </row>
    <row r="4331" spans="1:38" x14ac:dyDescent="0.3">
      <c r="A4331" s="1">
        <v>75204</v>
      </c>
      <c r="B4331" s="1" t="s">
        <v>263</v>
      </c>
      <c r="C4331" s="1" t="s">
        <v>209</v>
      </c>
      <c r="D4331" s="2">
        <f t="shared" si="229"/>
        <v>2019</v>
      </c>
      <c r="E4331" s="2">
        <f t="shared" si="230"/>
        <v>9</v>
      </c>
      <c r="G4331" s="4">
        <v>43723</v>
      </c>
      <c r="H4331" s="1">
        <v>6600738</v>
      </c>
      <c r="I4331" s="1">
        <v>672261</v>
      </c>
      <c r="J4331" s="1" t="s">
        <v>191</v>
      </c>
      <c r="K4331" s="29" t="s">
        <v>210</v>
      </c>
      <c r="L4331" s="1" t="str">
        <f t="shared" si="228"/>
        <v>Vallentunasjön Va2</v>
      </c>
      <c r="M4331" s="1" t="s">
        <v>211</v>
      </c>
      <c r="N4331" s="1">
        <v>1</v>
      </c>
      <c r="O4331" s="1">
        <v>1</v>
      </c>
      <c r="Q4331" s="1">
        <v>14.9</v>
      </c>
      <c r="R4331" s="1">
        <v>9.6</v>
      </c>
      <c r="S4331" s="1">
        <v>95</v>
      </c>
    </row>
    <row r="4332" spans="1:38" x14ac:dyDescent="0.3">
      <c r="A4332" s="1">
        <v>75205</v>
      </c>
      <c r="B4332" s="1" t="s">
        <v>263</v>
      </c>
      <c r="C4332" s="1" t="s">
        <v>209</v>
      </c>
      <c r="D4332" s="2">
        <f t="shared" si="229"/>
        <v>2019</v>
      </c>
      <c r="E4332" s="2">
        <f t="shared" si="230"/>
        <v>9</v>
      </c>
      <c r="G4332" s="4">
        <v>43723</v>
      </c>
      <c r="H4332" s="1">
        <v>6600738</v>
      </c>
      <c r="I4332" s="1">
        <v>672261</v>
      </c>
      <c r="J4332" s="1" t="s">
        <v>191</v>
      </c>
      <c r="K4332" s="29" t="s">
        <v>210</v>
      </c>
      <c r="L4332" s="1" t="str">
        <f t="shared" si="228"/>
        <v>Vallentunasjön Va2</v>
      </c>
      <c r="M4332" s="1" t="s">
        <v>212</v>
      </c>
      <c r="N4332" s="1">
        <v>2</v>
      </c>
      <c r="O4332" s="1">
        <v>2</v>
      </c>
      <c r="Q4332" s="1">
        <v>14.8</v>
      </c>
      <c r="R4332" s="1">
        <v>9.6</v>
      </c>
      <c r="S4332" s="1">
        <v>95</v>
      </c>
    </row>
    <row r="4333" spans="1:38" x14ac:dyDescent="0.3">
      <c r="A4333" s="1">
        <v>75206</v>
      </c>
      <c r="B4333" s="1" t="s">
        <v>263</v>
      </c>
      <c r="C4333" s="1" t="s">
        <v>209</v>
      </c>
      <c r="D4333" s="2">
        <f t="shared" si="229"/>
        <v>2019</v>
      </c>
      <c r="E4333" s="2">
        <f t="shared" si="230"/>
        <v>9</v>
      </c>
      <c r="G4333" s="4">
        <v>43723</v>
      </c>
      <c r="H4333" s="1">
        <v>6600738</v>
      </c>
      <c r="I4333" s="1">
        <v>672261</v>
      </c>
      <c r="J4333" s="1" t="s">
        <v>191</v>
      </c>
      <c r="K4333" s="29" t="s">
        <v>210</v>
      </c>
      <c r="L4333" s="1" t="str">
        <f t="shared" si="228"/>
        <v>Vallentunasjön Va2</v>
      </c>
      <c r="M4333" s="1" t="s">
        <v>213</v>
      </c>
      <c r="N4333" s="1">
        <v>3</v>
      </c>
      <c r="O4333" s="1">
        <v>3</v>
      </c>
      <c r="Q4333" s="1">
        <v>14.9</v>
      </c>
      <c r="R4333" s="1">
        <v>9.6</v>
      </c>
      <c r="S4333" s="1">
        <v>95</v>
      </c>
    </row>
    <row r="4334" spans="1:38" x14ac:dyDescent="0.3">
      <c r="A4334" s="1">
        <v>75207</v>
      </c>
      <c r="B4334" s="1" t="s">
        <v>263</v>
      </c>
      <c r="C4334" s="1" t="s">
        <v>209</v>
      </c>
      <c r="D4334" s="2">
        <f t="shared" si="229"/>
        <v>2019</v>
      </c>
      <c r="E4334" s="2">
        <f t="shared" si="230"/>
        <v>9</v>
      </c>
      <c r="G4334" s="4">
        <v>43723</v>
      </c>
      <c r="H4334" s="1">
        <v>6600738</v>
      </c>
      <c r="I4334" s="1">
        <v>672261</v>
      </c>
      <c r="J4334" s="1" t="s">
        <v>191</v>
      </c>
      <c r="K4334" s="29" t="s">
        <v>210</v>
      </c>
      <c r="L4334" s="1" t="str">
        <f t="shared" si="228"/>
        <v>Vallentunasjön Va2</v>
      </c>
      <c r="M4334" s="1" t="s">
        <v>214</v>
      </c>
      <c r="N4334" s="1">
        <v>4</v>
      </c>
      <c r="O4334" s="1">
        <v>4</v>
      </c>
      <c r="Q4334" s="1">
        <v>14.8</v>
      </c>
      <c r="R4334" s="1">
        <v>9.6</v>
      </c>
      <c r="S4334" s="1">
        <v>95</v>
      </c>
    </row>
    <row r="4335" spans="1:38" x14ac:dyDescent="0.3">
      <c r="A4335" s="1">
        <v>75208</v>
      </c>
      <c r="B4335" s="1" t="s">
        <v>263</v>
      </c>
      <c r="C4335" s="1" t="s">
        <v>209</v>
      </c>
      <c r="D4335" s="2">
        <f t="shared" si="229"/>
        <v>2019</v>
      </c>
      <c r="E4335" s="2">
        <f t="shared" si="230"/>
        <v>9</v>
      </c>
      <c r="G4335" s="4">
        <v>43723</v>
      </c>
      <c r="H4335" s="1">
        <v>6600738</v>
      </c>
      <c r="I4335" s="1">
        <v>672261</v>
      </c>
      <c r="J4335" s="1" t="s">
        <v>191</v>
      </c>
      <c r="K4335" s="29" t="s">
        <v>210</v>
      </c>
      <c r="L4335" s="1" t="str">
        <f t="shared" si="228"/>
        <v>Vallentunasjön Va2</v>
      </c>
      <c r="M4335" s="1" t="s">
        <v>184</v>
      </c>
      <c r="N4335" s="1">
        <v>4.5</v>
      </c>
      <c r="O4335" s="1">
        <v>4.5</v>
      </c>
      <c r="Q4335" s="1">
        <v>14.8</v>
      </c>
      <c r="R4335" s="1">
        <v>9.6</v>
      </c>
      <c r="S4335" s="1">
        <v>95</v>
      </c>
    </row>
    <row r="4336" spans="1:38" x14ac:dyDescent="0.3">
      <c r="A4336" s="1">
        <v>75209</v>
      </c>
      <c r="B4336" s="1" t="s">
        <v>263</v>
      </c>
      <c r="C4336" s="1" t="s">
        <v>209</v>
      </c>
      <c r="D4336" s="2">
        <f t="shared" si="229"/>
        <v>2019</v>
      </c>
      <c r="E4336" s="2">
        <f t="shared" si="230"/>
        <v>9</v>
      </c>
      <c r="G4336" s="4">
        <v>43723</v>
      </c>
      <c r="J4336" s="1" t="s">
        <v>191</v>
      </c>
      <c r="K4336" s="29" t="s">
        <v>206</v>
      </c>
      <c r="L4336" s="1" t="str">
        <f t="shared" si="228"/>
        <v>Vallentunasjön Blandprov</v>
      </c>
      <c r="M4336" s="1" t="s">
        <v>177</v>
      </c>
      <c r="N4336" s="1">
        <v>4</v>
      </c>
      <c r="O4336" s="1">
        <v>0</v>
      </c>
      <c r="W4336" s="1">
        <v>10.709899999999999</v>
      </c>
      <c r="X4336" s="1">
        <v>0.26575125011753858</v>
      </c>
      <c r="Y4336" s="1">
        <v>0.04</v>
      </c>
      <c r="Z4336" s="1">
        <v>4.26</v>
      </c>
      <c r="AB4336" s="1">
        <v>95.874300000000005</v>
      </c>
      <c r="AD4336" s="1">
        <v>4.59</v>
      </c>
      <c r="AE4336" s="1">
        <v>8.49</v>
      </c>
      <c r="AG4336" s="1">
        <v>42</v>
      </c>
      <c r="AK4336" s="1">
        <v>88.74</v>
      </c>
      <c r="AL4336" s="1">
        <v>2173.5300000000002</v>
      </c>
    </row>
    <row r="4337" spans="1:38" x14ac:dyDescent="0.3">
      <c r="A4337" s="1">
        <v>75442</v>
      </c>
      <c r="B4337" s="1" t="s">
        <v>263</v>
      </c>
      <c r="C4337" s="1" t="s">
        <v>209</v>
      </c>
      <c r="D4337" s="2">
        <f t="shared" si="229"/>
        <v>2019</v>
      </c>
      <c r="E4337" s="2">
        <f t="shared" si="230"/>
        <v>10</v>
      </c>
      <c r="G4337" s="4">
        <v>43746</v>
      </c>
      <c r="H4337" s="1">
        <v>6600738</v>
      </c>
      <c r="I4337" s="1">
        <v>672261</v>
      </c>
      <c r="J4337" s="1" t="s">
        <v>191</v>
      </c>
      <c r="K4337" s="29" t="s">
        <v>210</v>
      </c>
      <c r="L4337" s="1" t="str">
        <f t="shared" si="228"/>
        <v>Vallentunasjön Va2</v>
      </c>
      <c r="M4337" s="1" t="s">
        <v>177</v>
      </c>
      <c r="N4337" s="1">
        <v>0.5</v>
      </c>
      <c r="O4337" s="1">
        <v>0.5</v>
      </c>
      <c r="P4337" s="1">
        <v>0.6</v>
      </c>
      <c r="Q4337" s="1">
        <v>7.7</v>
      </c>
      <c r="R4337" s="1">
        <v>11.2</v>
      </c>
      <c r="S4337" s="1">
        <v>94</v>
      </c>
    </row>
    <row r="4338" spans="1:38" x14ac:dyDescent="0.3">
      <c r="A4338" s="1">
        <v>75443</v>
      </c>
      <c r="B4338" s="1" t="s">
        <v>263</v>
      </c>
      <c r="C4338" s="1" t="s">
        <v>209</v>
      </c>
      <c r="D4338" s="2">
        <f t="shared" si="229"/>
        <v>2019</v>
      </c>
      <c r="E4338" s="2">
        <f t="shared" si="230"/>
        <v>10</v>
      </c>
      <c r="G4338" s="4">
        <v>43746</v>
      </c>
      <c r="H4338" s="1">
        <v>6600738</v>
      </c>
      <c r="I4338" s="1">
        <v>672261</v>
      </c>
      <c r="J4338" s="1" t="s">
        <v>191</v>
      </c>
      <c r="K4338" s="29" t="s">
        <v>210</v>
      </c>
      <c r="L4338" s="1" t="str">
        <f t="shared" si="228"/>
        <v>Vallentunasjön Va2</v>
      </c>
      <c r="M4338" s="1" t="s">
        <v>211</v>
      </c>
      <c r="N4338" s="1">
        <v>1</v>
      </c>
      <c r="O4338" s="1">
        <v>1</v>
      </c>
      <c r="Q4338" s="1">
        <v>7.7</v>
      </c>
      <c r="R4338" s="1">
        <v>11.1</v>
      </c>
      <c r="S4338" s="1">
        <v>94</v>
      </c>
    </row>
    <row r="4339" spans="1:38" x14ac:dyDescent="0.3">
      <c r="A4339" s="1">
        <v>75444</v>
      </c>
      <c r="B4339" s="1" t="s">
        <v>263</v>
      </c>
      <c r="C4339" s="1" t="s">
        <v>209</v>
      </c>
      <c r="D4339" s="2">
        <f t="shared" si="229"/>
        <v>2019</v>
      </c>
      <c r="E4339" s="2">
        <f t="shared" si="230"/>
        <v>10</v>
      </c>
      <c r="G4339" s="4">
        <v>43746</v>
      </c>
      <c r="H4339" s="1">
        <v>6600738</v>
      </c>
      <c r="I4339" s="1">
        <v>672261</v>
      </c>
      <c r="J4339" s="1" t="s">
        <v>191</v>
      </c>
      <c r="K4339" s="29" t="s">
        <v>210</v>
      </c>
      <c r="L4339" s="1" t="str">
        <f t="shared" si="228"/>
        <v>Vallentunasjön Va2</v>
      </c>
      <c r="M4339" s="1" t="s">
        <v>212</v>
      </c>
      <c r="N4339" s="1">
        <v>2</v>
      </c>
      <c r="O4339" s="1">
        <v>2</v>
      </c>
      <c r="Q4339" s="1">
        <v>7.7</v>
      </c>
      <c r="R4339" s="1">
        <v>10.9</v>
      </c>
      <c r="S4339" s="1">
        <v>92</v>
      </c>
    </row>
    <row r="4340" spans="1:38" x14ac:dyDescent="0.3">
      <c r="A4340" s="1">
        <v>75445</v>
      </c>
      <c r="B4340" s="1" t="s">
        <v>263</v>
      </c>
      <c r="C4340" s="1" t="s">
        <v>209</v>
      </c>
      <c r="D4340" s="2">
        <f t="shared" si="229"/>
        <v>2019</v>
      </c>
      <c r="E4340" s="2">
        <f t="shared" si="230"/>
        <v>10</v>
      </c>
      <c r="G4340" s="4">
        <v>43746</v>
      </c>
      <c r="H4340" s="1">
        <v>6600738</v>
      </c>
      <c r="I4340" s="1">
        <v>672261</v>
      </c>
      <c r="J4340" s="1" t="s">
        <v>191</v>
      </c>
      <c r="K4340" s="29" t="s">
        <v>210</v>
      </c>
      <c r="L4340" s="1" t="str">
        <f t="shared" si="228"/>
        <v>Vallentunasjön Va2</v>
      </c>
      <c r="M4340" s="1" t="s">
        <v>213</v>
      </c>
      <c r="N4340" s="1">
        <v>3</v>
      </c>
      <c r="O4340" s="1">
        <v>3</v>
      </c>
      <c r="Q4340" s="1">
        <v>7.6</v>
      </c>
      <c r="R4340" s="1">
        <v>10.8</v>
      </c>
      <c r="S4340" s="1">
        <v>91</v>
      </c>
    </row>
    <row r="4341" spans="1:38" x14ac:dyDescent="0.3">
      <c r="A4341" s="1">
        <v>75446</v>
      </c>
      <c r="B4341" s="1" t="s">
        <v>263</v>
      </c>
      <c r="C4341" s="1" t="s">
        <v>209</v>
      </c>
      <c r="D4341" s="2">
        <f t="shared" si="229"/>
        <v>2019</v>
      </c>
      <c r="E4341" s="2">
        <f t="shared" si="230"/>
        <v>10</v>
      </c>
      <c r="G4341" s="4">
        <v>43746</v>
      </c>
      <c r="H4341" s="1">
        <v>6600738</v>
      </c>
      <c r="I4341" s="1">
        <v>672261</v>
      </c>
      <c r="J4341" s="1" t="s">
        <v>191</v>
      </c>
      <c r="K4341" s="29" t="s">
        <v>210</v>
      </c>
      <c r="L4341" s="1" t="str">
        <f t="shared" si="228"/>
        <v>Vallentunasjön Va2</v>
      </c>
      <c r="M4341" s="1" t="s">
        <v>214</v>
      </c>
      <c r="N4341" s="1">
        <v>4</v>
      </c>
      <c r="O4341" s="1">
        <v>4</v>
      </c>
      <c r="Q4341" s="1">
        <v>7.6</v>
      </c>
      <c r="R4341" s="1">
        <v>10.8</v>
      </c>
      <c r="S4341" s="1">
        <v>91</v>
      </c>
    </row>
    <row r="4342" spans="1:38" x14ac:dyDescent="0.3">
      <c r="A4342" s="1">
        <v>75447</v>
      </c>
      <c r="B4342" s="1" t="s">
        <v>263</v>
      </c>
      <c r="C4342" s="1" t="s">
        <v>209</v>
      </c>
      <c r="D4342" s="2">
        <f t="shared" si="229"/>
        <v>2019</v>
      </c>
      <c r="E4342" s="2">
        <f t="shared" si="230"/>
        <v>10</v>
      </c>
      <c r="G4342" s="4">
        <v>43746</v>
      </c>
      <c r="H4342" s="1">
        <v>6600738</v>
      </c>
      <c r="I4342" s="1">
        <v>672261</v>
      </c>
      <c r="J4342" s="1" t="s">
        <v>191</v>
      </c>
      <c r="K4342" s="29" t="s">
        <v>210</v>
      </c>
      <c r="L4342" s="1" t="str">
        <f t="shared" si="228"/>
        <v>Vallentunasjön Va2</v>
      </c>
      <c r="M4342" s="1" t="s">
        <v>184</v>
      </c>
      <c r="N4342" s="1">
        <v>4.5</v>
      </c>
      <c r="O4342" s="1">
        <v>4.5</v>
      </c>
    </row>
    <row r="4343" spans="1:38" x14ac:dyDescent="0.3">
      <c r="A4343" s="1">
        <v>75448</v>
      </c>
      <c r="B4343" s="1" t="s">
        <v>263</v>
      </c>
      <c r="C4343" s="1" t="s">
        <v>209</v>
      </c>
      <c r="D4343" s="2">
        <f t="shared" si="229"/>
        <v>2019</v>
      </c>
      <c r="E4343" s="2">
        <f t="shared" si="230"/>
        <v>10</v>
      </c>
      <c r="G4343" s="4">
        <v>43746</v>
      </c>
      <c r="J4343" s="1" t="s">
        <v>191</v>
      </c>
      <c r="K4343" s="29" t="s">
        <v>206</v>
      </c>
      <c r="L4343" s="1" t="str">
        <f t="shared" si="228"/>
        <v>Vallentunasjön Blandprov</v>
      </c>
      <c r="M4343" s="1" t="s">
        <v>177</v>
      </c>
      <c r="N4343" s="1">
        <v>4</v>
      </c>
      <c r="O4343" s="1">
        <v>0</v>
      </c>
      <c r="W4343" s="1">
        <v>86.391400000000004</v>
      </c>
      <c r="X4343" s="1">
        <v>1.1128637723374823</v>
      </c>
      <c r="Y4343" s="1">
        <v>3.7999999999999999E-2</v>
      </c>
      <c r="Z4343" s="1">
        <v>0</v>
      </c>
      <c r="AB4343" s="1">
        <v>67.176360000000003</v>
      </c>
      <c r="AD4343" s="1">
        <v>2.3199999999999998</v>
      </c>
      <c r="AE4343" s="1">
        <v>8.1999999999999993</v>
      </c>
      <c r="AG4343" s="1">
        <v>22</v>
      </c>
      <c r="AK4343" s="1">
        <v>67.14</v>
      </c>
      <c r="AL4343" s="1">
        <v>1781.15</v>
      </c>
    </row>
    <row r="4344" spans="1:38" x14ac:dyDescent="0.3">
      <c r="A4344" s="1">
        <v>75880</v>
      </c>
      <c r="B4344" s="1" t="s">
        <v>263</v>
      </c>
      <c r="C4344" s="1" t="s">
        <v>209</v>
      </c>
      <c r="D4344" s="2">
        <f t="shared" si="229"/>
        <v>2019</v>
      </c>
      <c r="E4344" s="2">
        <f t="shared" si="230"/>
        <v>10</v>
      </c>
      <c r="G4344" s="4">
        <v>43760</v>
      </c>
      <c r="H4344" s="1">
        <v>6600738</v>
      </c>
      <c r="I4344" s="1">
        <v>672261</v>
      </c>
      <c r="J4344" s="1" t="s">
        <v>191</v>
      </c>
      <c r="K4344" s="29" t="s">
        <v>210</v>
      </c>
      <c r="L4344" s="1" t="str">
        <f t="shared" si="228"/>
        <v>Vallentunasjön Va2</v>
      </c>
      <c r="M4344" s="1" t="s">
        <v>177</v>
      </c>
      <c r="N4344" s="1">
        <v>0.5</v>
      </c>
      <c r="O4344" s="1">
        <v>0.5</v>
      </c>
      <c r="P4344" s="1">
        <v>0.9</v>
      </c>
      <c r="Q4344" s="1">
        <v>9</v>
      </c>
      <c r="R4344" s="1">
        <v>10.5</v>
      </c>
      <c r="S4344" s="1">
        <v>91</v>
      </c>
    </row>
    <row r="4345" spans="1:38" x14ac:dyDescent="0.3">
      <c r="A4345" s="1">
        <v>75881</v>
      </c>
      <c r="B4345" s="1" t="s">
        <v>263</v>
      </c>
      <c r="C4345" s="1" t="s">
        <v>209</v>
      </c>
      <c r="D4345" s="2">
        <f t="shared" si="229"/>
        <v>2019</v>
      </c>
      <c r="E4345" s="2">
        <f t="shared" si="230"/>
        <v>10</v>
      </c>
      <c r="G4345" s="4">
        <v>43760</v>
      </c>
      <c r="H4345" s="1">
        <v>6600738</v>
      </c>
      <c r="I4345" s="1">
        <v>672261</v>
      </c>
      <c r="J4345" s="1" t="s">
        <v>191</v>
      </c>
      <c r="K4345" s="29" t="s">
        <v>210</v>
      </c>
      <c r="L4345" s="1" t="str">
        <f t="shared" si="228"/>
        <v>Vallentunasjön Va2</v>
      </c>
      <c r="M4345" s="1" t="s">
        <v>211</v>
      </c>
      <c r="N4345" s="1">
        <v>1</v>
      </c>
      <c r="O4345" s="1">
        <v>1</v>
      </c>
      <c r="Q4345" s="1">
        <v>9</v>
      </c>
      <c r="R4345" s="1">
        <v>10.4</v>
      </c>
      <c r="S4345" s="1">
        <v>90</v>
      </c>
    </row>
    <row r="4346" spans="1:38" x14ac:dyDescent="0.3">
      <c r="A4346" s="1">
        <v>75882</v>
      </c>
      <c r="B4346" s="1" t="s">
        <v>263</v>
      </c>
      <c r="C4346" s="1" t="s">
        <v>209</v>
      </c>
      <c r="D4346" s="2">
        <f t="shared" si="229"/>
        <v>2019</v>
      </c>
      <c r="E4346" s="2">
        <f t="shared" si="230"/>
        <v>10</v>
      </c>
      <c r="G4346" s="4">
        <v>43760</v>
      </c>
      <c r="H4346" s="1">
        <v>6600738</v>
      </c>
      <c r="I4346" s="1">
        <v>672261</v>
      </c>
      <c r="J4346" s="1" t="s">
        <v>191</v>
      </c>
      <c r="K4346" s="29" t="s">
        <v>210</v>
      </c>
      <c r="L4346" s="1" t="str">
        <f t="shared" si="228"/>
        <v>Vallentunasjön Va2</v>
      </c>
      <c r="M4346" s="1" t="s">
        <v>212</v>
      </c>
      <c r="N4346" s="1">
        <v>2</v>
      </c>
      <c r="O4346" s="1">
        <v>2</v>
      </c>
      <c r="Q4346" s="1">
        <v>9</v>
      </c>
      <c r="R4346" s="1">
        <v>10.4</v>
      </c>
      <c r="S4346" s="1">
        <v>90</v>
      </c>
    </row>
    <row r="4347" spans="1:38" x14ac:dyDescent="0.3">
      <c r="A4347" s="1">
        <v>75883</v>
      </c>
      <c r="B4347" s="1" t="s">
        <v>263</v>
      </c>
      <c r="C4347" s="1" t="s">
        <v>209</v>
      </c>
      <c r="D4347" s="2">
        <f t="shared" si="229"/>
        <v>2019</v>
      </c>
      <c r="E4347" s="2">
        <f t="shared" si="230"/>
        <v>10</v>
      </c>
      <c r="G4347" s="4">
        <v>43760</v>
      </c>
      <c r="H4347" s="1">
        <v>6600738</v>
      </c>
      <c r="I4347" s="1">
        <v>672261</v>
      </c>
      <c r="J4347" s="1" t="s">
        <v>191</v>
      </c>
      <c r="K4347" s="29" t="s">
        <v>210</v>
      </c>
      <c r="L4347" s="1" t="str">
        <f t="shared" si="228"/>
        <v>Vallentunasjön Va2</v>
      </c>
      <c r="M4347" s="1" t="s">
        <v>213</v>
      </c>
      <c r="N4347" s="1">
        <v>3</v>
      </c>
      <c r="O4347" s="1">
        <v>3</v>
      </c>
      <c r="Q4347" s="1">
        <v>9</v>
      </c>
      <c r="R4347" s="1">
        <v>10.4</v>
      </c>
      <c r="S4347" s="1">
        <v>90</v>
      </c>
    </row>
    <row r="4348" spans="1:38" x14ac:dyDescent="0.3">
      <c r="A4348" s="1">
        <v>75884</v>
      </c>
      <c r="B4348" s="1" t="s">
        <v>263</v>
      </c>
      <c r="C4348" s="1" t="s">
        <v>209</v>
      </c>
      <c r="D4348" s="2">
        <f t="shared" si="229"/>
        <v>2019</v>
      </c>
      <c r="E4348" s="2">
        <f t="shared" si="230"/>
        <v>10</v>
      </c>
      <c r="G4348" s="4">
        <v>43760</v>
      </c>
      <c r="H4348" s="1">
        <v>6600738</v>
      </c>
      <c r="I4348" s="1">
        <v>672261</v>
      </c>
      <c r="J4348" s="1" t="s">
        <v>191</v>
      </c>
      <c r="K4348" s="29" t="s">
        <v>210</v>
      </c>
      <c r="L4348" s="1" t="str">
        <f t="shared" si="228"/>
        <v>Vallentunasjön Va2</v>
      </c>
      <c r="M4348" s="1" t="s">
        <v>214</v>
      </c>
      <c r="N4348" s="1">
        <v>4</v>
      </c>
      <c r="O4348" s="1">
        <v>4</v>
      </c>
      <c r="Q4348" s="1">
        <v>9</v>
      </c>
      <c r="R4348" s="1">
        <v>10.4</v>
      </c>
      <c r="S4348" s="1">
        <v>90</v>
      </c>
    </row>
    <row r="4349" spans="1:38" x14ac:dyDescent="0.3">
      <c r="A4349" s="1">
        <v>75885</v>
      </c>
      <c r="B4349" s="1" t="s">
        <v>263</v>
      </c>
      <c r="C4349" s="1" t="s">
        <v>209</v>
      </c>
      <c r="D4349" s="2">
        <f t="shared" si="229"/>
        <v>2019</v>
      </c>
      <c r="E4349" s="2">
        <f t="shared" si="230"/>
        <v>10</v>
      </c>
      <c r="G4349" s="4">
        <v>43760</v>
      </c>
      <c r="H4349" s="1">
        <v>6600738</v>
      </c>
      <c r="I4349" s="1">
        <v>672261</v>
      </c>
      <c r="J4349" s="1" t="s">
        <v>191</v>
      </c>
      <c r="K4349" s="29" t="s">
        <v>210</v>
      </c>
      <c r="L4349" s="1" t="str">
        <f t="shared" si="228"/>
        <v>Vallentunasjön Va2</v>
      </c>
      <c r="M4349" s="1" t="s">
        <v>184</v>
      </c>
      <c r="N4349" s="1">
        <v>4.5</v>
      </c>
      <c r="O4349" s="1">
        <v>4.5</v>
      </c>
      <c r="Q4349" s="1">
        <v>9</v>
      </c>
      <c r="R4349" s="1">
        <v>10.4</v>
      </c>
      <c r="S4349" s="1">
        <v>90</v>
      </c>
    </row>
    <row r="4350" spans="1:38" x14ac:dyDescent="0.3">
      <c r="A4350" s="1">
        <v>75886</v>
      </c>
      <c r="B4350" s="1" t="s">
        <v>263</v>
      </c>
      <c r="C4350" s="1" t="s">
        <v>209</v>
      </c>
      <c r="D4350" s="2">
        <f t="shared" si="229"/>
        <v>2019</v>
      </c>
      <c r="E4350" s="2">
        <f t="shared" si="230"/>
        <v>10</v>
      </c>
      <c r="G4350" s="4">
        <v>43760</v>
      </c>
      <c r="J4350" s="1" t="s">
        <v>191</v>
      </c>
      <c r="K4350" s="29" t="s">
        <v>206</v>
      </c>
      <c r="L4350" s="1" t="str">
        <f t="shared" ref="L4350:L4413" si="231">CONCATENATE(J4350," ",K4350)</f>
        <v>Vallentunasjön Blandprov</v>
      </c>
      <c r="M4350" s="1" t="s">
        <v>177</v>
      </c>
      <c r="N4350" s="1">
        <v>4</v>
      </c>
      <c r="O4350" s="1">
        <v>0</v>
      </c>
      <c r="W4350" s="1">
        <v>178.39529999999999</v>
      </c>
      <c r="X4350" s="1">
        <v>2.0982026417089727</v>
      </c>
      <c r="Y4350" s="1">
        <v>3.5000000000000003E-2</v>
      </c>
      <c r="Z4350" s="1">
        <v>4.1100000000000003</v>
      </c>
      <c r="AB4350" s="1">
        <v>62.494199999999999</v>
      </c>
      <c r="AD4350" s="1">
        <v>12.53</v>
      </c>
      <c r="AE4350" s="1">
        <v>8.16</v>
      </c>
      <c r="AG4350" s="1">
        <v>19.259259259</v>
      </c>
      <c r="AK4350" s="1">
        <v>63.72</v>
      </c>
      <c r="AL4350" s="1">
        <v>1650.67</v>
      </c>
    </row>
    <row r="4351" spans="1:38" x14ac:dyDescent="0.3">
      <c r="A4351" s="1">
        <v>76118</v>
      </c>
      <c r="B4351" s="1" t="s">
        <v>263</v>
      </c>
      <c r="C4351" s="1" t="s">
        <v>209</v>
      </c>
      <c r="D4351" s="2">
        <f t="shared" si="229"/>
        <v>2019</v>
      </c>
      <c r="E4351" s="2">
        <f t="shared" si="230"/>
        <v>11</v>
      </c>
      <c r="G4351" s="4">
        <v>43773</v>
      </c>
      <c r="H4351" s="1">
        <v>6600738</v>
      </c>
      <c r="I4351" s="1">
        <v>672261</v>
      </c>
      <c r="J4351" s="1" t="s">
        <v>191</v>
      </c>
      <c r="K4351" s="29" t="s">
        <v>210</v>
      </c>
      <c r="L4351" s="1" t="str">
        <f t="shared" si="231"/>
        <v>Vallentunasjön Va2</v>
      </c>
      <c r="M4351" s="1" t="s">
        <v>177</v>
      </c>
      <c r="N4351" s="1">
        <v>0.5</v>
      </c>
      <c r="O4351" s="1">
        <v>0.5</v>
      </c>
      <c r="P4351" s="1">
        <v>1</v>
      </c>
      <c r="Q4351" s="1">
        <v>4.5999999999999996</v>
      </c>
      <c r="R4351" s="1">
        <v>11.3</v>
      </c>
      <c r="S4351" s="1">
        <v>88</v>
      </c>
    </row>
    <row r="4352" spans="1:38" x14ac:dyDescent="0.3">
      <c r="A4352" s="1">
        <v>76119</v>
      </c>
      <c r="B4352" s="1" t="s">
        <v>263</v>
      </c>
      <c r="C4352" s="1" t="s">
        <v>209</v>
      </c>
      <c r="D4352" s="2">
        <f t="shared" si="229"/>
        <v>2019</v>
      </c>
      <c r="E4352" s="2">
        <f t="shared" si="230"/>
        <v>11</v>
      </c>
      <c r="G4352" s="4">
        <v>43773</v>
      </c>
      <c r="H4352" s="1">
        <v>6600738</v>
      </c>
      <c r="I4352" s="1">
        <v>672261</v>
      </c>
      <c r="J4352" s="1" t="s">
        <v>191</v>
      </c>
      <c r="K4352" s="29" t="s">
        <v>210</v>
      </c>
      <c r="L4352" s="1" t="str">
        <f t="shared" si="231"/>
        <v>Vallentunasjön Va2</v>
      </c>
      <c r="M4352" s="1" t="s">
        <v>211</v>
      </c>
      <c r="N4352" s="1">
        <v>1</v>
      </c>
      <c r="O4352" s="1">
        <v>1</v>
      </c>
      <c r="Q4352" s="1">
        <v>4.5999999999999996</v>
      </c>
      <c r="R4352" s="1">
        <v>11.3</v>
      </c>
      <c r="S4352" s="1">
        <v>88</v>
      </c>
    </row>
    <row r="4353" spans="1:38" x14ac:dyDescent="0.3">
      <c r="A4353" s="1">
        <v>76120</v>
      </c>
      <c r="B4353" s="1" t="s">
        <v>263</v>
      </c>
      <c r="C4353" s="1" t="s">
        <v>209</v>
      </c>
      <c r="D4353" s="2">
        <f t="shared" si="229"/>
        <v>2019</v>
      </c>
      <c r="E4353" s="2">
        <f t="shared" si="230"/>
        <v>11</v>
      </c>
      <c r="G4353" s="4">
        <v>43773</v>
      </c>
      <c r="H4353" s="1">
        <v>6600738</v>
      </c>
      <c r="I4353" s="1">
        <v>672261</v>
      </c>
      <c r="J4353" s="1" t="s">
        <v>191</v>
      </c>
      <c r="K4353" s="29" t="s">
        <v>210</v>
      </c>
      <c r="L4353" s="1" t="str">
        <f t="shared" si="231"/>
        <v>Vallentunasjön Va2</v>
      </c>
      <c r="M4353" s="1" t="s">
        <v>212</v>
      </c>
      <c r="N4353" s="1">
        <v>2</v>
      </c>
      <c r="O4353" s="1">
        <v>2</v>
      </c>
      <c r="Q4353" s="1">
        <v>4.5999999999999996</v>
      </c>
      <c r="R4353" s="1">
        <v>11.3</v>
      </c>
      <c r="S4353" s="1">
        <v>88</v>
      </c>
    </row>
    <row r="4354" spans="1:38" x14ac:dyDescent="0.3">
      <c r="A4354" s="1">
        <v>76121</v>
      </c>
      <c r="B4354" s="1" t="s">
        <v>263</v>
      </c>
      <c r="C4354" s="1" t="s">
        <v>209</v>
      </c>
      <c r="D4354" s="2">
        <f t="shared" si="229"/>
        <v>2019</v>
      </c>
      <c r="E4354" s="2">
        <f t="shared" si="230"/>
        <v>11</v>
      </c>
      <c r="G4354" s="4">
        <v>43773</v>
      </c>
      <c r="H4354" s="1">
        <v>6600738</v>
      </c>
      <c r="I4354" s="1">
        <v>672261</v>
      </c>
      <c r="J4354" s="1" t="s">
        <v>191</v>
      </c>
      <c r="K4354" s="29" t="s">
        <v>210</v>
      </c>
      <c r="L4354" s="1" t="str">
        <f t="shared" si="231"/>
        <v>Vallentunasjön Va2</v>
      </c>
      <c r="M4354" s="1" t="s">
        <v>213</v>
      </c>
      <c r="N4354" s="1">
        <v>3</v>
      </c>
      <c r="O4354" s="1">
        <v>3</v>
      </c>
      <c r="Q4354" s="1">
        <v>4.5999999999999996</v>
      </c>
      <c r="R4354" s="1">
        <v>11.4</v>
      </c>
      <c r="S4354" s="1">
        <v>88</v>
      </c>
    </row>
    <row r="4355" spans="1:38" x14ac:dyDescent="0.3">
      <c r="A4355" s="1">
        <v>76122</v>
      </c>
      <c r="B4355" s="1" t="s">
        <v>263</v>
      </c>
      <c r="C4355" s="1" t="s">
        <v>209</v>
      </c>
      <c r="D4355" s="2">
        <f t="shared" si="229"/>
        <v>2019</v>
      </c>
      <c r="E4355" s="2">
        <f t="shared" si="230"/>
        <v>11</v>
      </c>
      <c r="G4355" s="4">
        <v>43773</v>
      </c>
      <c r="H4355" s="1">
        <v>6600738</v>
      </c>
      <c r="I4355" s="1">
        <v>672261</v>
      </c>
      <c r="J4355" s="1" t="s">
        <v>191</v>
      </c>
      <c r="K4355" s="29" t="s">
        <v>210</v>
      </c>
      <c r="L4355" s="1" t="str">
        <f t="shared" si="231"/>
        <v>Vallentunasjön Va2</v>
      </c>
      <c r="M4355" s="1" t="s">
        <v>214</v>
      </c>
      <c r="N4355" s="1">
        <v>4</v>
      </c>
      <c r="O4355" s="1">
        <v>4</v>
      </c>
      <c r="Q4355" s="1">
        <v>4.5999999999999996</v>
      </c>
      <c r="R4355" s="1">
        <v>11.4</v>
      </c>
      <c r="S4355" s="1">
        <v>88</v>
      </c>
    </row>
    <row r="4356" spans="1:38" x14ac:dyDescent="0.3">
      <c r="A4356" s="1">
        <v>76123</v>
      </c>
      <c r="B4356" s="1" t="s">
        <v>263</v>
      </c>
      <c r="C4356" s="1" t="s">
        <v>209</v>
      </c>
      <c r="D4356" s="2">
        <f t="shared" si="229"/>
        <v>2019</v>
      </c>
      <c r="E4356" s="2">
        <f t="shared" si="230"/>
        <v>11</v>
      </c>
      <c r="G4356" s="4">
        <v>43773</v>
      </c>
      <c r="H4356" s="1">
        <v>6600738</v>
      </c>
      <c r="I4356" s="1">
        <v>672261</v>
      </c>
      <c r="J4356" s="1" t="s">
        <v>191</v>
      </c>
      <c r="K4356" s="29" t="s">
        <v>210</v>
      </c>
      <c r="L4356" s="1" t="str">
        <f t="shared" si="231"/>
        <v>Vallentunasjön Va2</v>
      </c>
      <c r="M4356" s="1" t="s">
        <v>184</v>
      </c>
      <c r="N4356" s="1">
        <v>4.5</v>
      </c>
      <c r="O4356" s="1">
        <v>4.5</v>
      </c>
    </row>
    <row r="4357" spans="1:38" x14ac:dyDescent="0.3">
      <c r="A4357" s="1">
        <v>76124</v>
      </c>
      <c r="B4357" s="1" t="s">
        <v>263</v>
      </c>
      <c r="C4357" s="1" t="s">
        <v>209</v>
      </c>
      <c r="D4357" s="2">
        <f t="shared" si="229"/>
        <v>2019</v>
      </c>
      <c r="E4357" s="2">
        <f t="shared" si="230"/>
        <v>11</v>
      </c>
      <c r="G4357" s="4">
        <v>43773</v>
      </c>
      <c r="J4357" s="1" t="s">
        <v>191</v>
      </c>
      <c r="K4357" s="29" t="s">
        <v>206</v>
      </c>
      <c r="L4357" s="1" t="str">
        <f t="shared" si="231"/>
        <v>Vallentunasjön Blandprov</v>
      </c>
      <c r="M4357" s="1" t="s">
        <v>177</v>
      </c>
      <c r="N4357" s="1">
        <v>4</v>
      </c>
      <c r="O4357" s="1">
        <v>0</v>
      </c>
      <c r="W4357" s="1">
        <v>240.304</v>
      </c>
      <c r="X4357" s="1">
        <v>3.1666655787607345</v>
      </c>
      <c r="Y4357" s="1">
        <v>0.05</v>
      </c>
      <c r="Z4357" s="1">
        <v>0</v>
      </c>
      <c r="AB4357" s="1">
        <v>51.8553</v>
      </c>
      <c r="AD4357" s="1">
        <v>27.18</v>
      </c>
      <c r="AE4357" s="1">
        <v>8.2100000000000009</v>
      </c>
      <c r="AG4357" s="1">
        <v>17.333333332999999</v>
      </c>
      <c r="AK4357" s="1">
        <v>57.36</v>
      </c>
      <c r="AL4357" s="1">
        <v>1217.48</v>
      </c>
    </row>
    <row r="4358" spans="1:38" x14ac:dyDescent="0.3">
      <c r="A4358" s="1">
        <v>76327</v>
      </c>
      <c r="B4358" s="1" t="s">
        <v>263</v>
      </c>
      <c r="C4358" s="1" t="s">
        <v>209</v>
      </c>
      <c r="D4358" s="2">
        <f t="shared" ref="D4358:D4382" si="232">YEAR(G4358)</f>
        <v>2019</v>
      </c>
      <c r="E4358" s="2">
        <f t="shared" ref="E4358:E4382" si="233">MONTH(G4358)</f>
        <v>11</v>
      </c>
      <c r="G4358" s="4">
        <v>43787</v>
      </c>
      <c r="H4358" s="1">
        <v>6600738</v>
      </c>
      <c r="I4358" s="1">
        <v>672261</v>
      </c>
      <c r="J4358" s="1" t="s">
        <v>191</v>
      </c>
      <c r="K4358" s="29" t="s">
        <v>210</v>
      </c>
      <c r="L4358" s="1" t="str">
        <f t="shared" si="231"/>
        <v>Vallentunasjön Va2</v>
      </c>
      <c r="M4358" s="1" t="s">
        <v>177</v>
      </c>
      <c r="N4358" s="1">
        <v>0.5</v>
      </c>
      <c r="O4358" s="1">
        <v>0.5</v>
      </c>
      <c r="P4358" s="1">
        <v>1.2</v>
      </c>
      <c r="Q4358" s="1">
        <v>3.3</v>
      </c>
      <c r="R4358" s="1">
        <v>12.9</v>
      </c>
      <c r="S4358" s="1">
        <v>97</v>
      </c>
    </row>
    <row r="4359" spans="1:38" x14ac:dyDescent="0.3">
      <c r="A4359" s="1">
        <v>76328</v>
      </c>
      <c r="B4359" s="1" t="s">
        <v>263</v>
      </c>
      <c r="C4359" s="1" t="s">
        <v>209</v>
      </c>
      <c r="D4359" s="2">
        <f t="shared" si="232"/>
        <v>2019</v>
      </c>
      <c r="E4359" s="2">
        <f t="shared" si="233"/>
        <v>11</v>
      </c>
      <c r="G4359" s="4">
        <v>43787</v>
      </c>
      <c r="H4359" s="1">
        <v>6600738</v>
      </c>
      <c r="I4359" s="1">
        <v>672261</v>
      </c>
      <c r="J4359" s="1" t="s">
        <v>191</v>
      </c>
      <c r="K4359" s="29" t="s">
        <v>210</v>
      </c>
      <c r="L4359" s="1" t="str">
        <f t="shared" si="231"/>
        <v>Vallentunasjön Va2</v>
      </c>
      <c r="M4359" s="1" t="s">
        <v>211</v>
      </c>
      <c r="N4359" s="1">
        <v>1</v>
      </c>
      <c r="O4359" s="1">
        <v>1</v>
      </c>
      <c r="Q4359" s="1">
        <v>3.3</v>
      </c>
      <c r="R4359" s="1">
        <v>13.2</v>
      </c>
      <c r="S4359" s="1">
        <v>99</v>
      </c>
    </row>
    <row r="4360" spans="1:38" x14ac:dyDescent="0.3">
      <c r="A4360" s="1">
        <v>76329</v>
      </c>
      <c r="B4360" s="1" t="s">
        <v>263</v>
      </c>
      <c r="C4360" s="1" t="s">
        <v>209</v>
      </c>
      <c r="D4360" s="2">
        <f t="shared" si="232"/>
        <v>2019</v>
      </c>
      <c r="E4360" s="2">
        <f t="shared" si="233"/>
        <v>11</v>
      </c>
      <c r="G4360" s="4">
        <v>43787</v>
      </c>
      <c r="H4360" s="1">
        <v>6600738</v>
      </c>
      <c r="I4360" s="1">
        <v>672261</v>
      </c>
      <c r="J4360" s="1" t="s">
        <v>191</v>
      </c>
      <c r="K4360" s="29" t="s">
        <v>210</v>
      </c>
      <c r="L4360" s="1" t="str">
        <f t="shared" si="231"/>
        <v>Vallentunasjön Va2</v>
      </c>
      <c r="M4360" s="1" t="s">
        <v>212</v>
      </c>
      <c r="N4360" s="1">
        <v>2</v>
      </c>
      <c r="O4360" s="1">
        <v>2</v>
      </c>
      <c r="Q4360" s="1">
        <v>3.3</v>
      </c>
      <c r="R4360" s="1">
        <v>13.2</v>
      </c>
      <c r="S4360" s="1">
        <v>99</v>
      </c>
    </row>
    <row r="4361" spans="1:38" x14ac:dyDescent="0.3">
      <c r="A4361" s="1">
        <v>76330</v>
      </c>
      <c r="B4361" s="1" t="s">
        <v>263</v>
      </c>
      <c r="C4361" s="1" t="s">
        <v>209</v>
      </c>
      <c r="D4361" s="2">
        <f t="shared" si="232"/>
        <v>2019</v>
      </c>
      <c r="E4361" s="2">
        <f t="shared" si="233"/>
        <v>11</v>
      </c>
      <c r="G4361" s="4">
        <v>43787</v>
      </c>
      <c r="H4361" s="1">
        <v>6600738</v>
      </c>
      <c r="I4361" s="1">
        <v>672261</v>
      </c>
      <c r="J4361" s="1" t="s">
        <v>191</v>
      </c>
      <c r="K4361" s="29" t="s">
        <v>210</v>
      </c>
      <c r="L4361" s="1" t="str">
        <f t="shared" si="231"/>
        <v>Vallentunasjön Va2</v>
      </c>
      <c r="M4361" s="1" t="s">
        <v>213</v>
      </c>
      <c r="N4361" s="1">
        <v>3</v>
      </c>
      <c r="O4361" s="1">
        <v>3</v>
      </c>
      <c r="Q4361" s="1">
        <v>3.3</v>
      </c>
      <c r="R4361" s="1">
        <v>13.4</v>
      </c>
      <c r="S4361" s="1">
        <v>100</v>
      </c>
    </row>
    <row r="4362" spans="1:38" x14ac:dyDescent="0.3">
      <c r="A4362" s="1">
        <v>76331</v>
      </c>
      <c r="B4362" s="1" t="s">
        <v>263</v>
      </c>
      <c r="C4362" s="1" t="s">
        <v>209</v>
      </c>
      <c r="D4362" s="2">
        <f t="shared" si="232"/>
        <v>2019</v>
      </c>
      <c r="E4362" s="2">
        <f t="shared" si="233"/>
        <v>11</v>
      </c>
      <c r="G4362" s="4">
        <v>43787</v>
      </c>
      <c r="H4362" s="1">
        <v>6600738</v>
      </c>
      <c r="I4362" s="1">
        <v>672261</v>
      </c>
      <c r="J4362" s="1" t="s">
        <v>191</v>
      </c>
      <c r="K4362" s="29" t="s">
        <v>210</v>
      </c>
      <c r="L4362" s="1" t="str">
        <f t="shared" si="231"/>
        <v>Vallentunasjön Va2</v>
      </c>
      <c r="M4362" s="1" t="s">
        <v>214</v>
      </c>
      <c r="N4362" s="1">
        <v>4</v>
      </c>
      <c r="O4362" s="1">
        <v>4</v>
      </c>
      <c r="Q4362" s="1">
        <v>3.3</v>
      </c>
      <c r="R4362" s="1">
        <v>13.6</v>
      </c>
      <c r="S4362" s="1">
        <v>101</v>
      </c>
    </row>
    <row r="4363" spans="1:38" x14ac:dyDescent="0.3">
      <c r="A4363" s="1">
        <v>76332</v>
      </c>
      <c r="B4363" s="1" t="s">
        <v>263</v>
      </c>
      <c r="C4363" s="1" t="s">
        <v>209</v>
      </c>
      <c r="D4363" s="2">
        <f t="shared" si="232"/>
        <v>2019</v>
      </c>
      <c r="E4363" s="2">
        <f t="shared" si="233"/>
        <v>11</v>
      </c>
      <c r="G4363" s="4">
        <v>43787</v>
      </c>
      <c r="H4363" s="1">
        <v>6600738</v>
      </c>
      <c r="I4363" s="1">
        <v>672261</v>
      </c>
      <c r="J4363" s="1" t="s">
        <v>191</v>
      </c>
      <c r="K4363" s="29" t="s">
        <v>210</v>
      </c>
      <c r="L4363" s="1" t="str">
        <f t="shared" si="231"/>
        <v>Vallentunasjön Va2</v>
      </c>
      <c r="M4363" s="1" t="s">
        <v>184</v>
      </c>
      <c r="N4363" s="1">
        <v>4.5</v>
      </c>
      <c r="O4363" s="1">
        <v>4.5</v>
      </c>
      <c r="Q4363" s="1">
        <v>3.3</v>
      </c>
      <c r="R4363" s="1">
        <v>13.6</v>
      </c>
      <c r="S4363" s="1">
        <v>101</v>
      </c>
    </row>
    <row r="4364" spans="1:38" x14ac:dyDescent="0.3">
      <c r="A4364" s="1">
        <v>76333</v>
      </c>
      <c r="B4364" s="1" t="s">
        <v>263</v>
      </c>
      <c r="C4364" s="1" t="s">
        <v>209</v>
      </c>
      <c r="D4364" s="2">
        <f t="shared" si="232"/>
        <v>2019</v>
      </c>
      <c r="E4364" s="2">
        <f t="shared" si="233"/>
        <v>11</v>
      </c>
      <c r="G4364" s="4">
        <v>43787</v>
      </c>
      <c r="J4364" s="1" t="s">
        <v>191</v>
      </c>
      <c r="K4364" s="29" t="s">
        <v>206</v>
      </c>
      <c r="L4364" s="1" t="str">
        <f t="shared" si="231"/>
        <v>Vallentunasjön Blandprov</v>
      </c>
      <c r="M4364" s="1" t="s">
        <v>177</v>
      </c>
      <c r="N4364" s="1">
        <v>4</v>
      </c>
      <c r="O4364" s="1">
        <v>0</v>
      </c>
    </row>
    <row r="4365" spans="1:38" x14ac:dyDescent="0.3">
      <c r="A4365" s="1">
        <v>76521</v>
      </c>
      <c r="B4365" s="1" t="s">
        <v>263</v>
      </c>
      <c r="C4365" s="1" t="s">
        <v>209</v>
      </c>
      <c r="D4365" s="2">
        <f t="shared" si="232"/>
        <v>2019</v>
      </c>
      <c r="E4365" s="2">
        <f t="shared" si="233"/>
        <v>12</v>
      </c>
      <c r="G4365" s="4">
        <v>43815</v>
      </c>
      <c r="H4365" s="1">
        <v>6600738</v>
      </c>
      <c r="I4365" s="1">
        <v>672261</v>
      </c>
      <c r="J4365" s="1" t="s">
        <v>191</v>
      </c>
      <c r="K4365" s="29" t="s">
        <v>210</v>
      </c>
      <c r="L4365" s="1" t="str">
        <f t="shared" si="231"/>
        <v>Vallentunasjön Va2</v>
      </c>
      <c r="M4365" s="1" t="s">
        <v>177</v>
      </c>
      <c r="N4365" s="1">
        <v>0.5</v>
      </c>
      <c r="O4365" s="1">
        <v>0.5</v>
      </c>
    </row>
    <row r="4366" spans="1:38" x14ac:dyDescent="0.3">
      <c r="A4366" s="1">
        <v>76522</v>
      </c>
      <c r="B4366" s="1" t="s">
        <v>263</v>
      </c>
      <c r="C4366" s="1" t="s">
        <v>209</v>
      </c>
      <c r="D4366" s="2">
        <f t="shared" si="232"/>
        <v>2019</v>
      </c>
      <c r="E4366" s="2">
        <f t="shared" si="233"/>
        <v>12</v>
      </c>
      <c r="G4366" s="4">
        <v>43815</v>
      </c>
      <c r="H4366" s="1">
        <v>6600738</v>
      </c>
      <c r="I4366" s="1">
        <v>672261</v>
      </c>
      <c r="J4366" s="1" t="s">
        <v>191</v>
      </c>
      <c r="K4366" s="29" t="s">
        <v>210</v>
      </c>
      <c r="L4366" s="1" t="str">
        <f t="shared" si="231"/>
        <v>Vallentunasjön Va2</v>
      </c>
      <c r="M4366" s="1" t="s">
        <v>211</v>
      </c>
      <c r="N4366" s="1">
        <v>1</v>
      </c>
      <c r="O4366" s="1">
        <v>1</v>
      </c>
    </row>
    <row r="4367" spans="1:38" x14ac:dyDescent="0.3">
      <c r="A4367" s="1">
        <v>76523</v>
      </c>
      <c r="B4367" s="1" t="s">
        <v>263</v>
      </c>
      <c r="C4367" s="1" t="s">
        <v>209</v>
      </c>
      <c r="D4367" s="2">
        <f t="shared" si="232"/>
        <v>2019</v>
      </c>
      <c r="E4367" s="2">
        <f t="shared" si="233"/>
        <v>12</v>
      </c>
      <c r="G4367" s="4">
        <v>43815</v>
      </c>
      <c r="H4367" s="1">
        <v>6600738</v>
      </c>
      <c r="I4367" s="1">
        <v>672261</v>
      </c>
      <c r="J4367" s="1" t="s">
        <v>191</v>
      </c>
      <c r="K4367" s="29" t="s">
        <v>210</v>
      </c>
      <c r="L4367" s="1" t="str">
        <f t="shared" si="231"/>
        <v>Vallentunasjön Va2</v>
      </c>
      <c r="M4367" s="1" t="s">
        <v>212</v>
      </c>
      <c r="N4367" s="1">
        <v>2</v>
      </c>
      <c r="O4367" s="1">
        <v>2</v>
      </c>
    </row>
    <row r="4368" spans="1:38" x14ac:dyDescent="0.3">
      <c r="A4368" s="1">
        <v>76524</v>
      </c>
      <c r="B4368" s="1" t="s">
        <v>263</v>
      </c>
      <c r="C4368" s="1" t="s">
        <v>209</v>
      </c>
      <c r="D4368" s="2">
        <f t="shared" si="232"/>
        <v>2019</v>
      </c>
      <c r="E4368" s="2">
        <f t="shared" si="233"/>
        <v>12</v>
      </c>
      <c r="G4368" s="4">
        <v>43815</v>
      </c>
      <c r="H4368" s="1">
        <v>6600738</v>
      </c>
      <c r="I4368" s="1">
        <v>672261</v>
      </c>
      <c r="J4368" s="1" t="s">
        <v>191</v>
      </c>
      <c r="K4368" s="29" t="s">
        <v>210</v>
      </c>
      <c r="L4368" s="1" t="str">
        <f t="shared" si="231"/>
        <v>Vallentunasjön Va2</v>
      </c>
      <c r="M4368" s="1" t="s">
        <v>213</v>
      </c>
      <c r="N4368" s="1">
        <v>3</v>
      </c>
      <c r="O4368" s="1">
        <v>3</v>
      </c>
    </row>
    <row r="4369" spans="1:52" x14ac:dyDescent="0.3">
      <c r="A4369" s="1">
        <v>76525</v>
      </c>
      <c r="B4369" s="1" t="s">
        <v>263</v>
      </c>
      <c r="C4369" s="1" t="s">
        <v>209</v>
      </c>
      <c r="D4369" s="2">
        <f t="shared" si="232"/>
        <v>2019</v>
      </c>
      <c r="E4369" s="2">
        <f t="shared" si="233"/>
        <v>12</v>
      </c>
      <c r="G4369" s="4">
        <v>43815</v>
      </c>
      <c r="H4369" s="1">
        <v>6600738</v>
      </c>
      <c r="I4369" s="1">
        <v>672261</v>
      </c>
      <c r="J4369" s="1" t="s">
        <v>191</v>
      </c>
      <c r="K4369" s="29" t="s">
        <v>210</v>
      </c>
      <c r="L4369" s="1" t="str">
        <f t="shared" si="231"/>
        <v>Vallentunasjön Va2</v>
      </c>
      <c r="M4369" s="1" t="s">
        <v>214</v>
      </c>
      <c r="N4369" s="1">
        <v>4</v>
      </c>
      <c r="O4369" s="1">
        <v>4</v>
      </c>
    </row>
    <row r="4370" spans="1:52" x14ac:dyDescent="0.3">
      <c r="A4370" s="1">
        <v>76526</v>
      </c>
      <c r="B4370" s="1" t="s">
        <v>263</v>
      </c>
      <c r="C4370" s="1" t="s">
        <v>209</v>
      </c>
      <c r="D4370" s="2">
        <f t="shared" si="232"/>
        <v>2019</v>
      </c>
      <c r="E4370" s="2">
        <f t="shared" si="233"/>
        <v>12</v>
      </c>
      <c r="G4370" s="4">
        <v>43815</v>
      </c>
      <c r="H4370" s="1">
        <v>6600738</v>
      </c>
      <c r="I4370" s="1">
        <v>672261</v>
      </c>
      <c r="J4370" s="1" t="s">
        <v>191</v>
      </c>
      <c r="K4370" s="29" t="s">
        <v>210</v>
      </c>
      <c r="L4370" s="1" t="str">
        <f t="shared" si="231"/>
        <v>Vallentunasjön Va2</v>
      </c>
      <c r="M4370" s="1" t="s">
        <v>184</v>
      </c>
      <c r="N4370" s="1">
        <v>4.5</v>
      </c>
      <c r="O4370" s="1">
        <v>4.5</v>
      </c>
    </row>
    <row r="4371" spans="1:52" x14ac:dyDescent="0.3">
      <c r="A4371" s="1">
        <v>76527</v>
      </c>
      <c r="B4371" s="1" t="s">
        <v>263</v>
      </c>
      <c r="C4371" s="1" t="s">
        <v>209</v>
      </c>
      <c r="D4371" s="2">
        <f t="shared" si="232"/>
        <v>2019</v>
      </c>
      <c r="E4371" s="2">
        <f t="shared" si="233"/>
        <v>12</v>
      </c>
      <c r="G4371" s="4">
        <v>43815</v>
      </c>
      <c r="J4371" s="1" t="s">
        <v>191</v>
      </c>
      <c r="K4371" s="29" t="s">
        <v>206</v>
      </c>
      <c r="L4371" s="1" t="str">
        <f t="shared" si="231"/>
        <v>Vallentunasjön Blandprov</v>
      </c>
      <c r="M4371" s="1" t="s">
        <v>177</v>
      </c>
      <c r="N4371" s="1">
        <v>4</v>
      </c>
      <c r="O4371" s="1">
        <v>0</v>
      </c>
    </row>
    <row r="4372" spans="1:52" x14ac:dyDescent="0.3">
      <c r="C4372" s="1" t="s">
        <v>264</v>
      </c>
      <c r="D4372" s="2">
        <f t="shared" si="232"/>
        <v>2019</v>
      </c>
      <c r="E4372" s="2">
        <f t="shared" si="233"/>
        <v>2</v>
      </c>
      <c r="G4372" s="4">
        <v>43517</v>
      </c>
      <c r="H4372" s="1">
        <v>6606632</v>
      </c>
      <c r="I4372" s="1">
        <v>665189</v>
      </c>
      <c r="J4372" s="1" t="s">
        <v>181</v>
      </c>
      <c r="L4372" s="1" t="str">
        <f t="shared" si="231"/>
        <v xml:space="preserve">Fysingen </v>
      </c>
      <c r="M4372" s="1" t="s">
        <v>177</v>
      </c>
      <c r="N4372" s="1">
        <v>0.5</v>
      </c>
      <c r="O4372" s="1">
        <v>0.5</v>
      </c>
      <c r="P4372" s="1">
        <v>1.8</v>
      </c>
      <c r="Q4372" s="1">
        <v>3.3</v>
      </c>
      <c r="R4372" s="1">
        <v>10.92</v>
      </c>
      <c r="T4372" s="1">
        <v>43.9</v>
      </c>
      <c r="V4372" s="1">
        <v>0.51</v>
      </c>
      <c r="W4372" s="1">
        <v>156</v>
      </c>
      <c r="Y4372" s="1">
        <v>2.1000000000000001E-2</v>
      </c>
      <c r="Z4372" s="1">
        <v>10</v>
      </c>
      <c r="AA4372" s="1">
        <v>8.6999999999999993</v>
      </c>
      <c r="AB4372" s="1">
        <v>0.25</v>
      </c>
      <c r="AC4372" s="1">
        <v>43.9</v>
      </c>
      <c r="AD4372" s="1">
        <v>3840</v>
      </c>
      <c r="AE4372" s="1">
        <v>6.5</v>
      </c>
      <c r="AI4372" s="1">
        <v>5.3</v>
      </c>
      <c r="AK4372" s="1">
        <v>22.7</v>
      </c>
      <c r="AL4372" s="1">
        <v>4220</v>
      </c>
      <c r="AR4372" s="1">
        <v>44</v>
      </c>
      <c r="AS4372" s="1">
        <v>0.23</v>
      </c>
      <c r="AT4372" s="1">
        <v>4.3010000000000002</v>
      </c>
      <c r="AU4372" s="1">
        <v>11.978999999999999</v>
      </c>
      <c r="AV4372" s="1">
        <v>20.915500000000002</v>
      </c>
      <c r="AW4372" s="1">
        <v>17.8932</v>
      </c>
      <c r="AX4372" s="1">
        <v>130.21549999999999</v>
      </c>
      <c r="AY4372" s="1">
        <v>7.9</v>
      </c>
      <c r="AZ4372" s="1">
        <v>700</v>
      </c>
    </row>
    <row r="4373" spans="1:52" x14ac:dyDescent="0.3">
      <c r="C4373" s="1" t="s">
        <v>264</v>
      </c>
      <c r="D4373" s="2">
        <f t="shared" si="232"/>
        <v>2019</v>
      </c>
      <c r="E4373" s="2">
        <f t="shared" si="233"/>
        <v>4</v>
      </c>
      <c r="G4373" s="4">
        <v>43564</v>
      </c>
      <c r="H4373" s="1">
        <v>6606632</v>
      </c>
      <c r="I4373" s="1">
        <v>665189</v>
      </c>
      <c r="J4373" s="1" t="s">
        <v>181</v>
      </c>
      <c r="L4373" s="1" t="str">
        <f t="shared" si="231"/>
        <v xml:space="preserve">Fysingen </v>
      </c>
      <c r="M4373" s="1" t="s">
        <v>177</v>
      </c>
      <c r="N4373" s="1">
        <v>0.5</v>
      </c>
      <c r="O4373" s="1">
        <v>0.5</v>
      </c>
      <c r="P4373" s="1">
        <v>1.2</v>
      </c>
      <c r="Q4373" s="1">
        <v>4.8</v>
      </c>
      <c r="R4373" s="1">
        <v>12.27</v>
      </c>
      <c r="T4373" s="1">
        <v>57.9</v>
      </c>
      <c r="V4373" s="1">
        <v>1.7</v>
      </c>
      <c r="W4373" s="1">
        <v>14</v>
      </c>
      <c r="Y4373" s="1">
        <v>2.9000000000000001E-2</v>
      </c>
      <c r="Z4373" s="1">
        <v>0.5</v>
      </c>
      <c r="AA4373" s="1">
        <v>8.5</v>
      </c>
      <c r="AB4373" s="1">
        <v>10</v>
      </c>
      <c r="AC4373" s="1">
        <v>57.9</v>
      </c>
      <c r="AD4373" s="1">
        <v>1840</v>
      </c>
      <c r="AE4373" s="1">
        <v>7.73</v>
      </c>
      <c r="AI4373" s="1">
        <v>7.7</v>
      </c>
      <c r="AK4373" s="1">
        <v>25</v>
      </c>
      <c r="AL4373" s="1">
        <v>2340</v>
      </c>
      <c r="AR4373" s="1">
        <v>64</v>
      </c>
      <c r="AS4373" s="1">
        <v>0.18</v>
      </c>
      <c r="AT4373" s="1">
        <v>5.8650000000000002</v>
      </c>
      <c r="AU4373" s="1">
        <v>14.52</v>
      </c>
      <c r="AV4373" s="1">
        <v>38.995000000000005</v>
      </c>
      <c r="AW4373" s="1">
        <v>27.528000000000002</v>
      </c>
      <c r="AX4373" s="1">
        <v>130.21549999999999</v>
      </c>
      <c r="AY4373" s="1">
        <v>4.3</v>
      </c>
      <c r="AZ4373" s="1">
        <v>250</v>
      </c>
    </row>
    <row r="4374" spans="1:52" x14ac:dyDescent="0.3">
      <c r="C4374" s="1" t="s">
        <v>264</v>
      </c>
      <c r="D4374" s="2">
        <f t="shared" si="232"/>
        <v>2019</v>
      </c>
      <c r="E4374" s="2">
        <f t="shared" si="233"/>
        <v>8</v>
      </c>
      <c r="G4374" s="4">
        <v>43699</v>
      </c>
      <c r="H4374" s="1">
        <v>6606632</v>
      </c>
      <c r="I4374" s="1">
        <v>665189</v>
      </c>
      <c r="J4374" s="1" t="s">
        <v>181</v>
      </c>
      <c r="L4374" s="1" t="str">
        <f t="shared" si="231"/>
        <v xml:space="preserve">Fysingen </v>
      </c>
      <c r="M4374" s="1" t="s">
        <v>177</v>
      </c>
      <c r="N4374" s="1">
        <v>0.5</v>
      </c>
      <c r="O4374" s="1">
        <v>0.5</v>
      </c>
      <c r="P4374" s="1">
        <v>1.4</v>
      </c>
      <c r="Q4374" s="1">
        <v>18.600000000000001</v>
      </c>
      <c r="R4374" s="1">
        <v>8.89</v>
      </c>
      <c r="T4374" s="1">
        <v>62.1</v>
      </c>
      <c r="V4374" s="1">
        <v>1.95</v>
      </c>
      <c r="W4374" s="1">
        <v>8</v>
      </c>
      <c r="Y4374" s="1">
        <v>2.5000000000000001E-2</v>
      </c>
      <c r="Z4374" s="1">
        <v>0.5</v>
      </c>
      <c r="AA4374" s="1">
        <v>5.2</v>
      </c>
      <c r="AB4374" s="1">
        <v>8.6</v>
      </c>
      <c r="AC4374" s="1">
        <v>62.1</v>
      </c>
      <c r="AD4374" s="1">
        <v>3</v>
      </c>
      <c r="AE4374" s="1">
        <v>8.11</v>
      </c>
      <c r="AI4374" s="1">
        <v>8.1999999999999993</v>
      </c>
      <c r="AK4374" s="1">
        <v>30.4</v>
      </c>
      <c r="AL4374" s="1">
        <v>573</v>
      </c>
      <c r="AR4374" s="1">
        <v>66</v>
      </c>
      <c r="AS4374" s="1">
        <v>0.11</v>
      </c>
      <c r="AT4374" s="1">
        <v>5.8650000000000002</v>
      </c>
      <c r="AU4374" s="1">
        <v>15.73</v>
      </c>
      <c r="AV4374" s="1">
        <v>46.085000000000008</v>
      </c>
      <c r="AW4374" s="1">
        <v>32.116</v>
      </c>
      <c r="AX4374" s="1">
        <v>139.82550000000001</v>
      </c>
      <c r="AY4374" s="1">
        <v>0.34</v>
      </c>
      <c r="AZ4374" s="1">
        <v>130</v>
      </c>
    </row>
    <row r="4375" spans="1:52" x14ac:dyDescent="0.3">
      <c r="C4375" s="1" t="s">
        <v>264</v>
      </c>
      <c r="D4375" s="2">
        <f t="shared" si="232"/>
        <v>2019</v>
      </c>
      <c r="E4375" s="2">
        <f t="shared" si="233"/>
        <v>1</v>
      </c>
      <c r="G4375" s="4">
        <v>43480</v>
      </c>
      <c r="H4375" s="1">
        <v>6606237</v>
      </c>
      <c r="I4375" s="1">
        <v>661152</v>
      </c>
      <c r="J4375" s="5" t="s">
        <v>176</v>
      </c>
      <c r="K4375" s="29" t="s">
        <v>256</v>
      </c>
      <c r="L4375" s="1" t="str">
        <f t="shared" si="231"/>
        <v>Oxundaån Rosendal</v>
      </c>
      <c r="M4375" s="1" t="s">
        <v>177</v>
      </c>
      <c r="N4375" s="1">
        <v>0.3</v>
      </c>
      <c r="O4375" s="1">
        <v>0.3</v>
      </c>
      <c r="Q4375" s="1">
        <v>1.5</v>
      </c>
      <c r="T4375" s="1">
        <v>53.6</v>
      </c>
      <c r="V4375" s="1">
        <v>2.57</v>
      </c>
      <c r="W4375" s="1">
        <v>34</v>
      </c>
      <c r="Y4375" s="1">
        <v>3.1E-2</v>
      </c>
      <c r="Z4375" s="1">
        <v>42</v>
      </c>
      <c r="AA4375" s="1">
        <v>1.4</v>
      </c>
      <c r="AC4375" s="1">
        <v>53.6</v>
      </c>
      <c r="AD4375" s="1">
        <v>326</v>
      </c>
      <c r="AE4375" s="1">
        <v>7.65</v>
      </c>
      <c r="AI4375" s="1">
        <v>9.1</v>
      </c>
      <c r="AK4375" s="1">
        <v>56</v>
      </c>
      <c r="AL4375" s="1">
        <v>902</v>
      </c>
      <c r="AR4375" s="1">
        <v>58</v>
      </c>
      <c r="AS4375" s="1">
        <v>0.4</v>
      </c>
      <c r="AT4375" s="1">
        <v>5.8650000000000002</v>
      </c>
      <c r="AU4375" s="1">
        <v>11.010999999999999</v>
      </c>
      <c r="AV4375" s="1">
        <v>46.085000000000008</v>
      </c>
      <c r="AW4375" s="1">
        <v>29.822000000000003</v>
      </c>
      <c r="AX4375" s="1">
        <v>67.27</v>
      </c>
      <c r="AY4375" s="1">
        <v>67.27</v>
      </c>
    </row>
    <row r="4376" spans="1:52" x14ac:dyDescent="0.3">
      <c r="C4376" s="1" t="s">
        <v>264</v>
      </c>
      <c r="D4376" s="2">
        <f t="shared" si="232"/>
        <v>2019</v>
      </c>
      <c r="E4376" s="2">
        <f t="shared" si="233"/>
        <v>2</v>
      </c>
      <c r="G4376" s="4">
        <v>43515</v>
      </c>
      <c r="H4376" s="1">
        <v>6606237</v>
      </c>
      <c r="I4376" s="1">
        <v>661152</v>
      </c>
      <c r="J4376" s="5" t="s">
        <v>176</v>
      </c>
      <c r="K4376" s="29" t="s">
        <v>256</v>
      </c>
      <c r="L4376" s="1" t="str">
        <f t="shared" si="231"/>
        <v>Oxundaån Rosendal</v>
      </c>
      <c r="M4376" s="1" t="s">
        <v>177</v>
      </c>
      <c r="N4376" s="1">
        <v>0.2</v>
      </c>
      <c r="O4376" s="1">
        <v>0.2</v>
      </c>
      <c r="Q4376" s="1">
        <v>2.2000000000000002</v>
      </c>
      <c r="T4376" s="1">
        <v>55.4</v>
      </c>
      <c r="V4376" s="1">
        <v>2.65</v>
      </c>
      <c r="W4376" s="1">
        <v>9</v>
      </c>
      <c r="Y4376" s="1">
        <v>3.3000000000000002E-2</v>
      </c>
      <c r="Z4376" s="1">
        <v>38</v>
      </c>
      <c r="AA4376" s="1">
        <v>1.7</v>
      </c>
      <c r="AC4376" s="1">
        <v>55.4</v>
      </c>
      <c r="AD4376" s="1">
        <v>615</v>
      </c>
      <c r="AE4376" s="1">
        <v>7.43</v>
      </c>
      <c r="AI4376" s="1">
        <v>10</v>
      </c>
      <c r="AK4376" s="1">
        <v>59.5</v>
      </c>
      <c r="AL4376" s="1">
        <v>1150</v>
      </c>
      <c r="AR4376" s="1">
        <v>58</v>
      </c>
      <c r="AS4376" s="1">
        <v>0.4</v>
      </c>
      <c r="AT4376" s="1">
        <v>6.2560000000000002</v>
      </c>
      <c r="AU4376" s="1">
        <v>9.9219999999999988</v>
      </c>
      <c r="AV4376" s="1">
        <v>56.720000000000006</v>
      </c>
      <c r="AW4376" s="1">
        <v>34.410000000000004</v>
      </c>
      <c r="AX4376" s="1">
        <v>62.464999999999996</v>
      </c>
      <c r="AY4376" s="1">
        <v>62.464999999999996</v>
      </c>
    </row>
    <row r="4377" spans="1:52" x14ac:dyDescent="0.3">
      <c r="C4377" s="1" t="s">
        <v>264</v>
      </c>
      <c r="D4377" s="2">
        <f t="shared" si="232"/>
        <v>2019</v>
      </c>
      <c r="E4377" s="2">
        <f t="shared" si="233"/>
        <v>3</v>
      </c>
      <c r="G4377" s="4">
        <v>43537</v>
      </c>
      <c r="H4377" s="1">
        <v>6606237</v>
      </c>
      <c r="I4377" s="1">
        <v>661152</v>
      </c>
      <c r="J4377" s="5" t="s">
        <v>176</v>
      </c>
      <c r="K4377" s="29" t="s">
        <v>256</v>
      </c>
      <c r="L4377" s="1" t="str">
        <f t="shared" si="231"/>
        <v>Oxundaån Rosendal</v>
      </c>
      <c r="M4377" s="1" t="s">
        <v>177</v>
      </c>
      <c r="N4377" s="1">
        <v>0.15</v>
      </c>
      <c r="O4377" s="1">
        <v>0.15</v>
      </c>
      <c r="Q4377" s="1">
        <v>3.2</v>
      </c>
      <c r="T4377" s="1">
        <v>53.3</v>
      </c>
      <c r="V4377" s="1">
        <v>2.2200000000000002</v>
      </c>
      <c r="W4377" s="1">
        <v>23</v>
      </c>
      <c r="Y4377" s="1">
        <v>4.1000000000000002E-2</v>
      </c>
      <c r="Z4377" s="1">
        <v>5</v>
      </c>
      <c r="AA4377" s="1">
        <v>4.4000000000000004</v>
      </c>
      <c r="AC4377" s="1">
        <v>53.3</v>
      </c>
      <c r="AD4377" s="1">
        <v>1000</v>
      </c>
      <c r="AE4377" s="1">
        <v>7.55</v>
      </c>
      <c r="AI4377" s="1">
        <v>9.1999999999999993</v>
      </c>
      <c r="AK4377" s="1">
        <v>50.8</v>
      </c>
      <c r="AL4377" s="1">
        <v>1620</v>
      </c>
      <c r="AR4377" s="1">
        <v>54</v>
      </c>
      <c r="AS4377" s="1">
        <v>0.34</v>
      </c>
      <c r="AT4377" s="1">
        <v>5.4740000000000011</v>
      </c>
      <c r="AU4377" s="1">
        <v>9.8010000000000002</v>
      </c>
      <c r="AV4377" s="1">
        <v>49.63</v>
      </c>
      <c r="AW4377" s="1">
        <v>32.116</v>
      </c>
      <c r="AX4377" s="1">
        <v>67.27</v>
      </c>
      <c r="AY4377" s="1">
        <v>67.27</v>
      </c>
    </row>
    <row r="4378" spans="1:52" x14ac:dyDescent="0.3">
      <c r="C4378" s="1" t="s">
        <v>264</v>
      </c>
      <c r="D4378" s="2">
        <f t="shared" si="232"/>
        <v>2019</v>
      </c>
      <c r="E4378" s="2">
        <f t="shared" si="233"/>
        <v>4</v>
      </c>
      <c r="G4378" s="4">
        <v>43570</v>
      </c>
      <c r="H4378" s="1">
        <v>6606237</v>
      </c>
      <c r="I4378" s="1">
        <v>661152</v>
      </c>
      <c r="J4378" s="5" t="s">
        <v>176</v>
      </c>
      <c r="K4378" s="29" t="s">
        <v>256</v>
      </c>
      <c r="L4378" s="1" t="str">
        <f t="shared" si="231"/>
        <v>Oxundaån Rosendal</v>
      </c>
      <c r="M4378" s="1" t="s">
        <v>177</v>
      </c>
      <c r="N4378" s="1">
        <v>0.1</v>
      </c>
      <c r="O4378" s="1">
        <v>0.1</v>
      </c>
      <c r="Q4378" s="1">
        <v>4.8</v>
      </c>
      <c r="T4378" s="1">
        <v>52.5</v>
      </c>
      <c r="V4378" s="1">
        <v>2.1800000000000002</v>
      </c>
      <c r="W4378" s="1">
        <v>14</v>
      </c>
      <c r="Y4378" s="1">
        <v>3.5999999999999997E-2</v>
      </c>
      <c r="Z4378" s="1">
        <v>0.5</v>
      </c>
      <c r="AA4378" s="1">
        <v>3</v>
      </c>
      <c r="AC4378" s="1">
        <v>52.5</v>
      </c>
      <c r="AD4378" s="1">
        <v>729</v>
      </c>
      <c r="AE4378" s="1">
        <v>7.89</v>
      </c>
      <c r="AI4378" s="1">
        <v>9.1</v>
      </c>
      <c r="AK4378" s="1">
        <v>24.8</v>
      </c>
      <c r="AL4378" s="1">
        <v>1320</v>
      </c>
      <c r="AR4378" s="1">
        <v>58</v>
      </c>
      <c r="AS4378" s="1">
        <v>0.37</v>
      </c>
      <c r="AT4378" s="1">
        <v>5.4740000000000011</v>
      </c>
      <c r="AU4378" s="1">
        <v>9.9219999999999988</v>
      </c>
      <c r="AV4378" s="1">
        <v>49.63</v>
      </c>
      <c r="AW4378" s="1">
        <v>32.116</v>
      </c>
      <c r="AX4378" s="1">
        <v>76.88</v>
      </c>
      <c r="AY4378" s="1">
        <v>76.88</v>
      </c>
    </row>
    <row r="4379" spans="1:52" x14ac:dyDescent="0.3">
      <c r="C4379" s="1" t="s">
        <v>264</v>
      </c>
      <c r="D4379" s="2">
        <f t="shared" si="232"/>
        <v>2019</v>
      </c>
      <c r="E4379" s="2">
        <f t="shared" si="233"/>
        <v>5</v>
      </c>
      <c r="G4379" s="4">
        <v>43607</v>
      </c>
      <c r="H4379" s="1">
        <v>6606237</v>
      </c>
      <c r="I4379" s="1">
        <v>661152</v>
      </c>
      <c r="J4379" s="5" t="s">
        <v>176</v>
      </c>
      <c r="K4379" s="29" t="s">
        <v>256</v>
      </c>
      <c r="L4379" s="1" t="str">
        <f t="shared" si="231"/>
        <v>Oxundaån Rosendal</v>
      </c>
      <c r="M4379" s="1" t="s">
        <v>177</v>
      </c>
      <c r="N4379" s="1">
        <v>0.2</v>
      </c>
      <c r="O4379" s="1">
        <v>0.2</v>
      </c>
      <c r="Q4379" s="1">
        <v>17.8</v>
      </c>
      <c r="T4379" s="1">
        <v>54.5</v>
      </c>
      <c r="V4379" s="1">
        <v>2.29</v>
      </c>
      <c r="W4379" s="1">
        <v>47</v>
      </c>
      <c r="Y4379" s="1">
        <v>3.5000000000000003E-2</v>
      </c>
      <c r="Z4379" s="1">
        <v>0.5</v>
      </c>
      <c r="AA4379" s="1">
        <v>2.8</v>
      </c>
      <c r="AC4379" s="1">
        <v>54.5</v>
      </c>
      <c r="AD4379" s="1">
        <v>376</v>
      </c>
      <c r="AE4379" s="1">
        <v>7.96</v>
      </c>
      <c r="AI4379" s="1">
        <v>9</v>
      </c>
      <c r="AK4379" s="1">
        <v>23.4</v>
      </c>
      <c r="AL4379" s="1">
        <v>867</v>
      </c>
      <c r="AR4379" s="1">
        <v>60</v>
      </c>
      <c r="AS4379" s="1">
        <v>0.36</v>
      </c>
      <c r="AT4379" s="1">
        <v>5.8650000000000002</v>
      </c>
      <c r="AU4379" s="1">
        <v>11.010999999999999</v>
      </c>
      <c r="AV4379" s="1">
        <v>49.63</v>
      </c>
      <c r="AW4379" s="1">
        <v>34.410000000000004</v>
      </c>
      <c r="AX4379" s="1">
        <v>76.88</v>
      </c>
      <c r="AY4379" s="1">
        <v>76.88</v>
      </c>
    </row>
    <row r="4380" spans="1:52" x14ac:dyDescent="0.3">
      <c r="C4380" s="1" t="s">
        <v>264</v>
      </c>
      <c r="D4380" s="2">
        <f t="shared" si="232"/>
        <v>2019</v>
      </c>
      <c r="E4380" s="2">
        <f t="shared" si="233"/>
        <v>6</v>
      </c>
      <c r="G4380" s="4">
        <v>43634</v>
      </c>
      <c r="H4380" s="1">
        <v>6606237</v>
      </c>
      <c r="I4380" s="1">
        <v>661152</v>
      </c>
      <c r="J4380" s="5" t="s">
        <v>176</v>
      </c>
      <c r="K4380" s="29" t="s">
        <v>256</v>
      </c>
      <c r="L4380" s="1" t="str">
        <f t="shared" si="231"/>
        <v>Oxundaån Rosendal</v>
      </c>
      <c r="M4380" s="1" t="s">
        <v>177</v>
      </c>
      <c r="N4380" s="1">
        <v>0.2</v>
      </c>
      <c r="O4380" s="1">
        <v>0.2</v>
      </c>
      <c r="Q4380" s="1">
        <v>20.399999999999999</v>
      </c>
      <c r="T4380" s="1">
        <v>55.7</v>
      </c>
      <c r="V4380" s="1">
        <v>2.41</v>
      </c>
      <c r="W4380" s="1">
        <v>133</v>
      </c>
      <c r="Y4380" s="1">
        <v>3.5999999999999997E-2</v>
      </c>
      <c r="Z4380" s="1">
        <v>27</v>
      </c>
      <c r="AA4380" s="1">
        <v>4</v>
      </c>
      <c r="AC4380" s="1">
        <v>55.7</v>
      </c>
      <c r="AD4380" s="1">
        <v>31</v>
      </c>
      <c r="AE4380" s="1">
        <v>7.58</v>
      </c>
      <c r="AI4380" s="1">
        <v>10.3</v>
      </c>
      <c r="AK4380" s="1">
        <v>58.2</v>
      </c>
      <c r="AL4380" s="1">
        <v>882</v>
      </c>
      <c r="AR4380" s="1">
        <v>58</v>
      </c>
      <c r="AS4380" s="1">
        <v>0.39</v>
      </c>
      <c r="AT4380" s="1">
        <v>5.8650000000000002</v>
      </c>
      <c r="AU4380" s="1">
        <v>11.010999999999999</v>
      </c>
      <c r="AV4380" s="1">
        <v>49.63</v>
      </c>
      <c r="AW4380" s="1">
        <v>32.116</v>
      </c>
      <c r="AX4380" s="1">
        <v>76.88</v>
      </c>
      <c r="AY4380" s="1">
        <v>76.88</v>
      </c>
    </row>
    <row r="4381" spans="1:52" x14ac:dyDescent="0.3">
      <c r="C4381" s="1" t="s">
        <v>264</v>
      </c>
      <c r="D4381" s="2">
        <f t="shared" si="232"/>
        <v>2019</v>
      </c>
      <c r="E4381" s="2">
        <f t="shared" si="233"/>
        <v>7</v>
      </c>
      <c r="G4381" s="4">
        <v>43662</v>
      </c>
      <c r="H4381" s="1">
        <v>6606237</v>
      </c>
      <c r="I4381" s="1">
        <v>661152</v>
      </c>
      <c r="J4381" s="5" t="s">
        <v>176</v>
      </c>
      <c r="K4381" s="29" t="s">
        <v>256</v>
      </c>
      <c r="L4381" s="1" t="str">
        <f t="shared" si="231"/>
        <v>Oxundaån Rosendal</v>
      </c>
      <c r="M4381" s="1" t="s">
        <v>177</v>
      </c>
      <c r="N4381" s="1">
        <v>0.1</v>
      </c>
      <c r="O4381" s="1">
        <v>0.1</v>
      </c>
      <c r="Q4381" s="1">
        <v>18.100000000000001</v>
      </c>
      <c r="T4381" s="1">
        <v>55.2</v>
      </c>
      <c r="V4381" s="1">
        <v>2.44</v>
      </c>
      <c r="W4381" s="1">
        <v>31</v>
      </c>
      <c r="Y4381" s="1">
        <v>3.4000000000000002E-2</v>
      </c>
      <c r="Z4381" s="1">
        <v>25</v>
      </c>
      <c r="AA4381" s="1">
        <v>2.8</v>
      </c>
      <c r="AC4381" s="1">
        <v>55.2</v>
      </c>
      <c r="AD4381" s="1">
        <v>6</v>
      </c>
      <c r="AE4381" s="1">
        <v>7.82</v>
      </c>
      <c r="AI4381" s="1">
        <v>10.3</v>
      </c>
      <c r="AK4381" s="1">
        <v>56.5</v>
      </c>
      <c r="AL4381" s="1">
        <v>798</v>
      </c>
      <c r="AR4381" s="1">
        <v>60</v>
      </c>
      <c r="AS4381" s="1">
        <v>0.45</v>
      </c>
      <c r="AT4381" s="1">
        <v>5.8650000000000002</v>
      </c>
      <c r="AU4381" s="1">
        <v>11.010999999999999</v>
      </c>
      <c r="AV4381" s="1">
        <v>49.63</v>
      </c>
      <c r="AW4381" s="1">
        <v>34.410000000000004</v>
      </c>
      <c r="AX4381" s="1">
        <v>76.88</v>
      </c>
      <c r="AY4381" s="1">
        <v>76.88</v>
      </c>
    </row>
    <row r="4382" spans="1:52" x14ac:dyDescent="0.3">
      <c r="C4382" s="1" t="s">
        <v>264</v>
      </c>
      <c r="D4382" s="2">
        <f t="shared" si="232"/>
        <v>2019</v>
      </c>
      <c r="E4382" s="2">
        <f t="shared" si="233"/>
        <v>8</v>
      </c>
      <c r="G4382" s="4">
        <v>43691</v>
      </c>
      <c r="H4382" s="1">
        <v>6606237</v>
      </c>
      <c r="I4382" s="1">
        <v>661152</v>
      </c>
      <c r="J4382" s="5" t="s">
        <v>176</v>
      </c>
      <c r="K4382" s="29" t="s">
        <v>256</v>
      </c>
      <c r="L4382" s="1" t="str">
        <f t="shared" si="231"/>
        <v>Oxundaån Rosendal</v>
      </c>
      <c r="M4382" s="1" t="s">
        <v>177</v>
      </c>
      <c r="N4382" s="1">
        <v>0.1</v>
      </c>
      <c r="O4382" s="1">
        <v>0.1</v>
      </c>
      <c r="Q4382" s="1">
        <v>19.100000000000001</v>
      </c>
      <c r="T4382" s="1">
        <v>55.9</v>
      </c>
      <c r="V4382" s="1">
        <v>2.48</v>
      </c>
      <c r="W4382" s="1">
        <v>105</v>
      </c>
      <c r="Y4382" s="1">
        <v>3.4000000000000002E-2</v>
      </c>
      <c r="Z4382" s="1">
        <v>95</v>
      </c>
      <c r="AA4382" s="1">
        <v>1.8</v>
      </c>
      <c r="AC4382" s="1">
        <v>55.9</v>
      </c>
      <c r="AD4382" s="1">
        <v>21</v>
      </c>
      <c r="AE4382" s="1">
        <v>7.58</v>
      </c>
      <c r="AI4382" s="1">
        <v>9.8000000000000007</v>
      </c>
      <c r="AK4382" s="1">
        <v>114</v>
      </c>
      <c r="AL4382" s="1">
        <v>762</v>
      </c>
      <c r="AR4382" s="1">
        <v>60</v>
      </c>
      <c r="AS4382" s="1">
        <v>0.42</v>
      </c>
      <c r="AT4382" s="1">
        <v>5.8650000000000002</v>
      </c>
      <c r="AU4382" s="1">
        <v>11.010999999999999</v>
      </c>
      <c r="AV4382" s="1">
        <v>49.63</v>
      </c>
      <c r="AW4382" s="1">
        <v>36.704000000000001</v>
      </c>
      <c r="AX4382" s="1">
        <v>72.074999999999989</v>
      </c>
      <c r="AY4382" s="1">
        <v>72.074999999999989</v>
      </c>
    </row>
    <row r="4383" spans="1:52" x14ac:dyDescent="0.3">
      <c r="C4383" s="1" t="s">
        <v>264</v>
      </c>
      <c r="D4383" s="2">
        <f t="shared" ref="D4383:D4396" si="234">YEAR(G4383)</f>
        <v>2019</v>
      </c>
      <c r="E4383" s="2">
        <f t="shared" ref="E4383:E4396" si="235">MONTH(G4383)</f>
        <v>9</v>
      </c>
      <c r="G4383" s="4" t="s">
        <v>265</v>
      </c>
      <c r="H4383" s="1">
        <v>6606237</v>
      </c>
      <c r="I4383" s="1">
        <v>661152</v>
      </c>
      <c r="J4383" s="5" t="s">
        <v>176</v>
      </c>
      <c r="K4383" s="29" t="s">
        <v>256</v>
      </c>
      <c r="L4383" s="1" t="str">
        <f t="shared" si="231"/>
        <v>Oxundaån Rosendal</v>
      </c>
      <c r="M4383" s="1" t="s">
        <v>177</v>
      </c>
      <c r="N4383" s="1">
        <v>0.1</v>
      </c>
      <c r="O4383" s="1">
        <v>0.1</v>
      </c>
      <c r="Q4383" s="1">
        <v>15.4</v>
      </c>
      <c r="T4383" s="1">
        <v>54.9</v>
      </c>
      <c r="V4383" s="1">
        <v>2.44</v>
      </c>
      <c r="W4383" s="1">
        <v>67</v>
      </c>
      <c r="Y4383" s="1">
        <v>3.3000000000000002E-2</v>
      </c>
      <c r="Z4383" s="1">
        <v>62</v>
      </c>
      <c r="AA4383" s="1">
        <v>2.7</v>
      </c>
      <c r="AB4383" s="1" t="s">
        <v>266</v>
      </c>
      <c r="AC4383" s="1">
        <v>54.9</v>
      </c>
      <c r="AD4383" s="1">
        <v>16</v>
      </c>
      <c r="AE4383" s="1">
        <v>7.81</v>
      </c>
      <c r="AI4383" s="1">
        <v>9.6999999999999993</v>
      </c>
      <c r="AK4383" s="1">
        <v>92.3</v>
      </c>
      <c r="AL4383" s="1">
        <v>781</v>
      </c>
      <c r="AR4383" s="1">
        <v>58</v>
      </c>
      <c r="AT4383" s="1">
        <v>6</v>
      </c>
      <c r="AU4383" s="1">
        <v>11</v>
      </c>
      <c r="AV4383" s="1">
        <v>49</v>
      </c>
      <c r="AW4383" s="1">
        <v>35</v>
      </c>
      <c r="AX4383" s="1">
        <v>74</v>
      </c>
      <c r="AY4383" s="1">
        <v>0.38</v>
      </c>
    </row>
    <row r="4384" spans="1:52" x14ac:dyDescent="0.3">
      <c r="C4384" s="1" t="s">
        <v>264</v>
      </c>
      <c r="D4384" s="2">
        <f t="shared" si="234"/>
        <v>2019</v>
      </c>
      <c r="E4384" s="2">
        <f t="shared" si="235"/>
        <v>10</v>
      </c>
      <c r="G4384" s="4" t="s">
        <v>267</v>
      </c>
      <c r="H4384" s="1">
        <v>6606237</v>
      </c>
      <c r="I4384" s="1">
        <v>661152</v>
      </c>
      <c r="J4384" s="5" t="s">
        <v>176</v>
      </c>
      <c r="K4384" s="29" t="s">
        <v>256</v>
      </c>
      <c r="L4384" s="1" t="str">
        <f t="shared" si="231"/>
        <v>Oxundaån Rosendal</v>
      </c>
      <c r="M4384" s="1" t="s">
        <v>177</v>
      </c>
      <c r="N4384" s="1">
        <v>0.1</v>
      </c>
      <c r="O4384" s="1">
        <v>0.1</v>
      </c>
      <c r="Q4384" s="1">
        <v>9</v>
      </c>
      <c r="T4384" s="1">
        <v>55.5</v>
      </c>
      <c r="V4384" s="1">
        <v>2.4500000000000002</v>
      </c>
      <c r="W4384" s="1">
        <v>85</v>
      </c>
      <c r="Y4384" s="1">
        <v>3.2000000000000001E-2</v>
      </c>
      <c r="Z4384" s="1">
        <v>59</v>
      </c>
      <c r="AA4384" s="1">
        <v>1.9</v>
      </c>
      <c r="AB4384" s="1" t="s">
        <v>266</v>
      </c>
      <c r="AC4384" s="1">
        <v>55.5</v>
      </c>
      <c r="AD4384" s="1">
        <v>49</v>
      </c>
      <c r="AE4384" s="1">
        <v>7.7</v>
      </c>
      <c r="AI4384" s="1">
        <v>8.6</v>
      </c>
      <c r="AK4384" s="1">
        <v>77.7</v>
      </c>
      <c r="AL4384" s="1">
        <v>733</v>
      </c>
      <c r="AR4384" s="1">
        <v>60</v>
      </c>
      <c r="AT4384" s="1">
        <v>6.2</v>
      </c>
      <c r="AU4384" s="1">
        <v>11</v>
      </c>
      <c r="AV4384" s="1">
        <v>48</v>
      </c>
      <c r="AW4384" s="1">
        <v>35</v>
      </c>
      <c r="AX4384" s="1">
        <v>76</v>
      </c>
      <c r="AY4384" s="1">
        <v>0.74</v>
      </c>
    </row>
    <row r="4385" spans="3:68" x14ac:dyDescent="0.3">
      <c r="C4385" s="1" t="s">
        <v>264</v>
      </c>
      <c r="D4385" s="2">
        <f t="shared" si="234"/>
        <v>2019</v>
      </c>
      <c r="E4385" s="2">
        <f t="shared" si="235"/>
        <v>11</v>
      </c>
      <c r="G4385" s="4" t="s">
        <v>268</v>
      </c>
      <c r="H4385" s="1">
        <v>6606237</v>
      </c>
      <c r="I4385" s="1">
        <v>661152</v>
      </c>
      <c r="J4385" s="5" t="s">
        <v>176</v>
      </c>
      <c r="K4385" s="29" t="s">
        <v>256</v>
      </c>
      <c r="L4385" s="1" t="str">
        <f t="shared" si="231"/>
        <v>Oxundaån Rosendal</v>
      </c>
      <c r="M4385" s="1" t="s">
        <v>177</v>
      </c>
      <c r="N4385" s="1">
        <v>0.1</v>
      </c>
      <c r="O4385" s="1">
        <v>0.1</v>
      </c>
      <c r="Q4385" s="1">
        <v>4.4000000000000004</v>
      </c>
      <c r="T4385" s="1">
        <v>54.3</v>
      </c>
      <c r="V4385" s="1">
        <v>2.23</v>
      </c>
      <c r="W4385" s="1">
        <v>144</v>
      </c>
      <c r="Y4385" s="1">
        <v>3.6999999999999998E-2</v>
      </c>
      <c r="Z4385" s="1">
        <v>59</v>
      </c>
      <c r="AA4385" s="1">
        <v>2.1</v>
      </c>
      <c r="AB4385" s="1" t="s">
        <v>266</v>
      </c>
      <c r="AC4385" s="1">
        <v>54.3</v>
      </c>
      <c r="AD4385" s="1">
        <v>136</v>
      </c>
      <c r="AE4385" s="1">
        <v>7.78</v>
      </c>
      <c r="AI4385" s="1">
        <v>8.6</v>
      </c>
      <c r="AK4385" s="1">
        <v>75.8</v>
      </c>
      <c r="AL4385" s="1">
        <v>854</v>
      </c>
      <c r="AR4385" s="1">
        <v>59</v>
      </c>
      <c r="AT4385" s="1">
        <v>5.9</v>
      </c>
      <c r="AU4385" s="1">
        <v>11</v>
      </c>
      <c r="AV4385" s="1">
        <v>48</v>
      </c>
      <c r="AW4385" s="1">
        <v>33</v>
      </c>
      <c r="AX4385" s="1">
        <v>76</v>
      </c>
      <c r="AY4385" s="1">
        <v>1.4</v>
      </c>
    </row>
    <row r="4386" spans="3:68" x14ac:dyDescent="0.3">
      <c r="C4386" s="1" t="s">
        <v>264</v>
      </c>
      <c r="D4386" s="2">
        <f t="shared" si="234"/>
        <v>2019</v>
      </c>
      <c r="E4386" s="2">
        <f t="shared" si="235"/>
        <v>12</v>
      </c>
      <c r="G4386" s="4" t="s">
        <v>269</v>
      </c>
      <c r="H4386" s="1">
        <v>6606237</v>
      </c>
      <c r="I4386" s="1">
        <v>661152</v>
      </c>
      <c r="J4386" s="5" t="s">
        <v>176</v>
      </c>
      <c r="K4386" s="29" t="s">
        <v>256</v>
      </c>
      <c r="L4386" s="1" t="str">
        <f t="shared" si="231"/>
        <v>Oxundaån Rosendal</v>
      </c>
      <c r="M4386" s="1" t="s">
        <v>177</v>
      </c>
      <c r="N4386" s="1">
        <v>0.1</v>
      </c>
      <c r="O4386" s="1">
        <v>0.1</v>
      </c>
      <c r="Q4386" s="1">
        <v>2.8</v>
      </c>
      <c r="T4386" s="1">
        <v>53.2</v>
      </c>
      <c r="V4386" s="1">
        <v>2.38</v>
      </c>
      <c r="W4386" s="1">
        <v>148</v>
      </c>
      <c r="Y4386" s="1">
        <v>4.5999999999999999E-2</v>
      </c>
      <c r="Z4386" s="1">
        <v>56</v>
      </c>
      <c r="AA4386" s="1">
        <v>7.3</v>
      </c>
      <c r="AB4386" s="1" t="s">
        <v>266</v>
      </c>
      <c r="AC4386" s="1">
        <v>53.2</v>
      </c>
      <c r="AD4386" s="1">
        <v>262</v>
      </c>
      <c r="AE4386" s="1">
        <v>7.74</v>
      </c>
      <c r="AI4386" s="1">
        <v>8.4</v>
      </c>
      <c r="AK4386" s="1">
        <v>78</v>
      </c>
      <c r="AL4386" s="1">
        <v>951</v>
      </c>
      <c r="AR4386" s="1">
        <v>58</v>
      </c>
      <c r="AT4386" s="1">
        <v>5.8</v>
      </c>
      <c r="AU4386" s="1">
        <v>11</v>
      </c>
      <c r="AV4386" s="1">
        <v>46</v>
      </c>
      <c r="AW4386" s="1">
        <v>32</v>
      </c>
      <c r="AX4386" s="1">
        <v>73</v>
      </c>
      <c r="AY4386" s="1">
        <v>2.2000000000000002</v>
      </c>
    </row>
    <row r="4387" spans="3:68" x14ac:dyDescent="0.3">
      <c r="C4387" s="1" t="s">
        <v>264</v>
      </c>
      <c r="D4387" s="2">
        <f t="shared" si="234"/>
        <v>2020</v>
      </c>
      <c r="E4387" s="2">
        <f t="shared" si="235"/>
        <v>1</v>
      </c>
      <c r="G4387" s="4" t="s">
        <v>270</v>
      </c>
      <c r="H4387" s="1">
        <v>6606237</v>
      </c>
      <c r="I4387" s="1">
        <v>661152</v>
      </c>
      <c r="J4387" s="5" t="s">
        <v>176</v>
      </c>
      <c r="K4387" s="1" t="s">
        <v>256</v>
      </c>
      <c r="L4387" s="1" t="str">
        <f t="shared" si="231"/>
        <v>Oxundaån Rosendal</v>
      </c>
      <c r="M4387" s="1" t="s">
        <v>177</v>
      </c>
      <c r="N4387" s="1">
        <v>0.1</v>
      </c>
      <c r="O4387" s="1">
        <v>0.1</v>
      </c>
      <c r="Q4387" s="1">
        <v>1.6</v>
      </c>
      <c r="T4387" s="1">
        <v>54.5</v>
      </c>
      <c r="V4387" s="1">
        <v>2.09</v>
      </c>
      <c r="W4387" s="1">
        <v>82</v>
      </c>
      <c r="Y4387" s="1">
        <v>0.06</v>
      </c>
      <c r="Z4387" s="1">
        <v>31</v>
      </c>
      <c r="AA4387" s="1">
        <v>8.6999999999999993</v>
      </c>
      <c r="AB4387" s="1" t="s">
        <v>266</v>
      </c>
      <c r="AC4387" s="1">
        <v>54.5</v>
      </c>
      <c r="AD4387" s="1">
        <v>1300</v>
      </c>
      <c r="AE4387" s="1">
        <v>7.69</v>
      </c>
      <c r="AI4387" s="1">
        <v>9.5</v>
      </c>
      <c r="AK4387" s="1">
        <v>56.5</v>
      </c>
      <c r="AL4387" s="1">
        <v>1800</v>
      </c>
      <c r="AR4387" s="1">
        <v>56</v>
      </c>
      <c r="AT4387" s="1">
        <v>5.8</v>
      </c>
      <c r="AU4387" s="1">
        <v>12</v>
      </c>
      <c r="AV4387" s="1">
        <v>44</v>
      </c>
      <c r="AW4387" s="1">
        <v>31</v>
      </c>
      <c r="AX4387" s="1">
        <v>89</v>
      </c>
      <c r="AY4387" s="1">
        <v>4</v>
      </c>
    </row>
    <row r="4388" spans="3:68" x14ac:dyDescent="0.3">
      <c r="C4388" s="1" t="s">
        <v>264</v>
      </c>
      <c r="D4388" s="2">
        <f t="shared" si="234"/>
        <v>2020</v>
      </c>
      <c r="E4388" s="2">
        <f t="shared" si="235"/>
        <v>2</v>
      </c>
      <c r="G4388" s="4" t="s">
        <v>271</v>
      </c>
      <c r="H4388" s="1">
        <v>6606237</v>
      </c>
      <c r="I4388" s="1">
        <v>661152</v>
      </c>
      <c r="J4388" s="5" t="s">
        <v>176</v>
      </c>
      <c r="K4388" s="1" t="s">
        <v>256</v>
      </c>
      <c r="L4388" s="1" t="str">
        <f t="shared" si="231"/>
        <v>Oxundaån Rosendal</v>
      </c>
      <c r="M4388" s="1" t="s">
        <v>177</v>
      </c>
      <c r="N4388" s="1">
        <v>0.1</v>
      </c>
      <c r="O4388" s="1">
        <v>0.1</v>
      </c>
      <c r="Q4388" s="1">
        <v>2.9</v>
      </c>
      <c r="T4388" s="1">
        <v>54.6</v>
      </c>
      <c r="V4388" s="1">
        <v>2.16</v>
      </c>
      <c r="W4388" s="1">
        <v>30</v>
      </c>
      <c r="Y4388" s="1">
        <v>5.3999999999999999E-2</v>
      </c>
      <c r="Z4388" s="1">
        <v>26</v>
      </c>
      <c r="AA4388" s="1">
        <v>5.6</v>
      </c>
      <c r="AB4388" s="1" t="s">
        <v>266</v>
      </c>
      <c r="AC4388" s="1">
        <v>54.6</v>
      </c>
      <c r="AD4388" s="1">
        <v>1290</v>
      </c>
      <c r="AE4388" s="1">
        <v>7.77</v>
      </c>
      <c r="AI4388" s="1">
        <v>9.8000000000000007</v>
      </c>
      <c r="AK4388" s="1">
        <v>46.8</v>
      </c>
      <c r="AL4388" s="1">
        <v>1770</v>
      </c>
      <c r="AR4388" s="1">
        <v>58</v>
      </c>
      <c r="AT4388" s="1">
        <v>5.8</v>
      </c>
      <c r="AU4388" s="1">
        <v>11</v>
      </c>
      <c r="AV4388" s="1">
        <v>45</v>
      </c>
      <c r="AW4388" s="1">
        <v>30</v>
      </c>
      <c r="AX4388" s="1">
        <v>86</v>
      </c>
      <c r="AY4388" s="1">
        <v>4.5</v>
      </c>
    </row>
    <row r="4389" spans="3:68" x14ac:dyDescent="0.3">
      <c r="C4389" s="1" t="s">
        <v>264</v>
      </c>
      <c r="D4389" s="2">
        <f t="shared" si="234"/>
        <v>2020</v>
      </c>
      <c r="E4389" s="2">
        <f t="shared" si="235"/>
        <v>3</v>
      </c>
      <c r="G4389" s="4" t="s">
        <v>272</v>
      </c>
      <c r="H4389" s="1">
        <v>6606237</v>
      </c>
      <c r="I4389" s="1">
        <v>661152</v>
      </c>
      <c r="J4389" s="5" t="s">
        <v>176</v>
      </c>
      <c r="K4389" s="1" t="s">
        <v>256</v>
      </c>
      <c r="L4389" s="1" t="str">
        <f t="shared" si="231"/>
        <v>Oxundaån Rosendal</v>
      </c>
      <c r="M4389" s="1" t="s">
        <v>177</v>
      </c>
      <c r="N4389" s="1">
        <v>0.1</v>
      </c>
      <c r="O4389" s="1">
        <v>0.1</v>
      </c>
      <c r="Q4389" s="1">
        <v>3.1</v>
      </c>
      <c r="T4389" s="1">
        <v>53.5</v>
      </c>
      <c r="V4389" s="1">
        <v>2.1800000000000002</v>
      </c>
      <c r="W4389" s="1">
        <v>14</v>
      </c>
      <c r="Y4389" s="1">
        <v>5.2999999999999999E-2</v>
      </c>
      <c r="Z4389" s="1">
        <v>3</v>
      </c>
      <c r="AA4389" s="1">
        <v>7.7</v>
      </c>
      <c r="AB4389" s="1" t="s">
        <v>266</v>
      </c>
      <c r="AC4389" s="1">
        <v>53.5</v>
      </c>
      <c r="AD4389" s="1">
        <v>1080</v>
      </c>
      <c r="AE4389" s="1">
        <v>8.08</v>
      </c>
      <c r="AI4389" s="1">
        <v>10.5</v>
      </c>
      <c r="AK4389" s="1">
        <v>39.200000000000003</v>
      </c>
      <c r="AL4389" s="1">
        <v>1600</v>
      </c>
      <c r="AR4389" s="1">
        <v>60</v>
      </c>
      <c r="AT4389" s="1">
        <v>5.8</v>
      </c>
      <c r="AU4389" s="1">
        <v>11</v>
      </c>
      <c r="AV4389" s="1">
        <v>43</v>
      </c>
      <c r="AW4389" s="1">
        <v>30</v>
      </c>
      <c r="AX4389" s="1">
        <v>84</v>
      </c>
      <c r="AY4389" s="1">
        <v>3.9</v>
      </c>
    </row>
    <row r="4390" spans="3:68" x14ac:dyDescent="0.3">
      <c r="C4390" s="1" t="s">
        <v>264</v>
      </c>
      <c r="D4390" s="2">
        <f t="shared" si="234"/>
        <v>2020</v>
      </c>
      <c r="E4390" s="2">
        <f t="shared" si="235"/>
        <v>4</v>
      </c>
      <c r="G4390" s="4" t="s">
        <v>273</v>
      </c>
      <c r="H4390" s="1">
        <v>6606237</v>
      </c>
      <c r="I4390" s="1">
        <v>661152</v>
      </c>
      <c r="J4390" s="5" t="s">
        <v>176</v>
      </c>
      <c r="K4390" s="1" t="s">
        <v>256</v>
      </c>
      <c r="L4390" s="1" t="str">
        <f t="shared" si="231"/>
        <v>Oxundaån Rosendal</v>
      </c>
      <c r="M4390" s="1" t="s">
        <v>177</v>
      </c>
      <c r="N4390" s="1">
        <v>0.1</v>
      </c>
      <c r="O4390" s="1">
        <v>0.1</v>
      </c>
      <c r="Q4390" s="1">
        <v>6.6</v>
      </c>
      <c r="T4390" s="1">
        <v>54.9</v>
      </c>
      <c r="V4390" s="1">
        <v>2.2200000000000002</v>
      </c>
      <c r="W4390" s="1">
        <v>27</v>
      </c>
      <c r="Y4390" s="1">
        <v>4.3999999999999997E-2</v>
      </c>
      <c r="Z4390" s="1">
        <v>1</v>
      </c>
      <c r="AA4390" s="1">
        <v>3.6</v>
      </c>
      <c r="AB4390" s="1" t="s">
        <v>266</v>
      </c>
      <c r="AC4390" s="1">
        <v>54.9</v>
      </c>
      <c r="AD4390" s="1">
        <v>869</v>
      </c>
      <c r="AE4390" s="1">
        <v>8.07</v>
      </c>
      <c r="AI4390" s="1">
        <v>10.6</v>
      </c>
      <c r="AK4390" s="1">
        <v>26.4</v>
      </c>
      <c r="AL4390" s="1">
        <v>1480</v>
      </c>
      <c r="AR4390" s="1">
        <v>60</v>
      </c>
      <c r="AT4390" s="1">
        <v>5.8</v>
      </c>
      <c r="AU4390" s="1">
        <v>11</v>
      </c>
      <c r="AV4390" s="1">
        <v>44</v>
      </c>
      <c r="AW4390" s="1">
        <v>31</v>
      </c>
      <c r="AX4390" s="1">
        <v>89</v>
      </c>
      <c r="AY4390" s="1">
        <v>3</v>
      </c>
    </row>
    <row r="4391" spans="3:68" x14ac:dyDescent="0.3">
      <c r="C4391" s="1" t="s">
        <v>264</v>
      </c>
      <c r="D4391" s="2">
        <f t="shared" si="234"/>
        <v>2020</v>
      </c>
      <c r="E4391" s="2">
        <f t="shared" si="235"/>
        <v>5</v>
      </c>
      <c r="G4391" s="4" t="s">
        <v>274</v>
      </c>
      <c r="H4391" s="1">
        <v>6606237</v>
      </c>
      <c r="I4391" s="1">
        <v>661152</v>
      </c>
      <c r="J4391" s="5" t="s">
        <v>176</v>
      </c>
      <c r="K4391" s="1" t="s">
        <v>256</v>
      </c>
      <c r="L4391" s="1" t="str">
        <f t="shared" si="231"/>
        <v>Oxundaån Rosendal</v>
      </c>
      <c r="M4391" s="1" t="s">
        <v>177</v>
      </c>
      <c r="N4391" s="1">
        <v>0.1</v>
      </c>
      <c r="O4391" s="1">
        <v>0.1</v>
      </c>
      <c r="Q4391" s="1">
        <v>12.1</v>
      </c>
      <c r="T4391" s="1">
        <v>54.2</v>
      </c>
      <c r="V4391" s="1">
        <v>2.29</v>
      </c>
      <c r="W4391" s="1">
        <v>15</v>
      </c>
      <c r="Y4391" s="1">
        <v>4.4999999999999998E-2</v>
      </c>
      <c r="Z4391" s="1">
        <v>0.5</v>
      </c>
      <c r="AA4391" s="1">
        <v>4</v>
      </c>
      <c r="AB4391" s="1" t="s">
        <v>266</v>
      </c>
      <c r="AC4391" s="1">
        <v>54.2</v>
      </c>
      <c r="AD4391" s="1">
        <v>455</v>
      </c>
      <c r="AE4391" s="1">
        <v>8.0500000000000007</v>
      </c>
      <c r="AI4391" s="1">
        <v>10.5</v>
      </c>
      <c r="AK4391" s="1">
        <v>29.3</v>
      </c>
      <c r="AL4391" s="1">
        <v>1170</v>
      </c>
      <c r="AR4391" s="1">
        <v>61</v>
      </c>
      <c r="AT4391" s="1">
        <v>5.7</v>
      </c>
      <c r="AU4391" s="1">
        <v>11</v>
      </c>
      <c r="AV4391" s="1">
        <v>46</v>
      </c>
      <c r="AW4391" s="1">
        <v>31</v>
      </c>
      <c r="AX4391" s="1">
        <v>78</v>
      </c>
      <c r="AY4391" s="1">
        <v>1.5</v>
      </c>
    </row>
    <row r="4392" spans="3:68" x14ac:dyDescent="0.3">
      <c r="C4392" s="1" t="s">
        <v>264</v>
      </c>
      <c r="D4392" s="2">
        <f t="shared" si="234"/>
        <v>2020</v>
      </c>
      <c r="E4392" s="2">
        <f t="shared" si="235"/>
        <v>6</v>
      </c>
      <c r="G4392" s="4" t="s">
        <v>275</v>
      </c>
      <c r="H4392" s="1">
        <v>6606237</v>
      </c>
      <c r="I4392" s="1">
        <v>661152</v>
      </c>
      <c r="J4392" s="5" t="s">
        <v>176</v>
      </c>
      <c r="K4392" s="1" t="s">
        <v>256</v>
      </c>
      <c r="L4392" s="1" t="str">
        <f t="shared" si="231"/>
        <v>Oxundaån Rosendal</v>
      </c>
      <c r="M4392" s="1" t="s">
        <v>177</v>
      </c>
      <c r="N4392" s="1">
        <v>0.1</v>
      </c>
      <c r="O4392" s="1">
        <v>0.1</v>
      </c>
      <c r="Q4392" s="1">
        <v>20.7</v>
      </c>
      <c r="T4392" s="1">
        <v>55.6</v>
      </c>
      <c r="V4392" s="1">
        <v>2.41</v>
      </c>
      <c r="W4392" s="1">
        <v>128</v>
      </c>
      <c r="Y4392" s="1">
        <v>4.4999999999999998E-2</v>
      </c>
      <c r="Z4392" s="1">
        <v>4</v>
      </c>
      <c r="AA4392" s="1">
        <v>2.9</v>
      </c>
      <c r="AB4392" s="1" t="s">
        <v>266</v>
      </c>
      <c r="AC4392" s="1">
        <v>55.6</v>
      </c>
      <c r="AD4392" s="1">
        <v>31</v>
      </c>
      <c r="AE4392" s="1">
        <v>7.94</v>
      </c>
      <c r="AI4392" s="1">
        <v>11</v>
      </c>
      <c r="AK4392" s="1">
        <v>38.1</v>
      </c>
      <c r="AL4392" s="1">
        <v>837</v>
      </c>
      <c r="AR4392" s="1">
        <v>64</v>
      </c>
      <c r="AT4392" s="1">
        <v>6</v>
      </c>
      <c r="AU4392" s="1">
        <v>12</v>
      </c>
      <c r="AV4392" s="1">
        <v>46</v>
      </c>
      <c r="AW4392" s="1">
        <v>31</v>
      </c>
      <c r="AX4392" s="1">
        <v>91</v>
      </c>
      <c r="AY4392" s="1">
        <v>0.44</v>
      </c>
    </row>
    <row r="4393" spans="3:68" x14ac:dyDescent="0.3">
      <c r="C4393" s="1" t="s">
        <v>264</v>
      </c>
      <c r="D4393" s="2">
        <f t="shared" si="234"/>
        <v>2020</v>
      </c>
      <c r="E4393" s="2">
        <f t="shared" si="235"/>
        <v>7</v>
      </c>
      <c r="G4393" s="4" t="s">
        <v>276</v>
      </c>
      <c r="H4393" s="1">
        <v>6606237</v>
      </c>
      <c r="I4393" s="1">
        <v>661152</v>
      </c>
      <c r="J4393" s="5" t="s">
        <v>176</v>
      </c>
      <c r="K4393" s="1" t="s">
        <v>256</v>
      </c>
      <c r="L4393" s="1" t="str">
        <f t="shared" si="231"/>
        <v>Oxundaån Rosendal</v>
      </c>
      <c r="M4393" s="1" t="s">
        <v>177</v>
      </c>
      <c r="N4393" s="1">
        <v>0.1</v>
      </c>
      <c r="O4393" s="1">
        <v>0.1</v>
      </c>
      <c r="Q4393" s="1">
        <v>19.7</v>
      </c>
      <c r="T4393" s="1">
        <v>54.4</v>
      </c>
      <c r="V4393" s="1">
        <v>2.42</v>
      </c>
      <c r="W4393" s="1">
        <v>35</v>
      </c>
      <c r="Y4393" s="1">
        <v>5.0999999999999997E-2</v>
      </c>
      <c r="Z4393" s="1">
        <v>19</v>
      </c>
      <c r="AA4393" s="1">
        <v>3.8</v>
      </c>
      <c r="AB4393" s="1">
        <v>21</v>
      </c>
      <c r="AC4393" s="1">
        <v>54.4</v>
      </c>
      <c r="AD4393" s="1">
        <v>18</v>
      </c>
      <c r="AE4393" s="1">
        <v>7.93</v>
      </c>
      <c r="AI4393" s="1">
        <v>10.9</v>
      </c>
      <c r="AK4393" s="1">
        <v>57.8</v>
      </c>
      <c r="AL4393" s="1">
        <v>819</v>
      </c>
      <c r="AR4393" s="1">
        <v>61</v>
      </c>
      <c r="AT4393" s="1">
        <v>5.8</v>
      </c>
      <c r="AU4393" s="1">
        <v>11</v>
      </c>
      <c r="AV4393" s="1">
        <v>45</v>
      </c>
      <c r="AW4393" s="1">
        <v>30</v>
      </c>
      <c r="AX4393" s="1">
        <v>83</v>
      </c>
      <c r="AY4393" s="1">
        <v>0.56999999999999995</v>
      </c>
    </row>
    <row r="4394" spans="3:68" x14ac:dyDescent="0.3">
      <c r="C4394" s="1" t="s">
        <v>264</v>
      </c>
      <c r="D4394" s="2">
        <f t="shared" si="234"/>
        <v>2020</v>
      </c>
      <c r="E4394" s="2">
        <f t="shared" si="235"/>
        <v>8</v>
      </c>
      <c r="G4394" s="4" t="s">
        <v>277</v>
      </c>
      <c r="H4394" s="1">
        <v>6606237</v>
      </c>
      <c r="I4394" s="1">
        <v>661152</v>
      </c>
      <c r="J4394" s="5" t="s">
        <v>176</v>
      </c>
      <c r="K4394" s="1" t="s">
        <v>256</v>
      </c>
      <c r="L4394" s="1" t="str">
        <f t="shared" si="231"/>
        <v>Oxundaån Rosendal</v>
      </c>
      <c r="M4394" s="1" t="s">
        <v>177</v>
      </c>
      <c r="N4394" s="1">
        <v>0.1</v>
      </c>
      <c r="O4394" s="1">
        <v>0.1</v>
      </c>
      <c r="Q4394" s="1">
        <v>22.8</v>
      </c>
      <c r="T4394" s="1">
        <v>54.9</v>
      </c>
      <c r="V4394" s="1">
        <v>2.48</v>
      </c>
      <c r="W4394" s="1">
        <v>64</v>
      </c>
      <c r="Y4394" s="1">
        <v>3.4000000000000002E-2</v>
      </c>
      <c r="Z4394" s="1">
        <v>25</v>
      </c>
      <c r="AA4394" s="1">
        <v>2.2000000000000002</v>
      </c>
      <c r="AB4394" s="1">
        <v>2.7</v>
      </c>
      <c r="AC4394" s="1">
        <v>54.9</v>
      </c>
      <c r="AD4394" s="1">
        <v>14</v>
      </c>
      <c r="AE4394" s="1">
        <v>7.77</v>
      </c>
      <c r="AI4394" s="1">
        <v>9.6</v>
      </c>
      <c r="AK4394" s="1">
        <v>58</v>
      </c>
      <c r="AL4394" s="1">
        <v>746</v>
      </c>
      <c r="AR4394" s="1">
        <v>61</v>
      </c>
      <c r="AT4394" s="1">
        <v>6</v>
      </c>
      <c r="AU4394" s="1">
        <v>12</v>
      </c>
      <c r="AV4394" s="1">
        <v>46</v>
      </c>
      <c r="AW4394" s="1">
        <v>33</v>
      </c>
      <c r="AX4394" s="1">
        <v>79</v>
      </c>
      <c r="AY4394" s="1">
        <v>1.1000000000000001</v>
      </c>
    </row>
    <row r="4395" spans="3:68" x14ac:dyDescent="0.3">
      <c r="C4395" s="1" t="s">
        <v>264</v>
      </c>
      <c r="D4395" s="2">
        <f t="shared" si="234"/>
        <v>2020</v>
      </c>
      <c r="E4395" s="2">
        <f t="shared" si="235"/>
        <v>9</v>
      </c>
      <c r="G4395" s="4" t="s">
        <v>278</v>
      </c>
      <c r="H4395" s="1">
        <v>6606237</v>
      </c>
      <c r="I4395" s="1">
        <v>661152</v>
      </c>
      <c r="J4395" s="5" t="s">
        <v>176</v>
      </c>
      <c r="K4395" s="1" t="s">
        <v>256</v>
      </c>
      <c r="L4395" s="1" t="str">
        <f t="shared" si="231"/>
        <v>Oxundaån Rosendal</v>
      </c>
      <c r="M4395" s="1" t="s">
        <v>177</v>
      </c>
      <c r="N4395" s="1">
        <v>0.1</v>
      </c>
      <c r="O4395" s="1">
        <v>0.1</v>
      </c>
      <c r="Q4395" s="1">
        <v>15.6</v>
      </c>
      <c r="T4395" s="1">
        <v>54.7</v>
      </c>
      <c r="V4395" s="1">
        <v>2.48</v>
      </c>
      <c r="W4395" s="1">
        <v>59</v>
      </c>
      <c r="Y4395" s="1">
        <v>3.3000000000000002E-2</v>
      </c>
      <c r="Z4395" s="1">
        <v>57</v>
      </c>
      <c r="AA4395" s="1">
        <v>1.9</v>
      </c>
      <c r="AB4395" s="1" t="s">
        <v>266</v>
      </c>
      <c r="AC4395" s="1">
        <v>54.7</v>
      </c>
      <c r="AD4395" s="1">
        <v>22</v>
      </c>
      <c r="AE4395" s="1">
        <v>7.79</v>
      </c>
      <c r="AI4395" s="1">
        <v>10.1</v>
      </c>
      <c r="AK4395" s="1">
        <v>76.8</v>
      </c>
      <c r="AL4395" s="1">
        <v>740</v>
      </c>
      <c r="AR4395" s="1">
        <v>61</v>
      </c>
      <c r="AT4395" s="1">
        <v>5.9</v>
      </c>
      <c r="AU4395" s="1">
        <v>11</v>
      </c>
      <c r="AV4395" s="1">
        <v>45</v>
      </c>
      <c r="AW4395" s="1">
        <v>31</v>
      </c>
      <c r="AX4395" s="1">
        <v>78</v>
      </c>
      <c r="AY4395" s="1">
        <v>1.4</v>
      </c>
    </row>
    <row r="4396" spans="3:68" x14ac:dyDescent="0.3">
      <c r="C4396" s="1" t="s">
        <v>264</v>
      </c>
      <c r="D4396" s="2">
        <f t="shared" si="234"/>
        <v>2020</v>
      </c>
      <c r="E4396" s="2">
        <f t="shared" si="235"/>
        <v>10</v>
      </c>
      <c r="G4396" s="4" t="s">
        <v>279</v>
      </c>
      <c r="H4396" s="1">
        <v>6606237</v>
      </c>
      <c r="I4396" s="1">
        <v>661152</v>
      </c>
      <c r="J4396" s="5" t="s">
        <v>176</v>
      </c>
      <c r="K4396" s="1" t="s">
        <v>256</v>
      </c>
      <c r="L4396" s="1" t="str">
        <f t="shared" si="231"/>
        <v>Oxundaån Rosendal</v>
      </c>
      <c r="M4396" s="1" t="s">
        <v>177</v>
      </c>
      <c r="N4396" s="1">
        <v>0.1</v>
      </c>
      <c r="O4396" s="1">
        <v>0.1</v>
      </c>
      <c r="Q4396" s="1">
        <v>11.5</v>
      </c>
      <c r="T4396" s="1">
        <v>54.7</v>
      </c>
      <c r="V4396" s="1">
        <v>2.4500000000000002</v>
      </c>
      <c r="W4396" s="1">
        <v>128</v>
      </c>
      <c r="Y4396" s="1">
        <v>3.9E-2</v>
      </c>
      <c r="Z4396" s="1">
        <v>54</v>
      </c>
      <c r="AA4396" s="1">
        <v>2.1</v>
      </c>
      <c r="AB4396" s="1" t="s">
        <v>266</v>
      </c>
      <c r="AC4396" s="1">
        <v>54.7</v>
      </c>
      <c r="AD4396" s="1">
        <v>63</v>
      </c>
      <c r="AE4396" s="1">
        <v>7.68</v>
      </c>
      <c r="AI4396" s="1">
        <v>9.5</v>
      </c>
      <c r="AK4396" s="1">
        <v>71.599999999999994</v>
      </c>
      <c r="AL4396" s="1">
        <v>794</v>
      </c>
      <c r="AR4396" s="1">
        <v>60</v>
      </c>
      <c r="AT4396" s="1">
        <v>6.2</v>
      </c>
      <c r="AU4396" s="1">
        <v>12</v>
      </c>
      <c r="AV4396" s="1">
        <v>45</v>
      </c>
      <c r="AW4396" s="1">
        <v>32</v>
      </c>
      <c r="AX4396" s="1">
        <v>80</v>
      </c>
      <c r="AY4396" s="1">
        <v>1.9</v>
      </c>
    </row>
    <row r="4397" spans="3:68" x14ac:dyDescent="0.3">
      <c r="C4397" s="1" t="s">
        <v>264</v>
      </c>
      <c r="D4397" s="2">
        <f t="shared" ref="D4397:D4401" si="236">YEAR(G4397)</f>
        <v>2019</v>
      </c>
      <c r="E4397" s="2">
        <f t="shared" ref="E4397:E4401" si="237">MONTH(G4397)</f>
        <v>10</v>
      </c>
      <c r="G4397" s="4" t="s">
        <v>280</v>
      </c>
      <c r="H4397" s="1">
        <v>6606632</v>
      </c>
      <c r="I4397" s="1">
        <v>665189</v>
      </c>
      <c r="J4397" s="1" t="s">
        <v>181</v>
      </c>
      <c r="L4397" s="1" t="str">
        <f t="shared" si="231"/>
        <v xml:space="preserve">Fysingen </v>
      </c>
      <c r="M4397" s="1" t="s">
        <v>177</v>
      </c>
      <c r="N4397" s="1">
        <v>0.5</v>
      </c>
      <c r="O4397" s="1">
        <v>0.5</v>
      </c>
      <c r="P4397" s="1">
        <v>3</v>
      </c>
      <c r="Q4397" s="1">
        <v>8.6</v>
      </c>
      <c r="R4397" s="1">
        <v>10.28</v>
      </c>
      <c r="T4397" s="1">
        <v>62.8</v>
      </c>
      <c r="V4397" s="1">
        <v>1.99</v>
      </c>
      <c r="W4397" s="1">
        <v>30</v>
      </c>
      <c r="Y4397" s="1">
        <v>5.5E-2</v>
      </c>
      <c r="Z4397" s="1">
        <v>1</v>
      </c>
      <c r="AA4397" s="1">
        <v>2.2999999999999998</v>
      </c>
      <c r="AB4397" s="1">
        <v>3.1</v>
      </c>
      <c r="AC4397" s="1">
        <v>62.8</v>
      </c>
      <c r="AD4397" s="1">
        <v>21</v>
      </c>
      <c r="AE4397" s="1">
        <v>7.94</v>
      </c>
      <c r="AI4397" s="1">
        <v>10.9</v>
      </c>
      <c r="AK4397" s="1">
        <v>21.1</v>
      </c>
      <c r="AL4397" s="1">
        <v>816</v>
      </c>
      <c r="AR4397" s="1">
        <v>66</v>
      </c>
      <c r="AS4397" s="1">
        <v>72</v>
      </c>
      <c r="AT4397" s="1">
        <v>6.2</v>
      </c>
      <c r="AU4397" s="1">
        <v>16</v>
      </c>
      <c r="AV4397" s="1">
        <v>47</v>
      </c>
      <c r="AW4397" s="1">
        <v>35</v>
      </c>
      <c r="AX4397" s="1">
        <v>140</v>
      </c>
      <c r="AY4397" s="1">
        <v>0.44</v>
      </c>
      <c r="AZ4397" s="1">
        <v>84</v>
      </c>
      <c r="BA4397" s="1">
        <v>0.55000000000000004</v>
      </c>
      <c r="BC4397" s="1">
        <v>8.0000000000000002E-3</v>
      </c>
      <c r="BD4397" s="1">
        <v>0.47</v>
      </c>
      <c r="BE4397" s="1">
        <v>0.12</v>
      </c>
      <c r="BF4397" s="1">
        <v>0.64</v>
      </c>
      <c r="BH4397" s="1">
        <v>79</v>
      </c>
      <c r="BJ4397" s="1">
        <v>4.8</v>
      </c>
      <c r="BL4397" s="1">
        <v>7.0000000000000007E-2</v>
      </c>
      <c r="BN4397" s="1">
        <v>0.34</v>
      </c>
      <c r="BO4397" s="1">
        <v>1.3</v>
      </c>
      <c r="BP4397" s="1">
        <v>11</v>
      </c>
    </row>
    <row r="4398" spans="3:68" x14ac:dyDescent="0.3">
      <c r="C4398" s="1" t="s">
        <v>264</v>
      </c>
      <c r="D4398" s="2">
        <f t="shared" si="236"/>
        <v>2020</v>
      </c>
      <c r="E4398" s="2">
        <f t="shared" si="237"/>
        <v>2</v>
      </c>
      <c r="G4398" s="4" t="s">
        <v>281</v>
      </c>
      <c r="H4398" s="1">
        <v>6606632</v>
      </c>
      <c r="I4398" s="1">
        <v>665189</v>
      </c>
      <c r="J4398" s="1" t="s">
        <v>181</v>
      </c>
      <c r="K4398" s="1"/>
      <c r="L4398" s="1" t="str">
        <f t="shared" si="231"/>
        <v xml:space="preserve">Fysingen </v>
      </c>
      <c r="M4398" s="1" t="s">
        <v>177</v>
      </c>
      <c r="N4398" s="1">
        <v>0.5</v>
      </c>
      <c r="O4398" s="1">
        <v>0.5</v>
      </c>
      <c r="P4398" s="1">
        <v>1</v>
      </c>
      <c r="Q4398" s="1">
        <v>2.2000000000000002</v>
      </c>
      <c r="R4398" s="1">
        <v>14.36</v>
      </c>
      <c r="T4398" s="1">
        <v>59.8</v>
      </c>
      <c r="V4398" s="1">
        <v>1.62</v>
      </c>
      <c r="W4398" s="1">
        <v>76</v>
      </c>
      <c r="Y4398" s="1">
        <v>4.8000000000000001E-2</v>
      </c>
      <c r="Z4398" s="1">
        <v>5</v>
      </c>
      <c r="AA4398" s="1">
        <v>12</v>
      </c>
      <c r="AB4398" s="1">
        <v>10</v>
      </c>
      <c r="AC4398" s="1">
        <v>59.8</v>
      </c>
      <c r="AD4398" s="1">
        <v>2330</v>
      </c>
      <c r="AE4398" s="1">
        <v>7.73</v>
      </c>
      <c r="AI4398" s="1">
        <v>9.5</v>
      </c>
      <c r="AK4398" s="1">
        <v>38.1</v>
      </c>
      <c r="AL4398" s="1">
        <v>2820</v>
      </c>
      <c r="AR4398" s="1">
        <v>69</v>
      </c>
      <c r="AS4398" s="1">
        <v>330</v>
      </c>
      <c r="AT4398" s="1">
        <v>6.6</v>
      </c>
      <c r="AU4398" s="1">
        <v>16</v>
      </c>
      <c r="AV4398" s="1">
        <v>39</v>
      </c>
      <c r="AW4398" s="1">
        <v>28</v>
      </c>
      <c r="AX4398" s="1">
        <v>160</v>
      </c>
      <c r="AY4398" s="1">
        <v>6.4</v>
      </c>
      <c r="AZ4398" s="1">
        <v>420</v>
      </c>
      <c r="BA4398" s="1" t="s">
        <v>266</v>
      </c>
      <c r="BC4398" s="1" t="s">
        <v>266</v>
      </c>
      <c r="BD4398" s="1" t="s">
        <v>266</v>
      </c>
      <c r="BE4398" s="1" t="s">
        <v>266</v>
      </c>
      <c r="BF4398" s="1" t="s">
        <v>266</v>
      </c>
      <c r="BH4398" s="1">
        <v>190</v>
      </c>
      <c r="BJ4398" s="1" t="s">
        <v>266</v>
      </c>
      <c r="BL4398" s="1" t="s">
        <v>266</v>
      </c>
      <c r="BN4398" s="1" t="s">
        <v>266</v>
      </c>
      <c r="BO4398" s="1" t="s">
        <v>266</v>
      </c>
      <c r="BP4398" s="1" t="s">
        <v>266</v>
      </c>
    </row>
    <row r="4399" spans="3:68" x14ac:dyDescent="0.3">
      <c r="C4399" s="1" t="s">
        <v>264</v>
      </c>
      <c r="D4399" s="2">
        <f t="shared" si="236"/>
        <v>2020</v>
      </c>
      <c r="E4399" s="2">
        <f t="shared" si="237"/>
        <v>4</v>
      </c>
      <c r="G4399" s="4" t="s">
        <v>282</v>
      </c>
      <c r="H4399" s="1">
        <v>6606632</v>
      </c>
      <c r="I4399" s="1">
        <v>665189</v>
      </c>
      <c r="J4399" s="1" t="s">
        <v>181</v>
      </c>
      <c r="K4399" s="1"/>
      <c r="L4399" s="1" t="str">
        <f t="shared" si="231"/>
        <v xml:space="preserve">Fysingen </v>
      </c>
      <c r="M4399" s="1" t="s">
        <v>177</v>
      </c>
      <c r="N4399" s="1">
        <v>0.5</v>
      </c>
      <c r="O4399" s="1">
        <v>0.5</v>
      </c>
      <c r="P4399" s="1">
        <v>1.6</v>
      </c>
      <c r="Q4399" s="1">
        <v>5</v>
      </c>
      <c r="R4399" s="1">
        <v>13.46</v>
      </c>
      <c r="T4399" s="1">
        <v>59.8</v>
      </c>
      <c r="V4399" s="1">
        <v>1.67</v>
      </c>
      <c r="W4399" s="1">
        <v>6</v>
      </c>
      <c r="Y4399" s="1">
        <v>4.2000000000000003E-2</v>
      </c>
      <c r="Z4399" s="1">
        <v>2</v>
      </c>
      <c r="AA4399" s="1">
        <v>5.4</v>
      </c>
      <c r="AB4399" s="1">
        <v>6.5</v>
      </c>
      <c r="AC4399" s="1">
        <v>59.8</v>
      </c>
      <c r="AD4399" s="1">
        <v>2230</v>
      </c>
      <c r="AE4399" s="1">
        <v>7.84</v>
      </c>
      <c r="AI4399" s="1">
        <v>9.9</v>
      </c>
      <c r="AK4399" s="1">
        <v>24.8</v>
      </c>
      <c r="AL4399" s="1">
        <v>2720</v>
      </c>
      <c r="AR4399" s="1">
        <v>69</v>
      </c>
      <c r="AS4399" s="1">
        <v>160</v>
      </c>
      <c r="AT4399" s="1">
        <v>6.2</v>
      </c>
      <c r="AU4399" s="1">
        <v>12</v>
      </c>
      <c r="AV4399" s="1">
        <v>36</v>
      </c>
      <c r="AW4399" s="1">
        <v>28</v>
      </c>
      <c r="AX4399" s="1">
        <v>150</v>
      </c>
      <c r="AY4399" s="1">
        <v>6</v>
      </c>
      <c r="AZ4399" s="1">
        <v>190</v>
      </c>
      <c r="BA4399" s="1" t="s">
        <v>266</v>
      </c>
      <c r="BC4399" s="1" t="s">
        <v>266</v>
      </c>
      <c r="BD4399" s="1" t="s">
        <v>266</v>
      </c>
      <c r="BE4399" s="1" t="s">
        <v>266</v>
      </c>
      <c r="BF4399" s="1" t="s">
        <v>266</v>
      </c>
      <c r="BH4399" s="1">
        <v>82</v>
      </c>
      <c r="BJ4399" s="1" t="s">
        <v>266</v>
      </c>
      <c r="BL4399" s="1" t="s">
        <v>266</v>
      </c>
      <c r="BN4399" s="1" t="s">
        <v>266</v>
      </c>
      <c r="BO4399" s="1" t="s">
        <v>266</v>
      </c>
      <c r="BP4399" s="1" t="s">
        <v>266</v>
      </c>
    </row>
    <row r="4400" spans="3:68" x14ac:dyDescent="0.3">
      <c r="C4400" s="1" t="s">
        <v>264</v>
      </c>
      <c r="D4400" s="2">
        <f t="shared" si="236"/>
        <v>2020</v>
      </c>
      <c r="E4400" s="2">
        <f t="shared" si="237"/>
        <v>8</v>
      </c>
      <c r="G4400" s="4" t="s">
        <v>283</v>
      </c>
      <c r="H4400" s="1">
        <v>6606632</v>
      </c>
      <c r="I4400" s="1">
        <v>665189</v>
      </c>
      <c r="J4400" s="1" t="s">
        <v>181</v>
      </c>
      <c r="K4400" s="1"/>
      <c r="L4400" s="1" t="str">
        <f t="shared" si="231"/>
        <v xml:space="preserve">Fysingen </v>
      </c>
      <c r="M4400" s="1" t="s">
        <v>177</v>
      </c>
      <c r="N4400" s="1">
        <v>0.5</v>
      </c>
      <c r="O4400" s="1">
        <v>0.5</v>
      </c>
      <c r="P4400" s="1">
        <v>1.5</v>
      </c>
      <c r="Q4400" s="1">
        <v>20.5</v>
      </c>
      <c r="R4400" s="1">
        <v>9.2100000000000009</v>
      </c>
      <c r="T4400" s="1">
        <v>63.9</v>
      </c>
      <c r="V4400" s="1">
        <v>2.12</v>
      </c>
      <c r="W4400" s="1">
        <v>8</v>
      </c>
      <c r="Y4400" s="1">
        <v>8.5000000000000006E-2</v>
      </c>
      <c r="Z4400" s="1">
        <v>0.5</v>
      </c>
      <c r="AA4400" s="1">
        <v>3.5</v>
      </c>
      <c r="AB4400" s="1">
        <v>13</v>
      </c>
      <c r="AC4400" s="1">
        <v>63.9</v>
      </c>
      <c r="AD4400" s="1">
        <v>4</v>
      </c>
      <c r="AE4400" s="1">
        <v>8.11</v>
      </c>
      <c r="AI4400" s="1">
        <v>9.3000000000000007</v>
      </c>
      <c r="AK4400" s="1">
        <v>22.8</v>
      </c>
      <c r="AL4400" s="1">
        <v>680</v>
      </c>
      <c r="AR4400" s="1">
        <v>71</v>
      </c>
      <c r="AS4400" s="1">
        <v>51</v>
      </c>
      <c r="AT4400" s="1">
        <v>6.3</v>
      </c>
      <c r="AU4400" s="1">
        <v>17</v>
      </c>
      <c r="AV4400" s="1">
        <v>44</v>
      </c>
      <c r="AW4400" s="1">
        <v>32</v>
      </c>
      <c r="AX4400" s="1">
        <v>160</v>
      </c>
      <c r="AY4400" s="1">
        <v>0.55000000000000004</v>
      </c>
      <c r="AZ4400" s="1">
        <v>62</v>
      </c>
      <c r="BA4400" s="1" t="s">
        <v>266</v>
      </c>
      <c r="BC4400" s="1" t="s">
        <v>266</v>
      </c>
      <c r="BD4400" s="1" t="s">
        <v>266</v>
      </c>
      <c r="BE4400" s="1" t="s">
        <v>266</v>
      </c>
      <c r="BF4400" s="1" t="s">
        <v>266</v>
      </c>
      <c r="BH4400" s="1">
        <v>160</v>
      </c>
      <c r="BJ4400" s="1" t="s">
        <v>266</v>
      </c>
      <c r="BL4400" s="1" t="s">
        <v>266</v>
      </c>
      <c r="BN4400" s="1" t="s">
        <v>266</v>
      </c>
      <c r="BO4400" s="1" t="s">
        <v>266</v>
      </c>
      <c r="BP4400" s="1" t="s">
        <v>266</v>
      </c>
    </row>
    <row r="4401" spans="1:68" x14ac:dyDescent="0.3">
      <c r="C4401" s="1" t="s">
        <v>264</v>
      </c>
      <c r="D4401" s="2">
        <f t="shared" si="236"/>
        <v>2020</v>
      </c>
      <c r="E4401" s="2">
        <f t="shared" si="237"/>
        <v>10</v>
      </c>
      <c r="G4401" s="4" t="s">
        <v>279</v>
      </c>
      <c r="H4401" s="1">
        <v>6606632</v>
      </c>
      <c r="I4401" s="1">
        <v>665189</v>
      </c>
      <c r="J4401" s="1" t="s">
        <v>181</v>
      </c>
      <c r="K4401" s="1"/>
      <c r="L4401" s="1" t="str">
        <f t="shared" si="231"/>
        <v xml:space="preserve">Fysingen </v>
      </c>
      <c r="M4401" s="1" t="s">
        <v>177</v>
      </c>
      <c r="N4401" s="1">
        <v>0.5</v>
      </c>
      <c r="O4401" s="1">
        <v>0.5</v>
      </c>
      <c r="P4401" s="1">
        <v>2.5</v>
      </c>
      <c r="Q4401" s="1">
        <v>10.5</v>
      </c>
      <c r="R4401" s="1">
        <v>10.11</v>
      </c>
      <c r="T4401" s="1">
        <v>63.9</v>
      </c>
      <c r="V4401" s="1">
        <v>2.14</v>
      </c>
      <c r="W4401" s="1">
        <v>30</v>
      </c>
      <c r="Y4401" s="1">
        <v>2.8000000000000001E-2</v>
      </c>
      <c r="Z4401" s="1">
        <v>1</v>
      </c>
      <c r="AA4401" s="1">
        <v>1.8</v>
      </c>
      <c r="AB4401" s="1">
        <v>6.1</v>
      </c>
      <c r="AC4401" s="1">
        <v>63.9</v>
      </c>
      <c r="AD4401" s="1">
        <v>59</v>
      </c>
      <c r="AE4401" s="1">
        <v>7.82</v>
      </c>
      <c r="AI4401" s="1">
        <v>8.5</v>
      </c>
      <c r="AK4401" s="1">
        <v>15.6</v>
      </c>
      <c r="AL4401" s="1">
        <v>616</v>
      </c>
      <c r="AR4401" s="1">
        <v>71</v>
      </c>
      <c r="AS4401" s="1">
        <v>47</v>
      </c>
      <c r="AT4401" s="1">
        <v>6.6</v>
      </c>
      <c r="AU4401" s="1">
        <v>17</v>
      </c>
      <c r="AV4401" s="1">
        <v>44</v>
      </c>
      <c r="AW4401" s="1">
        <v>33</v>
      </c>
      <c r="AX4401" s="1">
        <v>150</v>
      </c>
      <c r="AY4401" s="1">
        <v>0.79</v>
      </c>
      <c r="AZ4401" s="1">
        <v>54</v>
      </c>
      <c r="BA4401" s="1">
        <v>0.63</v>
      </c>
      <c r="BC4401" s="1">
        <v>6.0000000000000001E-3</v>
      </c>
      <c r="BD4401" s="1">
        <v>0.4</v>
      </c>
      <c r="BE4401" s="1">
        <v>0.1</v>
      </c>
      <c r="BF4401" s="1">
        <v>0.66</v>
      </c>
      <c r="BH4401" s="1">
        <v>110</v>
      </c>
      <c r="BJ4401" s="1">
        <v>5.3</v>
      </c>
      <c r="BL4401" s="1">
        <v>0.06</v>
      </c>
      <c r="BN4401" s="1">
        <v>0.37</v>
      </c>
      <c r="BO4401" s="1">
        <v>1.2</v>
      </c>
      <c r="BP4401" s="1">
        <v>13</v>
      </c>
    </row>
    <row r="4402" spans="1:68" x14ac:dyDescent="0.3">
      <c r="A4402" s="1">
        <v>77299</v>
      </c>
      <c r="B4402" s="1" t="s">
        <v>284</v>
      </c>
      <c r="C4402" s="1" t="s">
        <v>231</v>
      </c>
      <c r="D4402" s="2">
        <f t="shared" ref="D4402:D4465" si="238">YEAR(G4402)</f>
        <v>2020</v>
      </c>
      <c r="E4402" s="2">
        <f t="shared" ref="E4402:E4465" si="239">MONTH(G4402)</f>
        <v>2</v>
      </c>
      <c r="G4402" s="4">
        <v>43879</v>
      </c>
      <c r="H4402" s="1">
        <v>6595172</v>
      </c>
      <c r="I4402" s="1">
        <v>669610</v>
      </c>
      <c r="J4402" s="1" t="s">
        <v>183</v>
      </c>
      <c r="K4402" s="1"/>
      <c r="L4402" s="1" t="str">
        <f t="shared" si="231"/>
        <v xml:space="preserve">Fjäturen </v>
      </c>
      <c r="M4402" s="1" t="s">
        <v>285</v>
      </c>
      <c r="N4402" s="1">
        <v>0.5</v>
      </c>
      <c r="O4402" s="1">
        <v>0.5</v>
      </c>
      <c r="P4402" s="1">
        <v>2.6</v>
      </c>
      <c r="Q4402" s="1">
        <v>2.8</v>
      </c>
      <c r="R4402" s="1">
        <v>12.9</v>
      </c>
      <c r="S4402" s="1">
        <v>97</v>
      </c>
      <c r="W4402" s="1">
        <v>14.267099999999999</v>
      </c>
      <c r="X4402" s="1">
        <v>0.1371362532292798</v>
      </c>
      <c r="Y4402" s="1">
        <v>7.0999999999999994E-2</v>
      </c>
      <c r="Z4402" s="1">
        <v>0</v>
      </c>
      <c r="AA4402" s="1">
        <v>2</v>
      </c>
      <c r="AD4402" s="1">
        <v>228.47</v>
      </c>
      <c r="AE4402" s="1">
        <v>7.97</v>
      </c>
      <c r="AK4402" s="1">
        <v>21.1</v>
      </c>
      <c r="AL4402" s="1">
        <v>737.25</v>
      </c>
    </row>
    <row r="4403" spans="1:68" x14ac:dyDescent="0.3">
      <c r="A4403" s="1">
        <v>77300</v>
      </c>
      <c r="B4403" s="1" t="s">
        <v>284</v>
      </c>
      <c r="C4403" s="1" t="s">
        <v>231</v>
      </c>
      <c r="D4403" s="2">
        <f t="shared" si="238"/>
        <v>2020</v>
      </c>
      <c r="E4403" s="2">
        <f t="shared" si="239"/>
        <v>2</v>
      </c>
      <c r="G4403" s="4">
        <v>43879</v>
      </c>
      <c r="H4403" s="1">
        <v>6595172</v>
      </c>
      <c r="I4403" s="1">
        <v>669610</v>
      </c>
      <c r="J4403" s="1" t="s">
        <v>183</v>
      </c>
      <c r="K4403" s="1"/>
      <c r="L4403" s="1" t="str">
        <f t="shared" si="231"/>
        <v xml:space="preserve">Fjäturen </v>
      </c>
      <c r="M4403" s="1" t="s">
        <v>211</v>
      </c>
      <c r="N4403" s="1">
        <v>1</v>
      </c>
      <c r="O4403" s="1">
        <v>1</v>
      </c>
      <c r="Q4403" s="1">
        <v>2.7</v>
      </c>
      <c r="R4403" s="1">
        <v>12.9</v>
      </c>
      <c r="S4403" s="1">
        <v>97</v>
      </c>
    </row>
    <row r="4404" spans="1:68" x14ac:dyDescent="0.3">
      <c r="A4404" s="1">
        <v>77301</v>
      </c>
      <c r="B4404" s="1" t="s">
        <v>284</v>
      </c>
      <c r="C4404" s="1" t="s">
        <v>231</v>
      </c>
      <c r="D4404" s="2">
        <f t="shared" si="238"/>
        <v>2020</v>
      </c>
      <c r="E4404" s="2">
        <f t="shared" si="239"/>
        <v>2</v>
      </c>
      <c r="G4404" s="4">
        <v>43879</v>
      </c>
      <c r="H4404" s="1">
        <v>6595172</v>
      </c>
      <c r="I4404" s="1">
        <v>669610</v>
      </c>
      <c r="J4404" s="1" t="s">
        <v>183</v>
      </c>
      <c r="K4404" s="1"/>
      <c r="L4404" s="1" t="str">
        <f t="shared" si="231"/>
        <v xml:space="preserve">Fjäturen </v>
      </c>
      <c r="M4404" s="1" t="s">
        <v>212</v>
      </c>
      <c r="N4404" s="1">
        <v>2</v>
      </c>
      <c r="O4404" s="1">
        <v>2</v>
      </c>
      <c r="Q4404" s="1">
        <v>2.7</v>
      </c>
      <c r="R4404" s="1">
        <v>12.9</v>
      </c>
      <c r="S4404" s="1">
        <v>97</v>
      </c>
    </row>
    <row r="4405" spans="1:68" x14ac:dyDescent="0.3">
      <c r="A4405" s="1">
        <v>77302</v>
      </c>
      <c r="B4405" s="1" t="s">
        <v>284</v>
      </c>
      <c r="C4405" s="1" t="s">
        <v>231</v>
      </c>
      <c r="D4405" s="2">
        <f t="shared" si="238"/>
        <v>2020</v>
      </c>
      <c r="E4405" s="2">
        <f t="shared" si="239"/>
        <v>2</v>
      </c>
      <c r="G4405" s="4">
        <v>43879</v>
      </c>
      <c r="H4405" s="1">
        <v>6595172</v>
      </c>
      <c r="I4405" s="1">
        <v>669610</v>
      </c>
      <c r="J4405" s="1" t="s">
        <v>183</v>
      </c>
      <c r="K4405" s="1"/>
      <c r="L4405" s="1" t="str">
        <f t="shared" si="231"/>
        <v xml:space="preserve">Fjäturen </v>
      </c>
      <c r="M4405" s="1" t="s">
        <v>213</v>
      </c>
      <c r="N4405" s="1">
        <v>3</v>
      </c>
      <c r="O4405" s="1">
        <v>3</v>
      </c>
      <c r="Q4405" s="1">
        <v>2.7</v>
      </c>
      <c r="R4405" s="1">
        <v>12.9</v>
      </c>
      <c r="S4405" s="1">
        <v>96</v>
      </c>
    </row>
    <row r="4406" spans="1:68" x14ac:dyDescent="0.3">
      <c r="A4406" s="1">
        <v>77303</v>
      </c>
      <c r="B4406" s="1" t="s">
        <v>284</v>
      </c>
      <c r="C4406" s="1" t="s">
        <v>231</v>
      </c>
      <c r="D4406" s="2">
        <f t="shared" si="238"/>
        <v>2020</v>
      </c>
      <c r="E4406" s="2">
        <f t="shared" si="239"/>
        <v>2</v>
      </c>
      <c r="G4406" s="4">
        <v>43879</v>
      </c>
      <c r="H4406" s="1">
        <v>6595172</v>
      </c>
      <c r="I4406" s="1">
        <v>669610</v>
      </c>
      <c r="J4406" s="1" t="s">
        <v>183</v>
      </c>
      <c r="K4406" s="1"/>
      <c r="L4406" s="1" t="str">
        <f t="shared" si="231"/>
        <v xml:space="preserve">Fjäturen </v>
      </c>
      <c r="M4406" s="1" t="s">
        <v>214</v>
      </c>
      <c r="N4406" s="1">
        <v>4</v>
      </c>
      <c r="O4406" s="1">
        <v>4</v>
      </c>
      <c r="Q4406" s="1">
        <v>2.7</v>
      </c>
      <c r="R4406" s="1">
        <v>12.9</v>
      </c>
      <c r="S4406" s="1">
        <v>96</v>
      </c>
    </row>
    <row r="4407" spans="1:68" x14ac:dyDescent="0.3">
      <c r="A4407" s="1">
        <v>77304</v>
      </c>
      <c r="B4407" s="1" t="s">
        <v>284</v>
      </c>
      <c r="C4407" s="1" t="s">
        <v>231</v>
      </c>
      <c r="D4407" s="2">
        <f t="shared" si="238"/>
        <v>2020</v>
      </c>
      <c r="E4407" s="2">
        <f t="shared" si="239"/>
        <v>2</v>
      </c>
      <c r="G4407" s="4">
        <v>43879</v>
      </c>
      <c r="H4407" s="1">
        <v>6595172</v>
      </c>
      <c r="I4407" s="1">
        <v>669610</v>
      </c>
      <c r="J4407" s="1" t="s">
        <v>183</v>
      </c>
      <c r="K4407" s="1"/>
      <c r="L4407" s="1" t="str">
        <f t="shared" si="231"/>
        <v xml:space="preserve">Fjäturen </v>
      </c>
      <c r="M4407" s="1" t="s">
        <v>217</v>
      </c>
      <c r="N4407" s="1">
        <v>5</v>
      </c>
      <c r="O4407" s="1">
        <v>5</v>
      </c>
      <c r="Q4407" s="1">
        <v>2.7</v>
      </c>
      <c r="R4407" s="1">
        <v>12.9</v>
      </c>
      <c r="S4407" s="1">
        <v>96</v>
      </c>
    </row>
    <row r="4408" spans="1:68" x14ac:dyDescent="0.3">
      <c r="A4408" s="1">
        <v>77305</v>
      </c>
      <c r="B4408" s="1" t="s">
        <v>284</v>
      </c>
      <c r="C4408" s="1" t="s">
        <v>231</v>
      </c>
      <c r="D4408" s="2">
        <f t="shared" si="238"/>
        <v>2020</v>
      </c>
      <c r="E4408" s="2">
        <f t="shared" si="239"/>
        <v>2</v>
      </c>
      <c r="G4408" s="4">
        <v>43879</v>
      </c>
      <c r="H4408" s="1">
        <v>6595172</v>
      </c>
      <c r="I4408" s="1">
        <v>669610</v>
      </c>
      <c r="J4408" s="1" t="s">
        <v>183</v>
      </c>
      <c r="K4408" s="1"/>
      <c r="L4408" s="1" t="str">
        <f t="shared" si="231"/>
        <v xml:space="preserve">Fjäturen </v>
      </c>
      <c r="M4408" s="1" t="s">
        <v>218</v>
      </c>
      <c r="N4408" s="1">
        <v>6</v>
      </c>
      <c r="O4408" s="1">
        <v>6</v>
      </c>
      <c r="Q4408" s="1">
        <v>2.7</v>
      </c>
      <c r="R4408" s="1">
        <v>12.9</v>
      </c>
      <c r="S4408" s="1">
        <v>96</v>
      </c>
    </row>
    <row r="4409" spans="1:68" x14ac:dyDescent="0.3">
      <c r="A4409" s="1">
        <v>77306</v>
      </c>
      <c r="B4409" s="1" t="s">
        <v>284</v>
      </c>
      <c r="C4409" s="1" t="s">
        <v>231</v>
      </c>
      <c r="D4409" s="2">
        <f t="shared" si="238"/>
        <v>2020</v>
      </c>
      <c r="E4409" s="2">
        <f t="shared" si="239"/>
        <v>2</v>
      </c>
      <c r="G4409" s="4">
        <v>43879</v>
      </c>
      <c r="H4409" s="1">
        <v>6595172</v>
      </c>
      <c r="I4409" s="1">
        <v>669610</v>
      </c>
      <c r="J4409" s="1" t="s">
        <v>183</v>
      </c>
      <c r="K4409" s="1"/>
      <c r="L4409" s="1" t="str">
        <f t="shared" si="231"/>
        <v xml:space="preserve">Fjäturen </v>
      </c>
      <c r="M4409" s="1" t="s">
        <v>219</v>
      </c>
      <c r="N4409" s="1">
        <v>7</v>
      </c>
      <c r="O4409" s="1">
        <v>7</v>
      </c>
      <c r="Q4409" s="1">
        <v>2.7</v>
      </c>
      <c r="R4409" s="1">
        <v>12.9</v>
      </c>
      <c r="S4409" s="1">
        <v>96</v>
      </c>
    </row>
    <row r="4410" spans="1:68" x14ac:dyDescent="0.3">
      <c r="A4410" s="1">
        <v>77307</v>
      </c>
      <c r="B4410" s="1" t="s">
        <v>284</v>
      </c>
      <c r="C4410" s="1" t="s">
        <v>231</v>
      </c>
      <c r="D4410" s="2">
        <f t="shared" si="238"/>
        <v>2020</v>
      </c>
      <c r="E4410" s="2">
        <f t="shared" si="239"/>
        <v>2</v>
      </c>
      <c r="G4410" s="4">
        <v>43879</v>
      </c>
      <c r="H4410" s="1">
        <v>6595172</v>
      </c>
      <c r="I4410" s="1">
        <v>669610</v>
      </c>
      <c r="J4410" s="1" t="s">
        <v>183</v>
      </c>
      <c r="K4410" s="1"/>
      <c r="L4410" s="1" t="str">
        <f t="shared" si="231"/>
        <v xml:space="preserve">Fjäturen </v>
      </c>
      <c r="M4410" s="1" t="s">
        <v>220</v>
      </c>
      <c r="N4410" s="1">
        <v>8</v>
      </c>
      <c r="O4410" s="1">
        <v>8</v>
      </c>
      <c r="Q4410" s="1">
        <v>2.7</v>
      </c>
      <c r="R4410" s="1">
        <v>12.9</v>
      </c>
      <c r="S4410" s="1">
        <v>96</v>
      </c>
    </row>
    <row r="4411" spans="1:68" x14ac:dyDescent="0.3">
      <c r="A4411" s="1">
        <v>77308</v>
      </c>
      <c r="B4411" s="1" t="s">
        <v>284</v>
      </c>
      <c r="C4411" s="1" t="s">
        <v>231</v>
      </c>
      <c r="D4411" s="2">
        <f t="shared" si="238"/>
        <v>2020</v>
      </c>
      <c r="E4411" s="2">
        <f t="shared" si="239"/>
        <v>2</v>
      </c>
      <c r="G4411" s="4">
        <v>43879</v>
      </c>
      <c r="H4411" s="1">
        <v>6595172</v>
      </c>
      <c r="I4411" s="1">
        <v>669610</v>
      </c>
      <c r="J4411" s="1" t="s">
        <v>183</v>
      </c>
      <c r="K4411" s="1"/>
      <c r="L4411" s="1" t="str">
        <f t="shared" si="231"/>
        <v xml:space="preserve">Fjäturen </v>
      </c>
      <c r="M4411" s="1" t="s">
        <v>286</v>
      </c>
      <c r="N4411" s="1">
        <v>9</v>
      </c>
      <c r="O4411" s="1">
        <v>9</v>
      </c>
      <c r="Q4411" s="1">
        <v>2.7</v>
      </c>
      <c r="R4411" s="1">
        <v>12.8</v>
      </c>
      <c r="S4411" s="1">
        <v>95</v>
      </c>
      <c r="W4411" s="1">
        <v>14.0405</v>
      </c>
      <c r="X4411" s="1">
        <v>0.12788911193713576</v>
      </c>
      <c r="Y4411" s="1">
        <v>7.6999999999999999E-2</v>
      </c>
      <c r="Z4411" s="1">
        <v>0.4</v>
      </c>
      <c r="AA4411" s="1">
        <v>2.8</v>
      </c>
      <c r="AD4411" s="1">
        <v>232.3</v>
      </c>
      <c r="AE4411" s="1">
        <v>7.95</v>
      </c>
      <c r="AK4411" s="1">
        <v>18.82</v>
      </c>
      <c r="AL4411" s="1">
        <v>853.39</v>
      </c>
    </row>
    <row r="4412" spans="1:68" x14ac:dyDescent="0.3">
      <c r="A4412" s="1">
        <v>77309</v>
      </c>
      <c r="B4412" s="1" t="s">
        <v>284</v>
      </c>
      <c r="C4412" s="1" t="s">
        <v>231</v>
      </c>
      <c r="D4412" s="2">
        <f t="shared" si="238"/>
        <v>2020</v>
      </c>
      <c r="E4412" s="2">
        <f t="shared" si="239"/>
        <v>2</v>
      </c>
      <c r="G4412" s="4">
        <v>43879</v>
      </c>
      <c r="H4412" s="1">
        <v>6593536</v>
      </c>
      <c r="I4412" s="1">
        <v>664946</v>
      </c>
      <c r="J4412" s="1" t="s">
        <v>188</v>
      </c>
      <c r="K4412" s="1"/>
      <c r="L4412" s="1" t="str">
        <f t="shared" si="231"/>
        <v xml:space="preserve">Ravalen </v>
      </c>
      <c r="M4412" s="1" t="s">
        <v>285</v>
      </c>
      <c r="N4412" s="1">
        <v>0.5</v>
      </c>
      <c r="O4412" s="1">
        <v>0.5</v>
      </c>
      <c r="P4412" s="1">
        <v>1.3</v>
      </c>
      <c r="Q4412" s="1">
        <v>3.3</v>
      </c>
      <c r="R4412" s="1">
        <v>12.9</v>
      </c>
      <c r="S4412" s="1">
        <v>98</v>
      </c>
      <c r="W4412" s="1">
        <v>16.330400000000001</v>
      </c>
      <c r="X4412" s="1">
        <v>0.16727427710573142</v>
      </c>
      <c r="Y4412" s="1">
        <v>0.123</v>
      </c>
      <c r="Z4412" s="1">
        <v>0.43</v>
      </c>
      <c r="AA4412" s="1">
        <v>4.5</v>
      </c>
      <c r="AD4412" s="1">
        <v>500.08</v>
      </c>
      <c r="AE4412" s="1">
        <v>7.98</v>
      </c>
      <c r="AK4412" s="1">
        <v>31.89</v>
      </c>
      <c r="AL4412" s="1">
        <v>1406.57</v>
      </c>
    </row>
    <row r="4413" spans="1:68" x14ac:dyDescent="0.3">
      <c r="A4413" s="1">
        <v>77310</v>
      </c>
      <c r="B4413" s="1" t="s">
        <v>284</v>
      </c>
      <c r="C4413" s="1" t="s">
        <v>231</v>
      </c>
      <c r="D4413" s="2">
        <f t="shared" si="238"/>
        <v>2020</v>
      </c>
      <c r="E4413" s="2">
        <f t="shared" si="239"/>
        <v>2</v>
      </c>
      <c r="G4413" s="4">
        <v>43879</v>
      </c>
      <c r="H4413" s="1">
        <v>6593536</v>
      </c>
      <c r="I4413" s="1">
        <v>664946</v>
      </c>
      <c r="J4413" s="1" t="s">
        <v>188</v>
      </c>
      <c r="K4413" s="1"/>
      <c r="L4413" s="1" t="str">
        <f t="shared" si="231"/>
        <v xml:space="preserve">Ravalen </v>
      </c>
      <c r="M4413" s="1" t="s">
        <v>211</v>
      </c>
      <c r="N4413" s="1">
        <v>1</v>
      </c>
      <c r="O4413" s="1">
        <v>1</v>
      </c>
      <c r="Q4413" s="1">
        <v>3.3</v>
      </c>
      <c r="R4413" s="1">
        <v>12.9</v>
      </c>
      <c r="S4413" s="1">
        <v>98</v>
      </c>
    </row>
    <row r="4414" spans="1:68" x14ac:dyDescent="0.3">
      <c r="A4414" s="1">
        <v>77311</v>
      </c>
      <c r="B4414" s="1" t="s">
        <v>284</v>
      </c>
      <c r="C4414" s="1" t="s">
        <v>231</v>
      </c>
      <c r="D4414" s="2">
        <f t="shared" si="238"/>
        <v>2020</v>
      </c>
      <c r="E4414" s="2">
        <f t="shared" si="239"/>
        <v>2</v>
      </c>
      <c r="G4414" s="4">
        <v>43879</v>
      </c>
      <c r="H4414" s="1">
        <v>6593536</v>
      </c>
      <c r="I4414" s="1">
        <v>664946</v>
      </c>
      <c r="J4414" s="1" t="s">
        <v>188</v>
      </c>
      <c r="K4414" s="1"/>
      <c r="L4414" s="1" t="str">
        <f t="shared" ref="L4414:L4477" si="240">CONCATENATE(J4414," ",K4414)</f>
        <v xml:space="preserve">Ravalen </v>
      </c>
      <c r="M4414" s="1" t="s">
        <v>286</v>
      </c>
      <c r="N4414" s="1">
        <v>2</v>
      </c>
      <c r="O4414" s="1">
        <v>2</v>
      </c>
      <c r="Q4414" s="1">
        <v>3.3</v>
      </c>
      <c r="R4414" s="1">
        <v>12.9</v>
      </c>
      <c r="S4414" s="1">
        <v>98</v>
      </c>
      <c r="W4414" s="1">
        <v>17.639399999999998</v>
      </c>
      <c r="X4414" s="1">
        <v>0.19791885664463782</v>
      </c>
      <c r="Y4414" s="1">
        <v>0.123</v>
      </c>
      <c r="Z4414" s="1">
        <v>0.43</v>
      </c>
      <c r="AA4414" s="1">
        <v>3.6</v>
      </c>
      <c r="AD4414" s="1">
        <v>500.68</v>
      </c>
      <c r="AE4414" s="1">
        <v>8.02</v>
      </c>
      <c r="AK4414" s="1">
        <v>30.84</v>
      </c>
      <c r="AL4414" s="1">
        <v>1434.53</v>
      </c>
    </row>
    <row r="4415" spans="1:68" x14ac:dyDescent="0.3">
      <c r="A4415" s="1">
        <v>77312</v>
      </c>
      <c r="B4415" s="1" t="s">
        <v>284</v>
      </c>
      <c r="C4415" s="1" t="s">
        <v>231</v>
      </c>
      <c r="D4415" s="2">
        <f t="shared" si="238"/>
        <v>2020</v>
      </c>
      <c r="E4415" s="2">
        <f t="shared" si="239"/>
        <v>2</v>
      </c>
      <c r="G4415" s="4">
        <v>43879</v>
      </c>
      <c r="H4415" s="1">
        <v>6594092</v>
      </c>
      <c r="I4415" s="1">
        <v>661375</v>
      </c>
      <c r="J4415" s="1" t="s">
        <v>193</v>
      </c>
      <c r="K4415" s="1"/>
      <c r="L4415" s="1" t="str">
        <f t="shared" si="240"/>
        <v xml:space="preserve">Översjön </v>
      </c>
      <c r="M4415" s="1" t="s">
        <v>285</v>
      </c>
      <c r="N4415" s="1">
        <v>0.5</v>
      </c>
      <c r="O4415" s="1">
        <v>0.5</v>
      </c>
      <c r="P4415" s="1">
        <v>3</v>
      </c>
      <c r="Q4415" s="1">
        <v>3</v>
      </c>
      <c r="R4415" s="1">
        <v>13.3</v>
      </c>
      <c r="S4415" s="1">
        <v>100</v>
      </c>
      <c r="W4415" s="1">
        <v>100.22709999999999</v>
      </c>
      <c r="X4415" s="1">
        <v>1.0974371753014718</v>
      </c>
      <c r="Y4415" s="1">
        <v>7.2999999999999995E-2</v>
      </c>
      <c r="Z4415" s="1">
        <v>0</v>
      </c>
      <c r="AA4415" s="1">
        <v>2</v>
      </c>
      <c r="AD4415" s="1">
        <v>193.22</v>
      </c>
      <c r="AE4415" s="1">
        <v>8.02</v>
      </c>
      <c r="AK4415" s="1">
        <v>29.11</v>
      </c>
      <c r="AL4415" s="1">
        <v>1282.1500000000001</v>
      </c>
    </row>
    <row r="4416" spans="1:68" x14ac:dyDescent="0.3">
      <c r="A4416" s="1">
        <v>77313</v>
      </c>
      <c r="B4416" s="1" t="s">
        <v>284</v>
      </c>
      <c r="C4416" s="1" t="s">
        <v>231</v>
      </c>
      <c r="D4416" s="2">
        <f t="shared" si="238"/>
        <v>2020</v>
      </c>
      <c r="E4416" s="2">
        <f t="shared" si="239"/>
        <v>2</v>
      </c>
      <c r="G4416" s="4">
        <v>43879</v>
      </c>
      <c r="H4416" s="1">
        <v>6594092</v>
      </c>
      <c r="I4416" s="1">
        <v>661375</v>
      </c>
      <c r="J4416" s="1" t="s">
        <v>193</v>
      </c>
      <c r="K4416" s="1"/>
      <c r="L4416" s="1" t="str">
        <f t="shared" si="240"/>
        <v xml:space="preserve">Översjön </v>
      </c>
      <c r="M4416" s="1" t="s">
        <v>211</v>
      </c>
      <c r="N4416" s="1">
        <v>1</v>
      </c>
      <c r="O4416" s="1">
        <v>1</v>
      </c>
      <c r="Q4416" s="1">
        <v>3</v>
      </c>
      <c r="R4416" s="1">
        <v>13.3</v>
      </c>
      <c r="S4416" s="1">
        <v>100</v>
      </c>
    </row>
    <row r="4417" spans="1:38" x14ac:dyDescent="0.3">
      <c r="A4417" s="1">
        <v>77314</v>
      </c>
      <c r="B4417" s="1" t="s">
        <v>284</v>
      </c>
      <c r="C4417" s="1" t="s">
        <v>231</v>
      </c>
      <c r="D4417" s="2">
        <f t="shared" si="238"/>
        <v>2020</v>
      </c>
      <c r="E4417" s="2">
        <f t="shared" si="239"/>
        <v>2</v>
      </c>
      <c r="G4417" s="4">
        <v>43879</v>
      </c>
      <c r="H4417" s="1">
        <v>6594092</v>
      </c>
      <c r="I4417" s="1">
        <v>661375</v>
      </c>
      <c r="J4417" s="1" t="s">
        <v>193</v>
      </c>
      <c r="K4417" s="1"/>
      <c r="L4417" s="1" t="str">
        <f t="shared" si="240"/>
        <v xml:space="preserve">Översjön </v>
      </c>
      <c r="M4417" s="1" t="s">
        <v>212</v>
      </c>
      <c r="N4417" s="1">
        <v>2</v>
      </c>
      <c r="O4417" s="1">
        <v>2</v>
      </c>
      <c r="Q4417" s="1">
        <v>3</v>
      </c>
      <c r="R4417" s="1">
        <v>13.3</v>
      </c>
      <c r="S4417" s="1">
        <v>100</v>
      </c>
    </row>
    <row r="4418" spans="1:38" x14ac:dyDescent="0.3">
      <c r="A4418" s="1">
        <v>77315</v>
      </c>
      <c r="B4418" s="1" t="s">
        <v>284</v>
      </c>
      <c r="C4418" s="1" t="s">
        <v>231</v>
      </c>
      <c r="D4418" s="2">
        <f t="shared" si="238"/>
        <v>2020</v>
      </c>
      <c r="E4418" s="2">
        <f t="shared" si="239"/>
        <v>2</v>
      </c>
      <c r="G4418" s="4">
        <v>43879</v>
      </c>
      <c r="H4418" s="1">
        <v>6594092</v>
      </c>
      <c r="I4418" s="1">
        <v>661375</v>
      </c>
      <c r="J4418" s="1" t="s">
        <v>193</v>
      </c>
      <c r="K4418" s="1"/>
      <c r="L4418" s="1" t="str">
        <f t="shared" si="240"/>
        <v xml:space="preserve">Översjön </v>
      </c>
      <c r="M4418" s="1" t="s">
        <v>213</v>
      </c>
      <c r="N4418" s="1">
        <v>3</v>
      </c>
      <c r="O4418" s="1">
        <v>3</v>
      </c>
      <c r="Q4418" s="1">
        <v>3</v>
      </c>
      <c r="R4418" s="1">
        <v>13.3</v>
      </c>
      <c r="S4418" s="1">
        <v>100</v>
      </c>
    </row>
    <row r="4419" spans="1:38" x14ac:dyDescent="0.3">
      <c r="A4419" s="1">
        <v>77316</v>
      </c>
      <c r="B4419" s="1" t="s">
        <v>284</v>
      </c>
      <c r="C4419" s="1" t="s">
        <v>231</v>
      </c>
      <c r="D4419" s="2">
        <f t="shared" si="238"/>
        <v>2020</v>
      </c>
      <c r="E4419" s="2">
        <f t="shared" si="239"/>
        <v>2</v>
      </c>
      <c r="G4419" s="4">
        <v>43879</v>
      </c>
      <c r="H4419" s="1">
        <v>6594092</v>
      </c>
      <c r="I4419" s="1">
        <v>661375</v>
      </c>
      <c r="J4419" s="1" t="s">
        <v>193</v>
      </c>
      <c r="K4419" s="1"/>
      <c r="L4419" s="1" t="str">
        <f t="shared" si="240"/>
        <v xml:space="preserve">Översjön </v>
      </c>
      <c r="M4419" s="1" t="s">
        <v>286</v>
      </c>
      <c r="N4419" s="1">
        <v>4</v>
      </c>
      <c r="O4419" s="1">
        <v>4</v>
      </c>
      <c r="Q4419" s="1">
        <v>3</v>
      </c>
      <c r="R4419" s="1">
        <v>13.2</v>
      </c>
      <c r="S4419" s="1">
        <v>100</v>
      </c>
      <c r="W4419" s="1">
        <v>100.57599999999999</v>
      </c>
      <c r="X4419" s="1">
        <v>0.98266685136496923</v>
      </c>
      <c r="Y4419" s="1">
        <v>6.7000000000000004E-2</v>
      </c>
      <c r="Z4419" s="1">
        <v>0</v>
      </c>
      <c r="AA4419" s="1">
        <v>1.9</v>
      </c>
      <c r="AD4419" s="1">
        <v>195.13</v>
      </c>
      <c r="AE4419" s="1">
        <v>7.97</v>
      </c>
      <c r="AK4419" s="1">
        <v>33</v>
      </c>
      <c r="AL4419" s="1">
        <v>1271.3</v>
      </c>
    </row>
    <row r="4420" spans="1:38" x14ac:dyDescent="0.3">
      <c r="A4420" s="1">
        <v>77317</v>
      </c>
      <c r="B4420" s="1" t="s">
        <v>284</v>
      </c>
      <c r="C4420" s="1" t="s">
        <v>231</v>
      </c>
      <c r="D4420" s="2">
        <f t="shared" si="238"/>
        <v>2020</v>
      </c>
      <c r="E4420" s="2">
        <f t="shared" si="239"/>
        <v>2</v>
      </c>
      <c r="G4420" s="4">
        <v>43879</v>
      </c>
      <c r="H4420" s="1">
        <v>6593594</v>
      </c>
      <c r="I4420" s="1">
        <v>669799</v>
      </c>
      <c r="J4420" s="1" t="s">
        <v>189</v>
      </c>
      <c r="K4420" s="1"/>
      <c r="L4420" s="1" t="str">
        <f t="shared" si="240"/>
        <v xml:space="preserve">Rösjön </v>
      </c>
      <c r="M4420" s="1" t="s">
        <v>285</v>
      </c>
      <c r="N4420" s="1">
        <v>0.5</v>
      </c>
      <c r="O4420" s="1">
        <v>0.5</v>
      </c>
      <c r="P4420" s="1">
        <v>2.9</v>
      </c>
      <c r="Q4420" s="1">
        <v>2.4</v>
      </c>
      <c r="R4420" s="1">
        <v>13.2</v>
      </c>
      <c r="S4420" s="1">
        <v>97</v>
      </c>
      <c r="W4420" s="1">
        <v>-0.37430000000000002</v>
      </c>
      <c r="X4420" s="1">
        <v>-1.8354197319944555E-3</v>
      </c>
      <c r="Y4420" s="1">
        <v>5.7000000000000002E-2</v>
      </c>
      <c r="Z4420" s="1">
        <v>3.11</v>
      </c>
      <c r="AA4420" s="1">
        <v>2.8</v>
      </c>
      <c r="AD4420" s="1">
        <v>157.71</v>
      </c>
      <c r="AE4420" s="1">
        <v>7.69</v>
      </c>
      <c r="AI4420" s="1">
        <v>8.798</v>
      </c>
      <c r="AJ4420" s="1">
        <v>8.4290000000000003</v>
      </c>
      <c r="AK4420" s="1">
        <v>16.53</v>
      </c>
      <c r="AL4420" s="1">
        <v>583.16</v>
      </c>
    </row>
    <row r="4421" spans="1:38" x14ac:dyDescent="0.3">
      <c r="A4421" s="1">
        <v>77318</v>
      </c>
      <c r="B4421" s="1" t="s">
        <v>284</v>
      </c>
      <c r="C4421" s="1" t="s">
        <v>231</v>
      </c>
      <c r="D4421" s="2">
        <f t="shared" si="238"/>
        <v>2020</v>
      </c>
      <c r="E4421" s="2">
        <f t="shared" si="239"/>
        <v>2</v>
      </c>
      <c r="G4421" s="4">
        <v>43879</v>
      </c>
      <c r="H4421" s="1">
        <v>6593594</v>
      </c>
      <c r="I4421" s="1">
        <v>669799</v>
      </c>
      <c r="J4421" s="1" t="s">
        <v>189</v>
      </c>
      <c r="K4421" s="1"/>
      <c r="L4421" s="1" t="str">
        <f t="shared" si="240"/>
        <v xml:space="preserve">Rösjön </v>
      </c>
      <c r="M4421" s="1" t="s">
        <v>211</v>
      </c>
      <c r="N4421" s="1">
        <v>1</v>
      </c>
      <c r="O4421" s="1">
        <v>1</v>
      </c>
      <c r="Q4421" s="1">
        <v>2.6</v>
      </c>
      <c r="R4421" s="1">
        <v>13.1</v>
      </c>
      <c r="S4421" s="1">
        <v>97</v>
      </c>
    </row>
    <row r="4422" spans="1:38" x14ac:dyDescent="0.3">
      <c r="A4422" s="1">
        <v>77319</v>
      </c>
      <c r="B4422" s="1" t="s">
        <v>284</v>
      </c>
      <c r="C4422" s="1" t="s">
        <v>231</v>
      </c>
      <c r="D4422" s="2">
        <f t="shared" si="238"/>
        <v>2020</v>
      </c>
      <c r="E4422" s="2">
        <f t="shared" si="239"/>
        <v>2</v>
      </c>
      <c r="G4422" s="4">
        <v>43879</v>
      </c>
      <c r="H4422" s="1">
        <v>6593594</v>
      </c>
      <c r="I4422" s="1">
        <v>669799</v>
      </c>
      <c r="J4422" s="1" t="s">
        <v>189</v>
      </c>
      <c r="K4422" s="1"/>
      <c r="L4422" s="1" t="str">
        <f t="shared" si="240"/>
        <v xml:space="preserve">Rösjön </v>
      </c>
      <c r="M4422" s="1" t="s">
        <v>212</v>
      </c>
      <c r="N4422" s="1">
        <v>2</v>
      </c>
      <c r="O4422" s="1">
        <v>2</v>
      </c>
      <c r="Q4422" s="1">
        <v>2.9</v>
      </c>
      <c r="R4422" s="1">
        <v>13.1</v>
      </c>
      <c r="S4422" s="1">
        <v>97</v>
      </c>
    </row>
    <row r="4423" spans="1:38" x14ac:dyDescent="0.3">
      <c r="A4423" s="1">
        <v>77320</v>
      </c>
      <c r="B4423" s="1" t="s">
        <v>284</v>
      </c>
      <c r="C4423" s="1" t="s">
        <v>231</v>
      </c>
      <c r="D4423" s="2">
        <f t="shared" si="238"/>
        <v>2020</v>
      </c>
      <c r="E4423" s="2">
        <f t="shared" si="239"/>
        <v>2</v>
      </c>
      <c r="G4423" s="4">
        <v>43879</v>
      </c>
      <c r="H4423" s="1">
        <v>6593594</v>
      </c>
      <c r="I4423" s="1">
        <v>669799</v>
      </c>
      <c r="J4423" s="1" t="s">
        <v>189</v>
      </c>
      <c r="K4423" s="1"/>
      <c r="L4423" s="1" t="str">
        <f t="shared" si="240"/>
        <v xml:space="preserve">Rösjön </v>
      </c>
      <c r="M4423" s="1" t="s">
        <v>213</v>
      </c>
      <c r="N4423" s="1">
        <v>3</v>
      </c>
      <c r="O4423" s="1">
        <v>3</v>
      </c>
      <c r="Q4423" s="1">
        <v>2.9</v>
      </c>
      <c r="R4423" s="1">
        <v>12.9</v>
      </c>
      <c r="S4423" s="1">
        <v>96</v>
      </c>
    </row>
    <row r="4424" spans="1:38" x14ac:dyDescent="0.3">
      <c r="A4424" s="1">
        <v>77321</v>
      </c>
      <c r="B4424" s="1" t="s">
        <v>284</v>
      </c>
      <c r="C4424" s="1" t="s">
        <v>231</v>
      </c>
      <c r="D4424" s="2">
        <f t="shared" si="238"/>
        <v>2020</v>
      </c>
      <c r="E4424" s="2">
        <f t="shared" si="239"/>
        <v>2</v>
      </c>
      <c r="G4424" s="4">
        <v>43879</v>
      </c>
      <c r="H4424" s="1">
        <v>6593594</v>
      </c>
      <c r="I4424" s="1">
        <v>669799</v>
      </c>
      <c r="J4424" s="1" t="s">
        <v>189</v>
      </c>
      <c r="K4424" s="1"/>
      <c r="L4424" s="1" t="str">
        <f t="shared" si="240"/>
        <v xml:space="preserve">Rösjön </v>
      </c>
      <c r="M4424" s="1" t="s">
        <v>214</v>
      </c>
      <c r="N4424" s="1">
        <v>4</v>
      </c>
      <c r="O4424" s="1">
        <v>4</v>
      </c>
      <c r="Q4424" s="1">
        <v>2.9</v>
      </c>
      <c r="R4424" s="1">
        <v>12.8</v>
      </c>
      <c r="S4424" s="1">
        <v>95</v>
      </c>
    </row>
    <row r="4425" spans="1:38" x14ac:dyDescent="0.3">
      <c r="A4425" s="1">
        <v>77322</v>
      </c>
      <c r="B4425" s="1" t="s">
        <v>284</v>
      </c>
      <c r="C4425" s="1" t="s">
        <v>231</v>
      </c>
      <c r="D4425" s="2">
        <f t="shared" si="238"/>
        <v>2020</v>
      </c>
      <c r="E4425" s="2">
        <f t="shared" si="239"/>
        <v>2</v>
      </c>
      <c r="G4425" s="4">
        <v>43879</v>
      </c>
      <c r="H4425" s="1">
        <v>6593594</v>
      </c>
      <c r="I4425" s="1">
        <v>669799</v>
      </c>
      <c r="J4425" s="1" t="s">
        <v>189</v>
      </c>
      <c r="K4425" s="1"/>
      <c r="L4425" s="1" t="str">
        <f t="shared" si="240"/>
        <v xml:space="preserve">Rösjön </v>
      </c>
      <c r="M4425" s="1" t="s">
        <v>217</v>
      </c>
      <c r="N4425" s="1">
        <v>5</v>
      </c>
      <c r="O4425" s="1">
        <v>5</v>
      </c>
      <c r="Q4425" s="1">
        <v>2.9</v>
      </c>
      <c r="R4425" s="1">
        <v>12.8</v>
      </c>
      <c r="S4425" s="1">
        <v>95</v>
      </c>
    </row>
    <row r="4426" spans="1:38" x14ac:dyDescent="0.3">
      <c r="A4426" s="1">
        <v>77323</v>
      </c>
      <c r="B4426" s="1" t="s">
        <v>284</v>
      </c>
      <c r="C4426" s="1" t="s">
        <v>231</v>
      </c>
      <c r="D4426" s="2">
        <f t="shared" si="238"/>
        <v>2020</v>
      </c>
      <c r="E4426" s="2">
        <f t="shared" si="239"/>
        <v>2</v>
      </c>
      <c r="G4426" s="4">
        <v>43879</v>
      </c>
      <c r="H4426" s="1">
        <v>6593594</v>
      </c>
      <c r="I4426" s="1">
        <v>669799</v>
      </c>
      <c r="J4426" s="1" t="s">
        <v>189</v>
      </c>
      <c r="K4426" s="1"/>
      <c r="L4426" s="1" t="str">
        <f t="shared" si="240"/>
        <v xml:space="preserve">Rösjön </v>
      </c>
      <c r="M4426" s="1" t="s">
        <v>218</v>
      </c>
      <c r="N4426" s="1">
        <v>6</v>
      </c>
      <c r="O4426" s="1">
        <v>6</v>
      </c>
      <c r="Q4426" s="1">
        <v>3</v>
      </c>
      <c r="R4426" s="1">
        <v>12.7</v>
      </c>
      <c r="S4426" s="1">
        <v>94</v>
      </c>
    </row>
    <row r="4427" spans="1:38" x14ac:dyDescent="0.3">
      <c r="A4427" s="1">
        <v>77324</v>
      </c>
      <c r="B4427" s="1" t="s">
        <v>284</v>
      </c>
      <c r="C4427" s="1" t="s">
        <v>231</v>
      </c>
      <c r="D4427" s="2">
        <f t="shared" si="238"/>
        <v>2020</v>
      </c>
      <c r="E4427" s="2">
        <f t="shared" si="239"/>
        <v>2</v>
      </c>
      <c r="G4427" s="4">
        <v>43879</v>
      </c>
      <c r="H4427" s="1">
        <v>6593594</v>
      </c>
      <c r="I4427" s="1">
        <v>669799</v>
      </c>
      <c r="J4427" s="1" t="s">
        <v>189</v>
      </c>
      <c r="K4427" s="1"/>
      <c r="L4427" s="1" t="str">
        <f t="shared" si="240"/>
        <v xml:space="preserve">Rösjön </v>
      </c>
      <c r="M4427" s="1" t="s">
        <v>286</v>
      </c>
      <c r="N4427" s="1">
        <v>7</v>
      </c>
      <c r="O4427" s="1">
        <v>7</v>
      </c>
      <c r="Q4427" s="1">
        <v>3</v>
      </c>
      <c r="R4427" s="1">
        <v>12.5</v>
      </c>
      <c r="S4427" s="1">
        <v>93</v>
      </c>
      <c r="W4427" s="1">
        <v>2.2166000000000001</v>
      </c>
      <c r="X4427" s="1">
        <v>1.2230954276191223E-2</v>
      </c>
      <c r="Y4427" s="1">
        <v>5.8999999999999997E-2</v>
      </c>
      <c r="Z4427" s="1">
        <v>2.84</v>
      </c>
      <c r="AA4427" s="1">
        <v>2.8</v>
      </c>
      <c r="AD4427" s="1">
        <v>161.18</v>
      </c>
      <c r="AE4427" s="1">
        <v>7.72</v>
      </c>
      <c r="AK4427" s="1">
        <v>17.47</v>
      </c>
      <c r="AL4427" s="1">
        <v>706.65</v>
      </c>
    </row>
    <row r="4428" spans="1:38" x14ac:dyDescent="0.3">
      <c r="A4428" s="1">
        <v>77325</v>
      </c>
      <c r="B4428" s="1" t="s">
        <v>284</v>
      </c>
      <c r="C4428" s="1" t="s">
        <v>231</v>
      </c>
      <c r="D4428" s="2">
        <f t="shared" si="238"/>
        <v>2020</v>
      </c>
      <c r="E4428" s="2">
        <f t="shared" si="239"/>
        <v>2</v>
      </c>
      <c r="G4428" s="4">
        <v>43879</v>
      </c>
      <c r="H4428" s="1">
        <v>6594739</v>
      </c>
      <c r="I4428" s="1">
        <v>668531</v>
      </c>
      <c r="J4428" s="1" t="s">
        <v>192</v>
      </c>
      <c r="K4428" s="1"/>
      <c r="L4428" s="1" t="str">
        <f t="shared" si="240"/>
        <v xml:space="preserve">Väsjön </v>
      </c>
      <c r="M4428" s="1" t="s">
        <v>285</v>
      </c>
      <c r="N4428" s="1">
        <v>0.5</v>
      </c>
      <c r="O4428" s="1">
        <v>0.5</v>
      </c>
      <c r="P4428" s="1">
        <v>2.7</v>
      </c>
      <c r="Q4428" s="1">
        <v>2.7</v>
      </c>
      <c r="R4428" s="1">
        <v>13.6</v>
      </c>
      <c r="S4428" s="1">
        <v>100</v>
      </c>
      <c r="W4428" s="1">
        <v>1.3095000000000001</v>
      </c>
      <c r="X4428" s="1">
        <v>1.3066973755296939E-2</v>
      </c>
      <c r="Y4428" s="1">
        <v>8.6999999999999994E-2</v>
      </c>
      <c r="Z4428" s="1">
        <v>1.41</v>
      </c>
      <c r="AA4428" s="1">
        <v>1.88</v>
      </c>
      <c r="AD4428" s="1">
        <v>506.09</v>
      </c>
      <c r="AE4428" s="1">
        <v>7.99</v>
      </c>
      <c r="AI4428" s="1">
        <v>12.18</v>
      </c>
      <c r="AJ4428" s="1">
        <v>11.91</v>
      </c>
      <c r="AK4428" s="1">
        <v>15.96</v>
      </c>
      <c r="AL4428" s="1">
        <v>1191.3900000000001</v>
      </c>
    </row>
    <row r="4429" spans="1:38" x14ac:dyDescent="0.3">
      <c r="A4429" s="1">
        <v>77326</v>
      </c>
      <c r="B4429" s="1" t="s">
        <v>284</v>
      </c>
      <c r="C4429" s="1" t="s">
        <v>231</v>
      </c>
      <c r="D4429" s="2">
        <f t="shared" si="238"/>
        <v>2020</v>
      </c>
      <c r="E4429" s="2">
        <f t="shared" si="239"/>
        <v>2</v>
      </c>
      <c r="G4429" s="4">
        <v>43879</v>
      </c>
      <c r="H4429" s="1">
        <v>6594739</v>
      </c>
      <c r="I4429" s="1">
        <v>668531</v>
      </c>
      <c r="J4429" s="1" t="s">
        <v>192</v>
      </c>
      <c r="K4429" s="1"/>
      <c r="L4429" s="1" t="str">
        <f t="shared" si="240"/>
        <v xml:space="preserve">Väsjön </v>
      </c>
      <c r="M4429" s="1" t="s">
        <v>211</v>
      </c>
      <c r="N4429" s="1">
        <v>1</v>
      </c>
      <c r="O4429" s="1">
        <v>1</v>
      </c>
      <c r="Q4429" s="1">
        <v>2.6</v>
      </c>
      <c r="R4429" s="1">
        <v>13.6</v>
      </c>
      <c r="S4429" s="1">
        <v>100</v>
      </c>
    </row>
    <row r="4430" spans="1:38" x14ac:dyDescent="0.3">
      <c r="A4430" s="1">
        <v>77327</v>
      </c>
      <c r="B4430" s="1" t="s">
        <v>284</v>
      </c>
      <c r="C4430" s="1" t="s">
        <v>231</v>
      </c>
      <c r="D4430" s="2">
        <f t="shared" si="238"/>
        <v>2020</v>
      </c>
      <c r="E4430" s="2">
        <f t="shared" si="239"/>
        <v>2</v>
      </c>
      <c r="G4430" s="4">
        <v>43879</v>
      </c>
      <c r="H4430" s="1">
        <v>6594739</v>
      </c>
      <c r="I4430" s="1">
        <v>668531</v>
      </c>
      <c r="J4430" s="1" t="s">
        <v>192</v>
      </c>
      <c r="K4430" s="1"/>
      <c r="L4430" s="1" t="str">
        <f t="shared" si="240"/>
        <v xml:space="preserve">Väsjön </v>
      </c>
      <c r="M4430" s="1" t="s">
        <v>212</v>
      </c>
      <c r="N4430" s="1">
        <v>2</v>
      </c>
      <c r="O4430" s="1">
        <v>2</v>
      </c>
      <c r="Q4430" s="1">
        <v>2.9</v>
      </c>
      <c r="R4430" s="1">
        <v>13.6</v>
      </c>
      <c r="S4430" s="1">
        <v>100</v>
      </c>
    </row>
    <row r="4431" spans="1:38" x14ac:dyDescent="0.3">
      <c r="A4431" s="1">
        <v>77328</v>
      </c>
      <c r="B4431" s="1" t="s">
        <v>284</v>
      </c>
      <c r="C4431" s="1" t="s">
        <v>231</v>
      </c>
      <c r="D4431" s="2">
        <f t="shared" si="238"/>
        <v>2020</v>
      </c>
      <c r="E4431" s="2">
        <f t="shared" si="239"/>
        <v>2</v>
      </c>
      <c r="G4431" s="4">
        <v>43879</v>
      </c>
      <c r="H4431" s="1">
        <v>6594739</v>
      </c>
      <c r="I4431" s="1">
        <v>668531</v>
      </c>
      <c r="J4431" s="1" t="s">
        <v>192</v>
      </c>
      <c r="K4431" s="1"/>
      <c r="L4431" s="1" t="str">
        <f t="shared" si="240"/>
        <v xml:space="preserve">Väsjön </v>
      </c>
      <c r="M4431" s="1" t="s">
        <v>286</v>
      </c>
      <c r="N4431" s="1">
        <v>2.5</v>
      </c>
      <c r="O4431" s="1">
        <v>2.5</v>
      </c>
      <c r="Q4431" s="1">
        <v>3.2</v>
      </c>
      <c r="R4431" s="1">
        <v>13.4</v>
      </c>
      <c r="S4431" s="1">
        <v>100</v>
      </c>
      <c r="W4431" s="1">
        <v>1.7408999999999999</v>
      </c>
      <c r="X4431" s="1">
        <v>2.0744273995959506E-2</v>
      </c>
      <c r="Y4431" s="1">
        <v>8.5999999999999993E-2</v>
      </c>
      <c r="Z4431" s="1">
        <v>2.72</v>
      </c>
      <c r="AA4431" s="1">
        <v>2</v>
      </c>
      <c r="AD4431" s="1">
        <v>499.13</v>
      </c>
      <c r="AE4431" s="1">
        <v>8.0500000000000007</v>
      </c>
      <c r="AK4431" s="1">
        <v>18.86</v>
      </c>
      <c r="AL4431" s="1">
        <v>1204.77</v>
      </c>
    </row>
    <row r="4432" spans="1:38" x14ac:dyDescent="0.3">
      <c r="A4432" s="1">
        <v>77329</v>
      </c>
      <c r="B4432" s="1" t="s">
        <v>284</v>
      </c>
      <c r="C4432" s="1" t="s">
        <v>231</v>
      </c>
      <c r="D4432" s="2">
        <f t="shared" si="238"/>
        <v>2020</v>
      </c>
      <c r="E4432" s="2">
        <f t="shared" si="239"/>
        <v>2</v>
      </c>
      <c r="G4432" s="4">
        <v>43879</v>
      </c>
      <c r="H4432" s="1">
        <v>6595222</v>
      </c>
      <c r="I4432" s="1">
        <v>667935</v>
      </c>
      <c r="J4432" s="1" t="s">
        <v>190</v>
      </c>
      <c r="K4432" s="1"/>
      <c r="L4432" s="1" t="str">
        <f t="shared" si="240"/>
        <v xml:space="preserve">Snuggan </v>
      </c>
      <c r="M4432" s="1" t="s">
        <v>285</v>
      </c>
      <c r="N4432" s="1">
        <v>0.5</v>
      </c>
      <c r="O4432" s="1">
        <v>0.5</v>
      </c>
      <c r="P4432" s="1">
        <v>1</v>
      </c>
      <c r="Q4432" s="1">
        <v>3.7</v>
      </c>
      <c r="R4432" s="1">
        <v>12.5</v>
      </c>
      <c r="S4432" s="1">
        <v>97</v>
      </c>
      <c r="W4432" s="1">
        <v>107.8022</v>
      </c>
      <c r="X4432" s="1">
        <v>9.5894809589249939E-4</v>
      </c>
      <c r="Y4432" s="1">
        <v>0.61199999999999999</v>
      </c>
      <c r="Z4432" s="1">
        <v>0.96</v>
      </c>
      <c r="AA4432" s="1">
        <v>1.85</v>
      </c>
      <c r="AD4432" s="1">
        <v>40.44</v>
      </c>
      <c r="AE4432" s="1">
        <v>4.9000000000000004</v>
      </c>
      <c r="AK4432" s="1">
        <v>24</v>
      </c>
      <c r="AL4432" s="1">
        <v>1186.92</v>
      </c>
    </row>
    <row r="4433" spans="1:38" x14ac:dyDescent="0.3">
      <c r="A4433" s="1">
        <v>77330</v>
      </c>
      <c r="B4433" s="1" t="s">
        <v>284</v>
      </c>
      <c r="C4433" s="1" t="s">
        <v>231</v>
      </c>
      <c r="D4433" s="2">
        <f t="shared" si="238"/>
        <v>2020</v>
      </c>
      <c r="E4433" s="2">
        <f t="shared" si="239"/>
        <v>2</v>
      </c>
      <c r="G4433" s="4">
        <v>43879</v>
      </c>
      <c r="H4433" s="1">
        <v>6595222</v>
      </c>
      <c r="I4433" s="1">
        <v>667935</v>
      </c>
      <c r="J4433" s="1" t="s">
        <v>190</v>
      </c>
      <c r="K4433" s="1"/>
      <c r="L4433" s="1" t="str">
        <f t="shared" si="240"/>
        <v xml:space="preserve">Snuggan </v>
      </c>
      <c r="M4433" s="1" t="s">
        <v>211</v>
      </c>
      <c r="N4433" s="1">
        <v>1</v>
      </c>
      <c r="O4433" s="1">
        <v>1</v>
      </c>
      <c r="Q4433" s="1">
        <v>3.5</v>
      </c>
      <c r="R4433" s="1">
        <v>12.3</v>
      </c>
      <c r="S4433" s="1">
        <v>95</v>
      </c>
    </row>
    <row r="4434" spans="1:38" x14ac:dyDescent="0.3">
      <c r="A4434" s="1">
        <v>77331</v>
      </c>
      <c r="B4434" s="1" t="s">
        <v>284</v>
      </c>
      <c r="C4434" s="1" t="s">
        <v>231</v>
      </c>
      <c r="D4434" s="2">
        <f t="shared" si="238"/>
        <v>2020</v>
      </c>
      <c r="E4434" s="2">
        <f t="shared" si="239"/>
        <v>2</v>
      </c>
      <c r="G4434" s="4">
        <v>43879</v>
      </c>
      <c r="H4434" s="1">
        <v>6595222</v>
      </c>
      <c r="I4434" s="1">
        <v>667935</v>
      </c>
      <c r="J4434" s="1" t="s">
        <v>190</v>
      </c>
      <c r="K4434" s="1"/>
      <c r="L4434" s="1" t="str">
        <f t="shared" si="240"/>
        <v xml:space="preserve">Snuggan </v>
      </c>
      <c r="M4434" s="1" t="s">
        <v>212</v>
      </c>
      <c r="N4434" s="1">
        <v>2</v>
      </c>
      <c r="O4434" s="1">
        <v>2</v>
      </c>
      <c r="Q4434" s="1">
        <v>3.4</v>
      </c>
      <c r="R4434" s="1">
        <v>12.3</v>
      </c>
      <c r="S4434" s="1">
        <v>94</v>
      </c>
    </row>
    <row r="4435" spans="1:38" x14ac:dyDescent="0.3">
      <c r="A4435" s="1">
        <v>77332</v>
      </c>
      <c r="B4435" s="1" t="s">
        <v>284</v>
      </c>
      <c r="C4435" s="1" t="s">
        <v>231</v>
      </c>
      <c r="D4435" s="2">
        <f t="shared" si="238"/>
        <v>2020</v>
      </c>
      <c r="E4435" s="2">
        <f t="shared" si="239"/>
        <v>2</v>
      </c>
      <c r="G4435" s="4">
        <v>43879</v>
      </c>
      <c r="H4435" s="1">
        <v>6595222</v>
      </c>
      <c r="I4435" s="1">
        <v>667935</v>
      </c>
      <c r="J4435" s="1" t="s">
        <v>190</v>
      </c>
      <c r="K4435" s="1"/>
      <c r="L4435" s="1" t="str">
        <f t="shared" si="240"/>
        <v xml:space="preserve">Snuggan </v>
      </c>
      <c r="M4435" s="1" t="s">
        <v>286</v>
      </c>
      <c r="N4435" s="1">
        <v>3</v>
      </c>
      <c r="O4435" s="1">
        <v>3</v>
      </c>
      <c r="Q4435" s="1">
        <v>3.4</v>
      </c>
      <c r="R4435" s="1">
        <v>12.4</v>
      </c>
      <c r="S4435" s="1">
        <v>95</v>
      </c>
      <c r="W4435" s="1">
        <v>106.9226</v>
      </c>
      <c r="X4435" s="1">
        <v>1.6502029929798326E-3</v>
      </c>
      <c r="Y4435" s="1">
        <v>0.622</v>
      </c>
      <c r="Z4435" s="1">
        <v>1.29</v>
      </c>
      <c r="AA4435" s="1">
        <v>2</v>
      </c>
      <c r="AD4435" s="1">
        <v>38.32</v>
      </c>
      <c r="AE4435" s="1">
        <v>5.15</v>
      </c>
      <c r="AK4435" s="1">
        <v>23.35</v>
      </c>
      <c r="AL4435" s="1">
        <v>1204.55</v>
      </c>
    </row>
    <row r="4436" spans="1:38" x14ac:dyDescent="0.3">
      <c r="A4436" s="1">
        <v>77333</v>
      </c>
      <c r="B4436" s="1" t="s">
        <v>284</v>
      </c>
      <c r="C4436" s="1" t="s">
        <v>231</v>
      </c>
      <c r="D4436" s="2">
        <f t="shared" si="238"/>
        <v>2020</v>
      </c>
      <c r="E4436" s="2">
        <f t="shared" si="239"/>
        <v>2</v>
      </c>
      <c r="G4436" s="4">
        <v>43879</v>
      </c>
      <c r="H4436" s="1">
        <v>6597388</v>
      </c>
      <c r="I4436" s="1">
        <v>674663</v>
      </c>
      <c r="J4436" s="1" t="s">
        <v>185</v>
      </c>
      <c r="K4436" s="1"/>
      <c r="L4436" s="1" t="str">
        <f t="shared" si="240"/>
        <v xml:space="preserve">Gullsjön </v>
      </c>
      <c r="M4436" s="1" t="s">
        <v>285</v>
      </c>
      <c r="N4436" s="1">
        <v>0.5</v>
      </c>
      <c r="O4436" s="1">
        <v>0.5</v>
      </c>
      <c r="P4436" s="1">
        <v>2</v>
      </c>
      <c r="Q4436" s="1">
        <v>3.5</v>
      </c>
      <c r="R4436" s="1">
        <v>8.6</v>
      </c>
      <c r="S4436" s="1">
        <v>66</v>
      </c>
      <c r="W4436" s="1">
        <v>25.728000000000002</v>
      </c>
      <c r="X4436" s="1">
        <v>2.9644768344451955E-2</v>
      </c>
      <c r="Y4436" s="1">
        <v>0.17899999999999999</v>
      </c>
      <c r="Z4436" s="1">
        <v>1.1000000000000001</v>
      </c>
      <c r="AA4436" s="1">
        <v>1.26</v>
      </c>
      <c r="AD4436" s="1">
        <v>49.73</v>
      </c>
      <c r="AE4436" s="1">
        <v>7.02</v>
      </c>
      <c r="AK4436" s="1">
        <v>18.260000000000002</v>
      </c>
      <c r="AL4436" s="1">
        <v>748.06</v>
      </c>
    </row>
    <row r="4437" spans="1:38" x14ac:dyDescent="0.3">
      <c r="A4437" s="1">
        <v>77334</v>
      </c>
      <c r="B4437" s="1" t="s">
        <v>284</v>
      </c>
      <c r="C4437" s="1" t="s">
        <v>231</v>
      </c>
      <c r="D4437" s="2">
        <f t="shared" si="238"/>
        <v>2020</v>
      </c>
      <c r="E4437" s="2">
        <f t="shared" si="239"/>
        <v>2</v>
      </c>
      <c r="G4437" s="4">
        <v>43879</v>
      </c>
      <c r="H4437" s="1">
        <v>6597388</v>
      </c>
      <c r="I4437" s="1">
        <v>674663</v>
      </c>
      <c r="J4437" s="1" t="s">
        <v>185</v>
      </c>
      <c r="K4437" s="1"/>
      <c r="L4437" s="1" t="str">
        <f t="shared" si="240"/>
        <v xml:space="preserve">Gullsjön </v>
      </c>
      <c r="M4437" s="1" t="s">
        <v>211</v>
      </c>
      <c r="N4437" s="1">
        <v>1</v>
      </c>
      <c r="O4437" s="1">
        <v>1</v>
      </c>
      <c r="Q4437" s="1">
        <v>3.5</v>
      </c>
      <c r="R4437" s="1">
        <v>8.6</v>
      </c>
      <c r="S4437" s="1">
        <v>66</v>
      </c>
    </row>
    <row r="4438" spans="1:38" x14ac:dyDescent="0.3">
      <c r="A4438" s="1">
        <v>77335</v>
      </c>
      <c r="B4438" s="1" t="s">
        <v>284</v>
      </c>
      <c r="C4438" s="1" t="s">
        <v>231</v>
      </c>
      <c r="D4438" s="2">
        <f t="shared" si="238"/>
        <v>2020</v>
      </c>
      <c r="E4438" s="2">
        <f t="shared" si="239"/>
        <v>2</v>
      </c>
      <c r="G4438" s="4">
        <v>43879</v>
      </c>
      <c r="H4438" s="1">
        <v>6597388</v>
      </c>
      <c r="I4438" s="1">
        <v>674663</v>
      </c>
      <c r="J4438" s="1" t="s">
        <v>185</v>
      </c>
      <c r="K4438" s="1"/>
      <c r="L4438" s="1" t="str">
        <f t="shared" si="240"/>
        <v xml:space="preserve">Gullsjön </v>
      </c>
      <c r="M4438" s="1" t="s">
        <v>286</v>
      </c>
      <c r="N4438" s="1">
        <v>2</v>
      </c>
      <c r="O4438" s="1">
        <v>2</v>
      </c>
      <c r="Q4438" s="1">
        <v>3.5</v>
      </c>
      <c r="R4438" s="1">
        <v>8.6</v>
      </c>
      <c r="S4438" s="1">
        <v>66</v>
      </c>
      <c r="W4438" s="1">
        <v>26.2165</v>
      </c>
      <c r="X4438" s="1">
        <v>3.5483727340847752E-2</v>
      </c>
      <c r="Y4438" s="1">
        <v>0.17299999999999999</v>
      </c>
      <c r="Z4438" s="1">
        <v>0.88</v>
      </c>
      <c r="AA4438" s="1">
        <v>1.64</v>
      </c>
      <c r="AD4438" s="1">
        <v>50.46</v>
      </c>
      <c r="AE4438" s="1">
        <v>7.09</v>
      </c>
      <c r="AK4438" s="1">
        <v>17.27</v>
      </c>
      <c r="AL4438" s="1">
        <v>766.54</v>
      </c>
    </row>
    <row r="4439" spans="1:38" x14ac:dyDescent="0.3">
      <c r="A4439" s="1">
        <v>77336</v>
      </c>
      <c r="B4439" s="1" t="s">
        <v>284</v>
      </c>
      <c r="C4439" s="1" t="s">
        <v>231</v>
      </c>
      <c r="D4439" s="2">
        <f t="shared" si="238"/>
        <v>2020</v>
      </c>
      <c r="E4439" s="2">
        <f t="shared" si="239"/>
        <v>2</v>
      </c>
      <c r="G4439" s="4">
        <v>43879</v>
      </c>
      <c r="H4439" s="1">
        <v>6595294</v>
      </c>
      <c r="I4439" s="1">
        <v>670194</v>
      </c>
      <c r="J4439" s="1" t="s">
        <v>207</v>
      </c>
      <c r="K4439" s="1"/>
      <c r="L4439" s="1" t="str">
        <f t="shared" si="240"/>
        <v xml:space="preserve">Käringsjön </v>
      </c>
      <c r="M4439" s="1" t="s">
        <v>285</v>
      </c>
      <c r="N4439" s="1">
        <v>0.5</v>
      </c>
      <c r="O4439" s="1">
        <v>1</v>
      </c>
      <c r="P4439" s="1">
        <v>1.2</v>
      </c>
      <c r="Q4439" s="1">
        <v>3.7</v>
      </c>
      <c r="R4439" s="1">
        <v>10.9</v>
      </c>
      <c r="S4439" s="1">
        <v>84</v>
      </c>
      <c r="W4439" s="1">
        <v>24.2286</v>
      </c>
      <c r="X4439" s="1">
        <v>3.0405650625677402E-2</v>
      </c>
      <c r="Y4439" s="1">
        <v>0.54800000000000004</v>
      </c>
      <c r="Z4439" s="1">
        <v>1.17</v>
      </c>
      <c r="AA4439" s="1">
        <v>1.78</v>
      </c>
      <c r="AD4439" s="1">
        <v>100.61</v>
      </c>
      <c r="AE4439" s="1">
        <v>7.05</v>
      </c>
      <c r="AK4439" s="1">
        <v>19.87</v>
      </c>
      <c r="AL4439" s="1">
        <v>1220.54</v>
      </c>
    </row>
    <row r="4440" spans="1:38" x14ac:dyDescent="0.3">
      <c r="A4440" s="1">
        <v>77337</v>
      </c>
      <c r="B4440" s="1" t="s">
        <v>284</v>
      </c>
      <c r="C4440" s="1" t="s">
        <v>231</v>
      </c>
      <c r="D4440" s="2">
        <f t="shared" si="238"/>
        <v>2020</v>
      </c>
      <c r="E4440" s="2">
        <f t="shared" si="239"/>
        <v>2</v>
      </c>
      <c r="G4440" s="4">
        <v>43879</v>
      </c>
      <c r="H4440" s="1">
        <v>6595294</v>
      </c>
      <c r="I4440" s="1">
        <v>670194</v>
      </c>
      <c r="J4440" s="1" t="s">
        <v>207</v>
      </c>
      <c r="K4440" s="1"/>
      <c r="L4440" s="1" t="str">
        <f t="shared" si="240"/>
        <v xml:space="preserve">Käringsjön </v>
      </c>
      <c r="M4440" s="1" t="s">
        <v>211</v>
      </c>
      <c r="N4440" s="1">
        <v>1</v>
      </c>
      <c r="O4440" s="1">
        <v>1</v>
      </c>
      <c r="Q4440" s="1">
        <v>4.0999999999999996</v>
      </c>
      <c r="R4440" s="1">
        <v>11.3</v>
      </c>
      <c r="S4440" s="1">
        <v>88</v>
      </c>
    </row>
    <row r="4441" spans="1:38" x14ac:dyDescent="0.3">
      <c r="A4441" s="1">
        <v>77338</v>
      </c>
      <c r="B4441" s="1" t="s">
        <v>284</v>
      </c>
      <c r="C4441" s="1" t="s">
        <v>231</v>
      </c>
      <c r="D4441" s="2">
        <f t="shared" si="238"/>
        <v>2020</v>
      </c>
      <c r="E4441" s="2">
        <f t="shared" si="239"/>
        <v>2</v>
      </c>
      <c r="G4441" s="4">
        <v>43879</v>
      </c>
      <c r="H4441" s="1">
        <v>6595294</v>
      </c>
      <c r="I4441" s="1">
        <v>670194</v>
      </c>
      <c r="J4441" s="1" t="s">
        <v>207</v>
      </c>
      <c r="K4441" s="1"/>
      <c r="L4441" s="1" t="str">
        <f t="shared" si="240"/>
        <v xml:space="preserve">Käringsjön </v>
      </c>
      <c r="M4441" s="1" t="s">
        <v>212</v>
      </c>
      <c r="N4441" s="1">
        <v>2</v>
      </c>
      <c r="O4441" s="1">
        <v>2</v>
      </c>
      <c r="Q4441" s="1">
        <v>3.9</v>
      </c>
      <c r="R4441" s="1">
        <v>10.7</v>
      </c>
      <c r="S4441" s="1">
        <v>83</v>
      </c>
    </row>
    <row r="4442" spans="1:38" x14ac:dyDescent="0.3">
      <c r="A4442" s="1">
        <v>77339</v>
      </c>
      <c r="B4442" s="1" t="s">
        <v>284</v>
      </c>
      <c r="C4442" s="1" t="s">
        <v>231</v>
      </c>
      <c r="D4442" s="2">
        <f t="shared" si="238"/>
        <v>2020</v>
      </c>
      <c r="E4442" s="2">
        <f t="shared" si="239"/>
        <v>2</v>
      </c>
      <c r="G4442" s="4">
        <v>43879</v>
      </c>
      <c r="H4442" s="1">
        <v>6595294</v>
      </c>
      <c r="I4442" s="1">
        <v>670194</v>
      </c>
      <c r="J4442" s="1" t="s">
        <v>207</v>
      </c>
      <c r="K4442" s="1"/>
      <c r="L4442" s="1" t="str">
        <f t="shared" si="240"/>
        <v xml:space="preserve">Käringsjön </v>
      </c>
      <c r="M4442" s="1" t="s">
        <v>213</v>
      </c>
      <c r="N4442" s="1">
        <v>3</v>
      </c>
      <c r="O4442" s="1">
        <v>3</v>
      </c>
      <c r="Q4442" s="1">
        <v>3.7</v>
      </c>
      <c r="R4442" s="1">
        <v>11.2</v>
      </c>
      <c r="S4442" s="1">
        <v>87</v>
      </c>
    </row>
    <row r="4443" spans="1:38" x14ac:dyDescent="0.3">
      <c r="A4443" s="1">
        <v>77340</v>
      </c>
      <c r="B4443" s="1" t="s">
        <v>284</v>
      </c>
      <c r="C4443" s="1" t="s">
        <v>231</v>
      </c>
      <c r="D4443" s="2">
        <f t="shared" si="238"/>
        <v>2020</v>
      </c>
      <c r="E4443" s="2">
        <f t="shared" si="239"/>
        <v>2</v>
      </c>
      <c r="G4443" s="4">
        <v>43879</v>
      </c>
      <c r="H4443" s="1">
        <v>6595294</v>
      </c>
      <c r="I4443" s="1">
        <v>670194</v>
      </c>
      <c r="J4443" s="1" t="s">
        <v>207</v>
      </c>
      <c r="K4443" s="1"/>
      <c r="L4443" s="1" t="str">
        <f t="shared" si="240"/>
        <v xml:space="preserve">Käringsjön </v>
      </c>
      <c r="M4443" s="1" t="s">
        <v>286</v>
      </c>
      <c r="N4443" s="1">
        <v>4</v>
      </c>
      <c r="O4443" s="1">
        <v>4</v>
      </c>
      <c r="Q4443" s="1">
        <v>3.7</v>
      </c>
      <c r="R4443" s="1">
        <v>11.4</v>
      </c>
      <c r="S4443" s="1">
        <v>88</v>
      </c>
      <c r="W4443" s="1">
        <v>24.480699999999999</v>
      </c>
      <c r="X4443" s="1">
        <v>2.9340961618433973E-2</v>
      </c>
      <c r="Y4443" s="1">
        <v>0.55300000000000005</v>
      </c>
      <c r="Z4443" s="1">
        <v>0.84</v>
      </c>
      <c r="AA4443" s="1">
        <v>2.4</v>
      </c>
      <c r="AD4443" s="1">
        <v>98.87</v>
      </c>
      <c r="AE4443" s="1">
        <v>7.03</v>
      </c>
      <c r="AK4443" s="1">
        <v>20.13</v>
      </c>
      <c r="AL4443" s="1">
        <v>1232.1300000000001</v>
      </c>
    </row>
    <row r="4444" spans="1:38" x14ac:dyDescent="0.3">
      <c r="A4444" s="1">
        <v>77341</v>
      </c>
      <c r="B4444" s="1" t="s">
        <v>284</v>
      </c>
      <c r="C4444" s="1" t="s">
        <v>231</v>
      </c>
      <c r="D4444" s="2">
        <f t="shared" si="238"/>
        <v>2020</v>
      </c>
      <c r="E4444" s="2">
        <f t="shared" si="239"/>
        <v>2</v>
      </c>
      <c r="G4444" s="4">
        <v>43879</v>
      </c>
      <c r="H4444" s="1">
        <v>6594218</v>
      </c>
      <c r="I4444" s="1">
        <v>670947</v>
      </c>
      <c r="J4444" s="1" t="s">
        <v>201</v>
      </c>
      <c r="K4444" s="1"/>
      <c r="L4444" s="1" t="str">
        <f t="shared" si="240"/>
        <v xml:space="preserve">Mörtsjön </v>
      </c>
      <c r="M4444" s="1" t="s">
        <v>285</v>
      </c>
      <c r="N4444" s="1">
        <v>0.5</v>
      </c>
      <c r="O4444" s="1">
        <v>0.5</v>
      </c>
      <c r="P4444" s="1">
        <v>1.9</v>
      </c>
      <c r="Q4444" s="1">
        <v>3.1</v>
      </c>
      <c r="R4444" s="1">
        <v>10.5</v>
      </c>
      <c r="S4444" s="1">
        <v>80</v>
      </c>
      <c r="W4444" s="1">
        <v>61.7425</v>
      </c>
      <c r="X4444" s="1">
        <v>0.15748153075923696</v>
      </c>
      <c r="Y4444" s="1">
        <v>0.27700000000000002</v>
      </c>
      <c r="Z4444" s="1">
        <v>3.26</v>
      </c>
      <c r="AA4444" s="1">
        <v>3</v>
      </c>
      <c r="AD4444" s="1">
        <v>1031.48</v>
      </c>
      <c r="AE4444" s="1">
        <v>7.38</v>
      </c>
      <c r="AK4444" s="1">
        <v>24.46</v>
      </c>
      <c r="AL4444" s="1">
        <v>1826.16</v>
      </c>
    </row>
    <row r="4445" spans="1:38" x14ac:dyDescent="0.3">
      <c r="A4445" s="1">
        <v>77342</v>
      </c>
      <c r="B4445" s="1" t="s">
        <v>284</v>
      </c>
      <c r="C4445" s="1" t="s">
        <v>231</v>
      </c>
      <c r="D4445" s="2">
        <f t="shared" si="238"/>
        <v>2020</v>
      </c>
      <c r="E4445" s="2">
        <f t="shared" si="239"/>
        <v>2</v>
      </c>
      <c r="G4445" s="4">
        <v>43879</v>
      </c>
      <c r="H4445" s="1">
        <v>6594218</v>
      </c>
      <c r="I4445" s="1">
        <v>670947</v>
      </c>
      <c r="J4445" s="1" t="s">
        <v>201</v>
      </c>
      <c r="K4445" s="1"/>
      <c r="L4445" s="1" t="str">
        <f t="shared" si="240"/>
        <v xml:space="preserve">Mörtsjön </v>
      </c>
      <c r="M4445" s="1" t="s">
        <v>211</v>
      </c>
      <c r="N4445" s="1">
        <v>1</v>
      </c>
      <c r="O4445" s="1">
        <v>1</v>
      </c>
      <c r="Q4445" s="1">
        <v>3.1</v>
      </c>
      <c r="R4445" s="1">
        <v>10.5</v>
      </c>
      <c r="S4445" s="1">
        <v>80</v>
      </c>
    </row>
    <row r="4446" spans="1:38" x14ac:dyDescent="0.3">
      <c r="A4446" s="1">
        <v>77343</v>
      </c>
      <c r="B4446" s="1" t="s">
        <v>284</v>
      </c>
      <c r="C4446" s="1" t="s">
        <v>231</v>
      </c>
      <c r="D4446" s="2">
        <f t="shared" si="238"/>
        <v>2020</v>
      </c>
      <c r="E4446" s="2">
        <f t="shared" si="239"/>
        <v>2</v>
      </c>
      <c r="G4446" s="4">
        <v>43879</v>
      </c>
      <c r="H4446" s="1">
        <v>6594218</v>
      </c>
      <c r="I4446" s="1">
        <v>670947</v>
      </c>
      <c r="J4446" s="1" t="s">
        <v>201</v>
      </c>
      <c r="K4446" s="1"/>
      <c r="L4446" s="1" t="str">
        <f t="shared" si="240"/>
        <v xml:space="preserve">Mörtsjön </v>
      </c>
      <c r="M4446" s="1" t="s">
        <v>212</v>
      </c>
      <c r="N4446" s="1">
        <v>2</v>
      </c>
      <c r="O4446" s="1">
        <v>2</v>
      </c>
      <c r="Q4446" s="1">
        <v>3.1</v>
      </c>
      <c r="R4446" s="1">
        <v>10.5</v>
      </c>
      <c r="S4446" s="1">
        <v>80</v>
      </c>
    </row>
    <row r="4447" spans="1:38" x14ac:dyDescent="0.3">
      <c r="A4447" s="1">
        <v>77344</v>
      </c>
      <c r="B4447" s="1" t="s">
        <v>284</v>
      </c>
      <c r="C4447" s="1" t="s">
        <v>231</v>
      </c>
      <c r="D4447" s="2">
        <f t="shared" si="238"/>
        <v>2020</v>
      </c>
      <c r="E4447" s="2">
        <f t="shared" si="239"/>
        <v>2</v>
      </c>
      <c r="G4447" s="4">
        <v>43879</v>
      </c>
      <c r="H4447" s="1">
        <v>6594218</v>
      </c>
      <c r="I4447" s="1">
        <v>670947</v>
      </c>
      <c r="J4447" s="1" t="s">
        <v>201</v>
      </c>
      <c r="K4447" s="1"/>
      <c r="L4447" s="1" t="str">
        <f t="shared" si="240"/>
        <v xml:space="preserve">Mörtsjön </v>
      </c>
      <c r="M4447" s="1" t="s">
        <v>213</v>
      </c>
      <c r="N4447" s="1">
        <v>3</v>
      </c>
      <c r="O4447" s="1">
        <v>3</v>
      </c>
      <c r="Q4447" s="1">
        <v>3.1</v>
      </c>
      <c r="R4447" s="1">
        <v>10.5</v>
      </c>
      <c r="S4447" s="1">
        <v>80</v>
      </c>
    </row>
    <row r="4448" spans="1:38" x14ac:dyDescent="0.3">
      <c r="A4448" s="1">
        <v>77345</v>
      </c>
      <c r="B4448" s="1" t="s">
        <v>284</v>
      </c>
      <c r="C4448" s="1" t="s">
        <v>231</v>
      </c>
      <c r="D4448" s="2">
        <f t="shared" si="238"/>
        <v>2020</v>
      </c>
      <c r="E4448" s="2">
        <f t="shared" si="239"/>
        <v>2</v>
      </c>
      <c r="G4448" s="4">
        <v>43879</v>
      </c>
      <c r="H4448" s="1">
        <v>6594218</v>
      </c>
      <c r="I4448" s="1">
        <v>670947</v>
      </c>
      <c r="J4448" s="1" t="s">
        <v>201</v>
      </c>
      <c r="K4448" s="1"/>
      <c r="L4448" s="1" t="str">
        <f t="shared" si="240"/>
        <v xml:space="preserve">Mörtsjön </v>
      </c>
      <c r="M4448" s="1" t="s">
        <v>184</v>
      </c>
      <c r="N4448" s="1">
        <v>4</v>
      </c>
      <c r="O4448" s="1">
        <v>4</v>
      </c>
      <c r="Q4448" s="1">
        <v>3.1</v>
      </c>
      <c r="R4448" s="1">
        <v>10.4</v>
      </c>
      <c r="S4448" s="1">
        <v>79</v>
      </c>
      <c r="W4448" s="1">
        <v>61.572600000000001</v>
      </c>
      <c r="X4448" s="1">
        <v>0.17615613328605284</v>
      </c>
      <c r="Y4448" s="1">
        <v>0.255</v>
      </c>
      <c r="Z4448" s="1">
        <v>2.87</v>
      </c>
      <c r="AA4448" s="1">
        <v>2.9</v>
      </c>
      <c r="AD4448" s="1">
        <v>1016.91</v>
      </c>
      <c r="AE4448" s="1">
        <v>7.43</v>
      </c>
      <c r="AK4448" s="1">
        <v>25.65</v>
      </c>
      <c r="AL4448" s="1">
        <v>1820.53</v>
      </c>
    </row>
    <row r="4449" spans="1:38" x14ac:dyDescent="0.3">
      <c r="A4449" s="1">
        <v>77346</v>
      </c>
      <c r="B4449" s="1" t="s">
        <v>284</v>
      </c>
      <c r="C4449" s="1" t="s">
        <v>231</v>
      </c>
      <c r="D4449" s="2">
        <f t="shared" si="238"/>
        <v>2020</v>
      </c>
      <c r="E4449" s="2">
        <f t="shared" si="239"/>
        <v>2</v>
      </c>
      <c r="G4449" s="4">
        <v>43879</v>
      </c>
      <c r="H4449" s="1">
        <v>6598995</v>
      </c>
      <c r="I4449" s="1">
        <v>667864</v>
      </c>
      <c r="J4449" s="1" t="s">
        <v>186</v>
      </c>
      <c r="K4449" s="1" t="s">
        <v>211</v>
      </c>
      <c r="L4449" s="1" t="str">
        <f t="shared" si="240"/>
        <v>Norrviken 1</v>
      </c>
      <c r="M4449" s="1" t="s">
        <v>285</v>
      </c>
      <c r="N4449" s="1">
        <v>0.5</v>
      </c>
      <c r="O4449" s="1">
        <v>0.5</v>
      </c>
      <c r="P4449" s="1">
        <v>1.4</v>
      </c>
      <c r="Q4449" s="1">
        <v>2.9</v>
      </c>
      <c r="R4449" s="1">
        <v>13.1</v>
      </c>
      <c r="S4449" s="1">
        <v>98</v>
      </c>
      <c r="W4449" s="1">
        <v>175.29220000000001</v>
      </c>
      <c r="X4449" s="1">
        <v>1.075682889067096</v>
      </c>
      <c r="Y4449" s="1">
        <v>8.1000000000000003E-2</v>
      </c>
      <c r="Z4449" s="1">
        <v>3.52</v>
      </c>
      <c r="AA4449" s="1">
        <v>7.5</v>
      </c>
      <c r="AD4449" s="1">
        <v>805.42</v>
      </c>
      <c r="AE4449" s="1">
        <v>7.77</v>
      </c>
      <c r="AK4449" s="1">
        <v>55.33</v>
      </c>
      <c r="AL4449" s="1">
        <v>1799.88</v>
      </c>
    </row>
    <row r="4450" spans="1:38" x14ac:dyDescent="0.3">
      <c r="A4450" s="1">
        <v>77347</v>
      </c>
      <c r="B4450" s="1" t="s">
        <v>284</v>
      </c>
      <c r="C4450" s="1" t="s">
        <v>231</v>
      </c>
      <c r="D4450" s="2">
        <f t="shared" si="238"/>
        <v>2020</v>
      </c>
      <c r="E4450" s="2">
        <f t="shared" si="239"/>
        <v>2</v>
      </c>
      <c r="G4450" s="4">
        <v>43879</v>
      </c>
      <c r="H4450" s="1">
        <v>6598995</v>
      </c>
      <c r="I4450" s="1">
        <v>667864</v>
      </c>
      <c r="J4450" s="1" t="s">
        <v>186</v>
      </c>
      <c r="K4450" s="1" t="s">
        <v>211</v>
      </c>
      <c r="L4450" s="1" t="str">
        <f t="shared" si="240"/>
        <v>Norrviken 1</v>
      </c>
      <c r="M4450" s="1" t="s">
        <v>211</v>
      </c>
      <c r="N4450" s="1">
        <v>1</v>
      </c>
      <c r="O4450" s="1">
        <v>1</v>
      </c>
      <c r="Q4450" s="1">
        <v>2.9</v>
      </c>
      <c r="R4450" s="1">
        <v>13</v>
      </c>
      <c r="S4450" s="1">
        <v>98</v>
      </c>
    </row>
    <row r="4451" spans="1:38" x14ac:dyDescent="0.3">
      <c r="A4451" s="1">
        <v>77348</v>
      </c>
      <c r="B4451" s="1" t="s">
        <v>284</v>
      </c>
      <c r="C4451" s="1" t="s">
        <v>231</v>
      </c>
      <c r="D4451" s="2">
        <f t="shared" si="238"/>
        <v>2020</v>
      </c>
      <c r="E4451" s="2">
        <f t="shared" si="239"/>
        <v>2</v>
      </c>
      <c r="G4451" s="4">
        <v>43879</v>
      </c>
      <c r="H4451" s="1">
        <v>6598995</v>
      </c>
      <c r="I4451" s="1">
        <v>667864</v>
      </c>
      <c r="J4451" s="1" t="s">
        <v>186</v>
      </c>
      <c r="K4451" s="1" t="s">
        <v>211</v>
      </c>
      <c r="L4451" s="1" t="str">
        <f t="shared" si="240"/>
        <v>Norrviken 1</v>
      </c>
      <c r="M4451" s="1" t="s">
        <v>212</v>
      </c>
      <c r="N4451" s="1">
        <v>2</v>
      </c>
      <c r="O4451" s="1">
        <v>2</v>
      </c>
      <c r="Q4451" s="1">
        <v>2.9</v>
      </c>
      <c r="R4451" s="1">
        <v>13</v>
      </c>
      <c r="S4451" s="1">
        <v>98</v>
      </c>
    </row>
    <row r="4452" spans="1:38" x14ac:dyDescent="0.3">
      <c r="A4452" s="1">
        <v>77349</v>
      </c>
      <c r="B4452" s="1" t="s">
        <v>284</v>
      </c>
      <c r="C4452" s="1" t="s">
        <v>231</v>
      </c>
      <c r="D4452" s="2">
        <f t="shared" si="238"/>
        <v>2020</v>
      </c>
      <c r="E4452" s="2">
        <f t="shared" si="239"/>
        <v>2</v>
      </c>
      <c r="G4452" s="4">
        <v>43879</v>
      </c>
      <c r="H4452" s="1">
        <v>6598995</v>
      </c>
      <c r="I4452" s="1">
        <v>667864</v>
      </c>
      <c r="J4452" s="1" t="s">
        <v>186</v>
      </c>
      <c r="K4452" s="1" t="s">
        <v>211</v>
      </c>
      <c r="L4452" s="1" t="str">
        <f t="shared" si="240"/>
        <v>Norrviken 1</v>
      </c>
      <c r="M4452" s="1" t="s">
        <v>286</v>
      </c>
      <c r="N4452" s="1">
        <v>2.5</v>
      </c>
      <c r="O4452" s="1">
        <v>2.5</v>
      </c>
      <c r="Q4452" s="1">
        <v>2.9</v>
      </c>
      <c r="R4452" s="1">
        <v>13</v>
      </c>
      <c r="S4452" s="1">
        <v>98</v>
      </c>
      <c r="W4452" s="1">
        <v>173.012</v>
      </c>
      <c r="X4452" s="1">
        <v>1.3043214898984179</v>
      </c>
      <c r="Y4452" s="1">
        <v>8.3000000000000004E-2</v>
      </c>
      <c r="Z4452" s="1">
        <v>3.91</v>
      </c>
      <c r="AA4452" s="1">
        <v>7.8</v>
      </c>
      <c r="AD4452" s="1">
        <v>766.36</v>
      </c>
      <c r="AE4452" s="1">
        <v>7.86</v>
      </c>
      <c r="AK4452" s="1">
        <v>54.7</v>
      </c>
      <c r="AL4452" s="1">
        <v>1801.34</v>
      </c>
    </row>
    <row r="4453" spans="1:38" x14ac:dyDescent="0.3">
      <c r="A4453" s="1">
        <v>77350</v>
      </c>
      <c r="B4453" s="1" t="s">
        <v>284</v>
      </c>
      <c r="C4453" s="1" t="s">
        <v>231</v>
      </c>
      <c r="D4453" s="2">
        <f t="shared" si="238"/>
        <v>2020</v>
      </c>
      <c r="E4453" s="2">
        <f t="shared" si="239"/>
        <v>2</v>
      </c>
      <c r="G4453" s="4">
        <v>43879</v>
      </c>
      <c r="H4453" s="1">
        <v>6596347</v>
      </c>
      <c r="I4453" s="1">
        <v>665902</v>
      </c>
      <c r="J4453" s="1" t="s">
        <v>186</v>
      </c>
      <c r="K4453" s="1" t="s">
        <v>212</v>
      </c>
      <c r="L4453" s="1" t="str">
        <f t="shared" si="240"/>
        <v>Norrviken 2</v>
      </c>
      <c r="M4453" s="1" t="s">
        <v>285</v>
      </c>
      <c r="N4453" s="1">
        <v>0.5</v>
      </c>
      <c r="O4453" s="1">
        <v>0.5</v>
      </c>
      <c r="P4453" s="1">
        <v>2.6</v>
      </c>
      <c r="Q4453" s="1">
        <v>2.7</v>
      </c>
      <c r="R4453" s="1">
        <v>12.9</v>
      </c>
      <c r="S4453" s="1">
        <v>98</v>
      </c>
      <c r="W4453" s="1">
        <v>14.0671</v>
      </c>
      <c r="X4453" s="1">
        <v>0.1224147217618424</v>
      </c>
      <c r="Y4453" s="1">
        <v>6.5000000000000002E-2</v>
      </c>
      <c r="Z4453" s="1">
        <v>45.51</v>
      </c>
      <c r="AA4453" s="1">
        <v>3</v>
      </c>
      <c r="AD4453" s="1">
        <v>689.68</v>
      </c>
      <c r="AE4453" s="1">
        <v>7.93</v>
      </c>
      <c r="AK4453" s="1">
        <v>62.43</v>
      </c>
      <c r="AL4453" s="1">
        <v>1391.07</v>
      </c>
    </row>
    <row r="4454" spans="1:38" x14ac:dyDescent="0.3">
      <c r="A4454" s="1">
        <v>77351</v>
      </c>
      <c r="B4454" s="1" t="s">
        <v>284</v>
      </c>
      <c r="C4454" s="1" t="s">
        <v>231</v>
      </c>
      <c r="D4454" s="2">
        <f t="shared" si="238"/>
        <v>2020</v>
      </c>
      <c r="E4454" s="2">
        <f t="shared" si="239"/>
        <v>2</v>
      </c>
      <c r="G4454" s="4">
        <v>43879</v>
      </c>
      <c r="H4454" s="1">
        <v>6596347</v>
      </c>
      <c r="I4454" s="1">
        <v>665902</v>
      </c>
      <c r="J4454" s="1" t="s">
        <v>186</v>
      </c>
      <c r="K4454" s="1" t="s">
        <v>212</v>
      </c>
      <c r="L4454" s="1" t="str">
        <f t="shared" si="240"/>
        <v>Norrviken 2</v>
      </c>
      <c r="M4454" s="1" t="s">
        <v>211</v>
      </c>
      <c r="N4454" s="1">
        <v>1</v>
      </c>
      <c r="O4454" s="1">
        <v>1</v>
      </c>
      <c r="Q4454" s="1">
        <v>2.7</v>
      </c>
      <c r="R4454" s="1">
        <v>12.8</v>
      </c>
      <c r="S4454" s="1">
        <v>97</v>
      </c>
    </row>
    <row r="4455" spans="1:38" x14ac:dyDescent="0.3">
      <c r="A4455" s="1">
        <v>77352</v>
      </c>
      <c r="B4455" s="1" t="s">
        <v>284</v>
      </c>
      <c r="C4455" s="1" t="s">
        <v>231</v>
      </c>
      <c r="D4455" s="2">
        <f t="shared" si="238"/>
        <v>2020</v>
      </c>
      <c r="E4455" s="2">
        <f t="shared" si="239"/>
        <v>2</v>
      </c>
      <c r="G4455" s="4">
        <v>43879</v>
      </c>
      <c r="H4455" s="1">
        <v>6596347</v>
      </c>
      <c r="I4455" s="1">
        <v>665902</v>
      </c>
      <c r="J4455" s="1" t="s">
        <v>186</v>
      </c>
      <c r="K4455" s="1" t="s">
        <v>212</v>
      </c>
      <c r="L4455" s="1" t="str">
        <f t="shared" si="240"/>
        <v>Norrviken 2</v>
      </c>
      <c r="M4455" s="1" t="s">
        <v>212</v>
      </c>
      <c r="N4455" s="1">
        <v>2</v>
      </c>
      <c r="O4455" s="1">
        <v>2</v>
      </c>
      <c r="Q4455" s="1">
        <v>2.7</v>
      </c>
      <c r="R4455" s="1">
        <v>12.8</v>
      </c>
      <c r="S4455" s="1">
        <v>96</v>
      </c>
    </row>
    <row r="4456" spans="1:38" x14ac:dyDescent="0.3">
      <c r="A4456" s="1">
        <v>77353</v>
      </c>
      <c r="B4456" s="1" t="s">
        <v>284</v>
      </c>
      <c r="C4456" s="1" t="s">
        <v>231</v>
      </c>
      <c r="D4456" s="2">
        <f t="shared" si="238"/>
        <v>2020</v>
      </c>
      <c r="E4456" s="2">
        <f t="shared" si="239"/>
        <v>2</v>
      </c>
      <c r="G4456" s="4">
        <v>43879</v>
      </c>
      <c r="H4456" s="1">
        <v>6596347</v>
      </c>
      <c r="I4456" s="1">
        <v>665902</v>
      </c>
      <c r="J4456" s="1" t="s">
        <v>186</v>
      </c>
      <c r="K4456" s="1" t="s">
        <v>212</v>
      </c>
      <c r="L4456" s="1" t="str">
        <f t="shared" si="240"/>
        <v>Norrviken 2</v>
      </c>
      <c r="M4456" s="1" t="s">
        <v>213</v>
      </c>
      <c r="N4456" s="1">
        <v>3</v>
      </c>
      <c r="O4456" s="1">
        <v>3</v>
      </c>
      <c r="Q4456" s="1">
        <v>2.7</v>
      </c>
      <c r="R4456" s="1">
        <v>12.8</v>
      </c>
      <c r="S4456" s="1">
        <v>96</v>
      </c>
    </row>
    <row r="4457" spans="1:38" x14ac:dyDescent="0.3">
      <c r="A4457" s="1">
        <v>77354</v>
      </c>
      <c r="B4457" s="1" t="s">
        <v>284</v>
      </c>
      <c r="C4457" s="1" t="s">
        <v>231</v>
      </c>
      <c r="D4457" s="2">
        <f t="shared" si="238"/>
        <v>2020</v>
      </c>
      <c r="E4457" s="2">
        <f t="shared" si="239"/>
        <v>2</v>
      </c>
      <c r="G4457" s="4">
        <v>43879</v>
      </c>
      <c r="H4457" s="1">
        <v>6596347</v>
      </c>
      <c r="I4457" s="1">
        <v>665902</v>
      </c>
      <c r="J4457" s="1" t="s">
        <v>186</v>
      </c>
      <c r="K4457" s="1" t="s">
        <v>212</v>
      </c>
      <c r="L4457" s="1" t="str">
        <f t="shared" si="240"/>
        <v>Norrviken 2</v>
      </c>
      <c r="M4457" s="1" t="s">
        <v>214</v>
      </c>
      <c r="N4457" s="1">
        <v>4</v>
      </c>
      <c r="O4457" s="1">
        <v>4</v>
      </c>
      <c r="Q4457" s="1">
        <v>2.7</v>
      </c>
      <c r="R4457" s="1">
        <v>12.8</v>
      </c>
      <c r="S4457" s="1">
        <v>96</v>
      </c>
    </row>
    <row r="4458" spans="1:38" x14ac:dyDescent="0.3">
      <c r="A4458" s="1">
        <v>77355</v>
      </c>
      <c r="B4458" s="1" t="s">
        <v>284</v>
      </c>
      <c r="C4458" s="1" t="s">
        <v>231</v>
      </c>
      <c r="D4458" s="2">
        <f t="shared" si="238"/>
        <v>2020</v>
      </c>
      <c r="E4458" s="2">
        <f t="shared" si="239"/>
        <v>2</v>
      </c>
      <c r="G4458" s="4">
        <v>43879</v>
      </c>
      <c r="H4458" s="1">
        <v>6596347</v>
      </c>
      <c r="I4458" s="1">
        <v>665902</v>
      </c>
      <c r="J4458" s="1" t="s">
        <v>186</v>
      </c>
      <c r="K4458" s="1" t="s">
        <v>212</v>
      </c>
      <c r="L4458" s="1" t="str">
        <f t="shared" si="240"/>
        <v>Norrviken 2</v>
      </c>
      <c r="M4458" s="1" t="s">
        <v>217</v>
      </c>
      <c r="N4458" s="1">
        <v>5</v>
      </c>
      <c r="O4458" s="1">
        <v>5</v>
      </c>
      <c r="Q4458" s="1">
        <v>2.7</v>
      </c>
      <c r="R4458" s="1">
        <v>12.8</v>
      </c>
      <c r="S4458" s="1">
        <v>96</v>
      </c>
    </row>
    <row r="4459" spans="1:38" x14ac:dyDescent="0.3">
      <c r="A4459" s="1">
        <v>77356</v>
      </c>
      <c r="B4459" s="1" t="s">
        <v>284</v>
      </c>
      <c r="C4459" s="1" t="s">
        <v>231</v>
      </c>
      <c r="D4459" s="2">
        <f t="shared" si="238"/>
        <v>2020</v>
      </c>
      <c r="E4459" s="2">
        <f t="shared" si="239"/>
        <v>2</v>
      </c>
      <c r="G4459" s="4">
        <v>43879</v>
      </c>
      <c r="H4459" s="1">
        <v>6596347</v>
      </c>
      <c r="I4459" s="1">
        <v>665902</v>
      </c>
      <c r="J4459" s="1" t="s">
        <v>186</v>
      </c>
      <c r="K4459" s="1" t="s">
        <v>212</v>
      </c>
      <c r="L4459" s="1" t="str">
        <f t="shared" si="240"/>
        <v>Norrviken 2</v>
      </c>
      <c r="M4459" s="1" t="s">
        <v>218</v>
      </c>
      <c r="N4459" s="1">
        <v>6</v>
      </c>
      <c r="O4459" s="1">
        <v>6</v>
      </c>
      <c r="Q4459" s="1">
        <v>2.7</v>
      </c>
      <c r="R4459" s="1">
        <v>12.8</v>
      </c>
      <c r="S4459" s="1">
        <v>96</v>
      </c>
    </row>
    <row r="4460" spans="1:38" x14ac:dyDescent="0.3">
      <c r="A4460" s="1">
        <v>77357</v>
      </c>
      <c r="B4460" s="1" t="s">
        <v>284</v>
      </c>
      <c r="C4460" s="1" t="s">
        <v>231</v>
      </c>
      <c r="D4460" s="2">
        <f t="shared" si="238"/>
        <v>2020</v>
      </c>
      <c r="E4460" s="2">
        <f t="shared" si="239"/>
        <v>2</v>
      </c>
      <c r="G4460" s="4">
        <v>43879</v>
      </c>
      <c r="H4460" s="1">
        <v>6596347</v>
      </c>
      <c r="I4460" s="1">
        <v>665902</v>
      </c>
      <c r="J4460" s="1" t="s">
        <v>186</v>
      </c>
      <c r="K4460" s="1" t="s">
        <v>212</v>
      </c>
      <c r="L4460" s="1" t="str">
        <f t="shared" si="240"/>
        <v>Norrviken 2</v>
      </c>
      <c r="M4460" s="1" t="s">
        <v>219</v>
      </c>
      <c r="N4460" s="1">
        <v>7</v>
      </c>
      <c r="O4460" s="1">
        <v>7</v>
      </c>
      <c r="Q4460" s="1">
        <v>2.7</v>
      </c>
      <c r="R4460" s="1">
        <v>12.8</v>
      </c>
      <c r="S4460" s="1">
        <v>96</v>
      </c>
    </row>
    <row r="4461" spans="1:38" x14ac:dyDescent="0.3">
      <c r="A4461" s="1">
        <v>77358</v>
      </c>
      <c r="B4461" s="1" t="s">
        <v>284</v>
      </c>
      <c r="C4461" s="1" t="s">
        <v>231</v>
      </c>
      <c r="D4461" s="2">
        <f t="shared" si="238"/>
        <v>2020</v>
      </c>
      <c r="E4461" s="2">
        <f t="shared" si="239"/>
        <v>2</v>
      </c>
      <c r="G4461" s="4">
        <v>43879</v>
      </c>
      <c r="H4461" s="1">
        <v>6596347</v>
      </c>
      <c r="I4461" s="1">
        <v>665902</v>
      </c>
      <c r="J4461" s="1" t="s">
        <v>186</v>
      </c>
      <c r="K4461" s="1" t="s">
        <v>212</v>
      </c>
      <c r="L4461" s="1" t="str">
        <f t="shared" si="240"/>
        <v>Norrviken 2</v>
      </c>
      <c r="M4461" s="1" t="s">
        <v>220</v>
      </c>
      <c r="N4461" s="1">
        <v>8</v>
      </c>
      <c r="O4461" s="1">
        <v>8</v>
      </c>
      <c r="Q4461" s="1">
        <v>2.7</v>
      </c>
      <c r="R4461" s="1">
        <v>12.8</v>
      </c>
      <c r="S4461" s="1">
        <v>96</v>
      </c>
    </row>
    <row r="4462" spans="1:38" x14ac:dyDescent="0.3">
      <c r="A4462" s="1">
        <v>77359</v>
      </c>
      <c r="B4462" s="1" t="s">
        <v>284</v>
      </c>
      <c r="C4462" s="1" t="s">
        <v>231</v>
      </c>
      <c r="D4462" s="2">
        <f t="shared" si="238"/>
        <v>2020</v>
      </c>
      <c r="E4462" s="2">
        <f t="shared" si="239"/>
        <v>2</v>
      </c>
      <c r="G4462" s="4">
        <v>43879</v>
      </c>
      <c r="H4462" s="1">
        <v>6596347</v>
      </c>
      <c r="I4462" s="1">
        <v>665902</v>
      </c>
      <c r="J4462" s="1" t="s">
        <v>186</v>
      </c>
      <c r="K4462" s="1" t="s">
        <v>212</v>
      </c>
      <c r="L4462" s="1" t="str">
        <f t="shared" si="240"/>
        <v>Norrviken 2</v>
      </c>
      <c r="M4462" s="1" t="s">
        <v>286</v>
      </c>
      <c r="N4462" s="1">
        <v>9</v>
      </c>
      <c r="O4462" s="1">
        <v>9</v>
      </c>
      <c r="Q4462" s="1">
        <v>2.7</v>
      </c>
      <c r="R4462" s="1">
        <v>12.8</v>
      </c>
      <c r="S4462" s="1">
        <v>96</v>
      </c>
      <c r="W4462" s="1">
        <v>12.328200000000001</v>
      </c>
      <c r="X4462" s="1">
        <v>0.11229247888489706</v>
      </c>
      <c r="Y4462" s="1">
        <v>6.0999999999999999E-2</v>
      </c>
      <c r="Z4462" s="1">
        <v>47.06</v>
      </c>
      <c r="AA4462" s="1">
        <v>2.9</v>
      </c>
      <c r="AD4462" s="1">
        <v>692.56</v>
      </c>
      <c r="AE4462" s="1">
        <v>7.95</v>
      </c>
      <c r="AK4462" s="1">
        <v>67.569999999999993</v>
      </c>
      <c r="AL4462" s="1">
        <v>1381.6</v>
      </c>
    </row>
    <row r="4463" spans="1:38" x14ac:dyDescent="0.3">
      <c r="A4463" s="1">
        <v>77360</v>
      </c>
      <c r="B4463" s="1" t="s">
        <v>284</v>
      </c>
      <c r="C4463" s="1" t="s">
        <v>231</v>
      </c>
      <c r="D4463" s="2">
        <f t="shared" si="238"/>
        <v>2020</v>
      </c>
      <c r="E4463" s="2">
        <f t="shared" si="239"/>
        <v>2</v>
      </c>
      <c r="G4463" s="4">
        <v>43879</v>
      </c>
      <c r="H4463" s="1">
        <v>6594617</v>
      </c>
      <c r="I4463" s="1">
        <v>666323</v>
      </c>
      <c r="J4463" s="1" t="s">
        <v>186</v>
      </c>
      <c r="K4463" s="1" t="s">
        <v>213</v>
      </c>
      <c r="L4463" s="1" t="str">
        <f t="shared" si="240"/>
        <v>Norrviken 3</v>
      </c>
      <c r="M4463" s="1" t="s">
        <v>285</v>
      </c>
      <c r="N4463" s="1">
        <v>0.5</v>
      </c>
      <c r="O4463" s="1">
        <v>0.5</v>
      </c>
      <c r="P4463" s="1">
        <v>2.9</v>
      </c>
      <c r="Q4463" s="1">
        <v>2.7</v>
      </c>
      <c r="R4463" s="1">
        <v>12.7</v>
      </c>
      <c r="S4463" s="1">
        <v>95</v>
      </c>
      <c r="W4463" s="1">
        <v>10.5274</v>
      </c>
      <c r="X4463" s="1">
        <v>0.1003657954602627</v>
      </c>
      <c r="Y4463" s="1">
        <v>5.6000000000000001E-2</v>
      </c>
      <c r="Z4463" s="1">
        <v>47.79</v>
      </c>
      <c r="AA4463" s="1">
        <v>3.2</v>
      </c>
      <c r="AD4463" s="1">
        <v>706.31</v>
      </c>
      <c r="AE4463" s="1">
        <v>7.97</v>
      </c>
      <c r="AK4463" s="1">
        <v>67.61</v>
      </c>
      <c r="AL4463" s="1">
        <v>1388.84</v>
      </c>
    </row>
    <row r="4464" spans="1:38" x14ac:dyDescent="0.3">
      <c r="A4464" s="1">
        <v>77361</v>
      </c>
      <c r="B4464" s="1" t="s">
        <v>284</v>
      </c>
      <c r="C4464" s="1" t="s">
        <v>231</v>
      </c>
      <c r="D4464" s="2">
        <f t="shared" si="238"/>
        <v>2020</v>
      </c>
      <c r="E4464" s="2">
        <f t="shared" si="239"/>
        <v>2</v>
      </c>
      <c r="G4464" s="4">
        <v>43879</v>
      </c>
      <c r="H4464" s="1">
        <v>6594617</v>
      </c>
      <c r="I4464" s="1">
        <v>666323</v>
      </c>
      <c r="J4464" s="1" t="s">
        <v>186</v>
      </c>
      <c r="K4464" s="1" t="s">
        <v>213</v>
      </c>
      <c r="L4464" s="1" t="str">
        <f t="shared" si="240"/>
        <v>Norrviken 3</v>
      </c>
      <c r="M4464" s="1" t="s">
        <v>211</v>
      </c>
      <c r="N4464" s="1">
        <v>1</v>
      </c>
      <c r="O4464" s="1">
        <v>1</v>
      </c>
      <c r="Q4464" s="1">
        <v>2.7</v>
      </c>
      <c r="R4464" s="1">
        <v>12.7</v>
      </c>
      <c r="S4464" s="1">
        <v>95</v>
      </c>
    </row>
    <row r="4465" spans="1:38" x14ac:dyDescent="0.3">
      <c r="A4465" s="1">
        <v>77362</v>
      </c>
      <c r="B4465" s="1" t="s">
        <v>284</v>
      </c>
      <c r="C4465" s="1" t="s">
        <v>231</v>
      </c>
      <c r="D4465" s="2">
        <f t="shared" si="238"/>
        <v>2020</v>
      </c>
      <c r="E4465" s="2">
        <f t="shared" si="239"/>
        <v>2</v>
      </c>
      <c r="G4465" s="4">
        <v>43879</v>
      </c>
      <c r="H4465" s="1">
        <v>6594617</v>
      </c>
      <c r="I4465" s="1">
        <v>666323</v>
      </c>
      <c r="J4465" s="1" t="s">
        <v>186</v>
      </c>
      <c r="K4465" s="1" t="s">
        <v>213</v>
      </c>
      <c r="L4465" s="1" t="str">
        <f t="shared" si="240"/>
        <v>Norrviken 3</v>
      </c>
      <c r="M4465" s="1" t="s">
        <v>212</v>
      </c>
      <c r="N4465" s="1">
        <v>2</v>
      </c>
      <c r="O4465" s="1">
        <v>2</v>
      </c>
      <c r="Q4465" s="1">
        <v>2.7</v>
      </c>
      <c r="R4465" s="1">
        <v>12.7</v>
      </c>
      <c r="S4465" s="1">
        <v>95</v>
      </c>
    </row>
    <row r="4466" spans="1:38" x14ac:dyDescent="0.3">
      <c r="A4466" s="1">
        <v>77363</v>
      </c>
      <c r="B4466" s="1" t="s">
        <v>284</v>
      </c>
      <c r="C4466" s="1" t="s">
        <v>231</v>
      </c>
      <c r="D4466" s="2">
        <f t="shared" ref="D4466:D4529" si="241">YEAR(G4466)</f>
        <v>2020</v>
      </c>
      <c r="E4466" s="2">
        <f t="shared" ref="E4466:E4529" si="242">MONTH(G4466)</f>
        <v>2</v>
      </c>
      <c r="G4466" s="4">
        <v>43879</v>
      </c>
      <c r="H4466" s="1">
        <v>6594617</v>
      </c>
      <c r="I4466" s="1">
        <v>666323</v>
      </c>
      <c r="J4466" s="1" t="s">
        <v>186</v>
      </c>
      <c r="K4466" s="1" t="s">
        <v>213</v>
      </c>
      <c r="L4466" s="1" t="str">
        <f t="shared" si="240"/>
        <v>Norrviken 3</v>
      </c>
      <c r="M4466" s="1" t="s">
        <v>213</v>
      </c>
      <c r="N4466" s="1">
        <v>3</v>
      </c>
      <c r="O4466" s="1">
        <v>3</v>
      </c>
      <c r="Q4466" s="1">
        <v>2.7</v>
      </c>
      <c r="R4466" s="1">
        <v>12.7</v>
      </c>
      <c r="S4466" s="1">
        <v>95</v>
      </c>
    </row>
    <row r="4467" spans="1:38" x14ac:dyDescent="0.3">
      <c r="A4467" s="1">
        <v>77364</v>
      </c>
      <c r="B4467" s="1" t="s">
        <v>284</v>
      </c>
      <c r="C4467" s="1" t="s">
        <v>231</v>
      </c>
      <c r="D4467" s="2">
        <f t="shared" si="241"/>
        <v>2020</v>
      </c>
      <c r="E4467" s="2">
        <f t="shared" si="242"/>
        <v>2</v>
      </c>
      <c r="G4467" s="4">
        <v>43879</v>
      </c>
      <c r="H4467" s="1">
        <v>6594617</v>
      </c>
      <c r="I4467" s="1">
        <v>666323</v>
      </c>
      <c r="J4467" s="1" t="s">
        <v>186</v>
      </c>
      <c r="K4467" s="1" t="s">
        <v>213</v>
      </c>
      <c r="L4467" s="1" t="str">
        <f t="shared" si="240"/>
        <v>Norrviken 3</v>
      </c>
      <c r="M4467" s="1" t="s">
        <v>214</v>
      </c>
      <c r="N4467" s="1">
        <v>4</v>
      </c>
      <c r="O4467" s="1">
        <v>4</v>
      </c>
      <c r="Q4467" s="1">
        <v>2.7</v>
      </c>
      <c r="R4467" s="1">
        <v>12.7</v>
      </c>
      <c r="S4467" s="1">
        <v>95</v>
      </c>
    </row>
    <row r="4468" spans="1:38" x14ac:dyDescent="0.3">
      <c r="A4468" s="1">
        <v>77365</v>
      </c>
      <c r="B4468" s="1" t="s">
        <v>284</v>
      </c>
      <c r="C4468" s="1" t="s">
        <v>231</v>
      </c>
      <c r="D4468" s="2">
        <f t="shared" si="241"/>
        <v>2020</v>
      </c>
      <c r="E4468" s="2">
        <f t="shared" si="242"/>
        <v>2</v>
      </c>
      <c r="G4468" s="4">
        <v>43879</v>
      </c>
      <c r="H4468" s="1">
        <v>6594617</v>
      </c>
      <c r="I4468" s="1">
        <v>666323</v>
      </c>
      <c r="J4468" s="1" t="s">
        <v>186</v>
      </c>
      <c r="K4468" s="1" t="s">
        <v>213</v>
      </c>
      <c r="L4468" s="1" t="str">
        <f t="shared" si="240"/>
        <v>Norrviken 3</v>
      </c>
      <c r="M4468" s="1" t="s">
        <v>217</v>
      </c>
      <c r="N4468" s="1">
        <v>5</v>
      </c>
      <c r="O4468" s="1">
        <v>5</v>
      </c>
      <c r="Q4468" s="1">
        <v>2.7</v>
      </c>
      <c r="R4468" s="1">
        <v>12.7</v>
      </c>
      <c r="S4468" s="1">
        <v>95</v>
      </c>
    </row>
    <row r="4469" spans="1:38" x14ac:dyDescent="0.3">
      <c r="A4469" s="1">
        <v>77366</v>
      </c>
      <c r="B4469" s="1" t="s">
        <v>284</v>
      </c>
      <c r="C4469" s="1" t="s">
        <v>231</v>
      </c>
      <c r="D4469" s="2">
        <f t="shared" si="241"/>
        <v>2020</v>
      </c>
      <c r="E4469" s="2">
        <f t="shared" si="242"/>
        <v>2</v>
      </c>
      <c r="G4469" s="4">
        <v>43879</v>
      </c>
      <c r="H4469" s="1">
        <v>6594617</v>
      </c>
      <c r="I4469" s="1">
        <v>666323</v>
      </c>
      <c r="J4469" s="1" t="s">
        <v>186</v>
      </c>
      <c r="K4469" s="1" t="s">
        <v>213</v>
      </c>
      <c r="L4469" s="1" t="str">
        <f t="shared" si="240"/>
        <v>Norrviken 3</v>
      </c>
      <c r="M4469" s="1" t="s">
        <v>218</v>
      </c>
      <c r="N4469" s="1">
        <v>6</v>
      </c>
      <c r="O4469" s="1">
        <v>6</v>
      </c>
      <c r="Q4469" s="1">
        <v>2.7</v>
      </c>
      <c r="R4469" s="1">
        <v>12.7</v>
      </c>
      <c r="S4469" s="1">
        <v>95</v>
      </c>
    </row>
    <row r="4470" spans="1:38" x14ac:dyDescent="0.3">
      <c r="A4470" s="1">
        <v>77367</v>
      </c>
      <c r="B4470" s="1" t="s">
        <v>284</v>
      </c>
      <c r="C4470" s="1" t="s">
        <v>231</v>
      </c>
      <c r="D4470" s="2">
        <f t="shared" si="241"/>
        <v>2020</v>
      </c>
      <c r="E4470" s="2">
        <f t="shared" si="242"/>
        <v>2</v>
      </c>
      <c r="G4470" s="4">
        <v>43879</v>
      </c>
      <c r="H4470" s="1">
        <v>6594617</v>
      </c>
      <c r="I4470" s="1">
        <v>666323</v>
      </c>
      <c r="J4470" s="1" t="s">
        <v>186</v>
      </c>
      <c r="K4470" s="1" t="s">
        <v>213</v>
      </c>
      <c r="L4470" s="1" t="str">
        <f t="shared" si="240"/>
        <v>Norrviken 3</v>
      </c>
      <c r="M4470" s="1" t="s">
        <v>219</v>
      </c>
      <c r="N4470" s="1">
        <v>7</v>
      </c>
      <c r="O4470" s="1">
        <v>7</v>
      </c>
      <c r="Q4470" s="1">
        <v>2.7</v>
      </c>
      <c r="R4470" s="1">
        <v>12.7</v>
      </c>
      <c r="S4470" s="1">
        <v>95</v>
      </c>
    </row>
    <row r="4471" spans="1:38" x14ac:dyDescent="0.3">
      <c r="A4471" s="1">
        <v>77368</v>
      </c>
      <c r="B4471" s="1" t="s">
        <v>284</v>
      </c>
      <c r="C4471" s="1" t="s">
        <v>231</v>
      </c>
      <c r="D4471" s="2">
        <f t="shared" si="241"/>
        <v>2020</v>
      </c>
      <c r="E4471" s="2">
        <f t="shared" si="242"/>
        <v>2</v>
      </c>
      <c r="G4471" s="4">
        <v>43879</v>
      </c>
      <c r="H4471" s="1">
        <v>6594617</v>
      </c>
      <c r="I4471" s="1">
        <v>666323</v>
      </c>
      <c r="J4471" s="1" t="s">
        <v>186</v>
      </c>
      <c r="K4471" s="1" t="s">
        <v>213</v>
      </c>
      <c r="L4471" s="1" t="str">
        <f t="shared" si="240"/>
        <v>Norrviken 3</v>
      </c>
      <c r="M4471" s="1" t="s">
        <v>220</v>
      </c>
      <c r="N4471" s="1">
        <v>8</v>
      </c>
      <c r="O4471" s="1">
        <v>8</v>
      </c>
      <c r="Q4471" s="1">
        <v>2.7</v>
      </c>
      <c r="R4471" s="1">
        <v>12.7</v>
      </c>
      <c r="S4471" s="1">
        <v>95</v>
      </c>
    </row>
    <row r="4472" spans="1:38" x14ac:dyDescent="0.3">
      <c r="A4472" s="1">
        <v>77369</v>
      </c>
      <c r="B4472" s="1" t="s">
        <v>284</v>
      </c>
      <c r="C4472" s="1" t="s">
        <v>231</v>
      </c>
      <c r="D4472" s="2">
        <f t="shared" si="241"/>
        <v>2020</v>
      </c>
      <c r="E4472" s="2">
        <f t="shared" si="242"/>
        <v>2</v>
      </c>
      <c r="G4472" s="4">
        <v>43879</v>
      </c>
      <c r="H4472" s="1">
        <v>6594617</v>
      </c>
      <c r="I4472" s="1">
        <v>666323</v>
      </c>
      <c r="J4472" s="1" t="s">
        <v>186</v>
      </c>
      <c r="K4472" s="1" t="s">
        <v>213</v>
      </c>
      <c r="L4472" s="1" t="str">
        <f t="shared" si="240"/>
        <v>Norrviken 3</v>
      </c>
      <c r="M4472" s="1" t="s">
        <v>221</v>
      </c>
      <c r="N4472" s="1">
        <v>9</v>
      </c>
      <c r="O4472" s="1">
        <v>9</v>
      </c>
      <c r="Q4472" s="1">
        <v>2.7</v>
      </c>
      <c r="R4472" s="1">
        <v>12.7</v>
      </c>
      <c r="S4472" s="1">
        <v>95</v>
      </c>
    </row>
    <row r="4473" spans="1:38" x14ac:dyDescent="0.3">
      <c r="A4473" s="1">
        <v>77370</v>
      </c>
      <c r="B4473" s="1" t="s">
        <v>284</v>
      </c>
      <c r="C4473" s="1" t="s">
        <v>231</v>
      </c>
      <c r="D4473" s="2">
        <f t="shared" si="241"/>
        <v>2020</v>
      </c>
      <c r="E4473" s="2">
        <f t="shared" si="242"/>
        <v>2</v>
      </c>
      <c r="G4473" s="4">
        <v>43879</v>
      </c>
      <c r="H4473" s="1">
        <v>6594617</v>
      </c>
      <c r="I4473" s="1">
        <v>666323</v>
      </c>
      <c r="J4473" s="1" t="s">
        <v>186</v>
      </c>
      <c r="K4473" s="1" t="s">
        <v>213</v>
      </c>
      <c r="L4473" s="1" t="str">
        <f t="shared" si="240"/>
        <v>Norrviken 3</v>
      </c>
      <c r="M4473" s="1" t="s">
        <v>222</v>
      </c>
      <c r="N4473" s="1">
        <v>10</v>
      </c>
      <c r="O4473" s="1">
        <v>10</v>
      </c>
      <c r="Q4473" s="1">
        <v>2.7</v>
      </c>
      <c r="R4473" s="1">
        <v>12.7</v>
      </c>
      <c r="S4473" s="1">
        <v>95</v>
      </c>
    </row>
    <row r="4474" spans="1:38" x14ac:dyDescent="0.3">
      <c r="A4474" s="1">
        <v>77371</v>
      </c>
      <c r="B4474" s="1" t="s">
        <v>284</v>
      </c>
      <c r="C4474" s="1" t="s">
        <v>231</v>
      </c>
      <c r="D4474" s="2">
        <f t="shared" si="241"/>
        <v>2020</v>
      </c>
      <c r="E4474" s="2">
        <f t="shared" si="242"/>
        <v>2</v>
      </c>
      <c r="G4474" s="4">
        <v>43879</v>
      </c>
      <c r="H4474" s="1">
        <v>6594617</v>
      </c>
      <c r="I4474" s="1">
        <v>666323</v>
      </c>
      <c r="J4474" s="1" t="s">
        <v>186</v>
      </c>
      <c r="K4474" s="1" t="s">
        <v>213</v>
      </c>
      <c r="L4474" s="1" t="str">
        <f t="shared" si="240"/>
        <v>Norrviken 3</v>
      </c>
      <c r="M4474" s="1" t="s">
        <v>223</v>
      </c>
      <c r="N4474" s="1">
        <v>11</v>
      </c>
      <c r="O4474" s="1">
        <v>11</v>
      </c>
      <c r="Q4474" s="1">
        <v>2.7</v>
      </c>
      <c r="R4474" s="1">
        <v>12.7</v>
      </c>
      <c r="S4474" s="1">
        <v>95</v>
      </c>
    </row>
    <row r="4475" spans="1:38" x14ac:dyDescent="0.3">
      <c r="A4475" s="1">
        <v>77372</v>
      </c>
      <c r="B4475" s="1" t="s">
        <v>284</v>
      </c>
      <c r="C4475" s="1" t="s">
        <v>231</v>
      </c>
      <c r="D4475" s="2">
        <f t="shared" si="241"/>
        <v>2020</v>
      </c>
      <c r="E4475" s="2">
        <f t="shared" si="242"/>
        <v>2</v>
      </c>
      <c r="G4475" s="4">
        <v>43879</v>
      </c>
      <c r="H4475" s="1">
        <v>6594617</v>
      </c>
      <c r="I4475" s="1">
        <v>666323</v>
      </c>
      <c r="J4475" s="1" t="s">
        <v>186</v>
      </c>
      <c r="K4475" s="1" t="s">
        <v>213</v>
      </c>
      <c r="L4475" s="1" t="str">
        <f t="shared" si="240"/>
        <v>Norrviken 3</v>
      </c>
      <c r="M4475" s="1" t="s">
        <v>286</v>
      </c>
      <c r="N4475" s="1">
        <v>11.5</v>
      </c>
      <c r="O4475" s="1">
        <v>11.5</v>
      </c>
      <c r="Q4475" s="1">
        <v>2.7</v>
      </c>
      <c r="R4475" s="1">
        <v>12.7</v>
      </c>
      <c r="S4475" s="1">
        <v>95</v>
      </c>
      <c r="W4475" s="1">
        <v>11.6281</v>
      </c>
      <c r="X4475" s="1">
        <v>0.11085961454789223</v>
      </c>
      <c r="Y4475" s="1">
        <v>5.2999999999999999E-2</v>
      </c>
      <c r="Z4475" s="1">
        <v>48.92</v>
      </c>
      <c r="AA4475" s="1">
        <v>3.3</v>
      </c>
      <c r="AD4475" s="1">
        <v>703.79</v>
      </c>
      <c r="AE4475" s="1">
        <v>7.97</v>
      </c>
      <c r="AK4475" s="1">
        <v>67.260000000000005</v>
      </c>
      <c r="AL4475" s="1">
        <v>1388.31</v>
      </c>
    </row>
    <row r="4476" spans="1:38" x14ac:dyDescent="0.3">
      <c r="A4476" s="1">
        <v>77373</v>
      </c>
      <c r="B4476" s="1" t="s">
        <v>284</v>
      </c>
      <c r="C4476" s="1" t="s">
        <v>231</v>
      </c>
      <c r="D4476" s="2">
        <f t="shared" si="241"/>
        <v>2020</v>
      </c>
      <c r="E4476" s="2">
        <f t="shared" si="242"/>
        <v>2</v>
      </c>
      <c r="G4476" s="4">
        <v>43879</v>
      </c>
      <c r="H4476" s="1">
        <v>6597022</v>
      </c>
      <c r="I4476" s="1">
        <v>665518</v>
      </c>
      <c r="J4476" s="1" t="s">
        <v>186</v>
      </c>
      <c r="K4476" s="1" t="s">
        <v>214</v>
      </c>
      <c r="L4476" s="1" t="str">
        <f t="shared" si="240"/>
        <v>Norrviken 4</v>
      </c>
      <c r="M4476" s="1" t="s">
        <v>285</v>
      </c>
      <c r="N4476" s="1">
        <v>0.5</v>
      </c>
      <c r="O4476" s="1">
        <v>0.5</v>
      </c>
      <c r="P4476" s="1">
        <v>2.8</v>
      </c>
      <c r="Q4476" s="1">
        <v>2.8</v>
      </c>
      <c r="R4476" s="1">
        <v>13</v>
      </c>
      <c r="S4476" s="1">
        <v>97</v>
      </c>
      <c r="W4476" s="1">
        <v>19.478200000000001</v>
      </c>
      <c r="X4476" s="1">
        <v>0.19596057416919557</v>
      </c>
      <c r="Y4476" s="1">
        <v>5.6000000000000001E-2</v>
      </c>
      <c r="Z4476" s="1">
        <v>41.03</v>
      </c>
      <c r="AA4476" s="1">
        <v>3.3</v>
      </c>
      <c r="AD4476" s="1">
        <v>737.65</v>
      </c>
      <c r="AE4476" s="1">
        <v>7.99</v>
      </c>
      <c r="AK4476" s="1">
        <v>56.71</v>
      </c>
      <c r="AL4476" s="1">
        <v>1397.77</v>
      </c>
    </row>
    <row r="4477" spans="1:38" x14ac:dyDescent="0.3">
      <c r="A4477" s="1">
        <v>77374</v>
      </c>
      <c r="B4477" s="1" t="s">
        <v>284</v>
      </c>
      <c r="C4477" s="1" t="s">
        <v>231</v>
      </c>
      <c r="D4477" s="2">
        <f t="shared" si="241"/>
        <v>2020</v>
      </c>
      <c r="E4477" s="2">
        <f t="shared" si="242"/>
        <v>2</v>
      </c>
      <c r="G4477" s="4">
        <v>43879</v>
      </c>
      <c r="H4477" s="1">
        <v>6597022</v>
      </c>
      <c r="I4477" s="1">
        <v>665518</v>
      </c>
      <c r="J4477" s="1" t="s">
        <v>186</v>
      </c>
      <c r="K4477" s="1" t="s">
        <v>214</v>
      </c>
      <c r="L4477" s="1" t="str">
        <f t="shared" si="240"/>
        <v>Norrviken 4</v>
      </c>
      <c r="M4477" s="1" t="s">
        <v>211</v>
      </c>
      <c r="N4477" s="1">
        <v>1</v>
      </c>
      <c r="O4477" s="1">
        <v>1</v>
      </c>
      <c r="Q4477" s="1">
        <v>2.8</v>
      </c>
      <c r="R4477" s="1">
        <v>12.9</v>
      </c>
      <c r="S4477" s="1">
        <v>97</v>
      </c>
    </row>
    <row r="4478" spans="1:38" x14ac:dyDescent="0.3">
      <c r="A4478" s="1">
        <v>77375</v>
      </c>
      <c r="B4478" s="1" t="s">
        <v>284</v>
      </c>
      <c r="C4478" s="1" t="s">
        <v>231</v>
      </c>
      <c r="D4478" s="2">
        <f t="shared" si="241"/>
        <v>2020</v>
      </c>
      <c r="E4478" s="2">
        <f t="shared" si="242"/>
        <v>2</v>
      </c>
      <c r="G4478" s="4">
        <v>43879</v>
      </c>
      <c r="H4478" s="1">
        <v>6597022</v>
      </c>
      <c r="I4478" s="1">
        <v>665518</v>
      </c>
      <c r="J4478" s="1" t="s">
        <v>186</v>
      </c>
      <c r="K4478" s="1" t="s">
        <v>214</v>
      </c>
      <c r="L4478" s="1" t="str">
        <f t="shared" ref="L4478:L4541" si="243">CONCATENATE(J4478," ",K4478)</f>
        <v>Norrviken 4</v>
      </c>
      <c r="M4478" s="1" t="s">
        <v>286</v>
      </c>
      <c r="N4478" s="1">
        <v>2</v>
      </c>
      <c r="O4478" s="1">
        <v>2</v>
      </c>
      <c r="Q4478" s="1">
        <v>2.8</v>
      </c>
      <c r="R4478" s="1">
        <v>12.9</v>
      </c>
      <c r="S4478" s="1">
        <v>97</v>
      </c>
      <c r="W4478" s="1">
        <v>19.638100000000001</v>
      </c>
      <c r="X4478" s="1">
        <v>0.197569249293676</v>
      </c>
      <c r="Y4478" s="1">
        <v>6.3E-2</v>
      </c>
      <c r="Z4478" s="1">
        <v>41.79</v>
      </c>
      <c r="AA4478" s="1">
        <v>3.8</v>
      </c>
      <c r="AD4478" s="1">
        <v>779.78</v>
      </c>
      <c r="AE4478" s="1">
        <v>7.99</v>
      </c>
      <c r="AK4478" s="1">
        <v>67.67</v>
      </c>
      <c r="AL4478" s="1">
        <v>1397.77</v>
      </c>
    </row>
    <row r="4479" spans="1:38" x14ac:dyDescent="0.3">
      <c r="A4479" s="1">
        <v>77376</v>
      </c>
      <c r="B4479" s="1" t="s">
        <v>284</v>
      </c>
      <c r="C4479" s="1" t="s">
        <v>231</v>
      </c>
      <c r="D4479" s="2">
        <f t="shared" si="241"/>
        <v>2020</v>
      </c>
      <c r="E4479" s="2">
        <f t="shared" si="242"/>
        <v>2</v>
      </c>
      <c r="G4479" s="4">
        <v>43879</v>
      </c>
      <c r="H4479" s="1">
        <v>6599384</v>
      </c>
      <c r="I4479" s="1">
        <v>662805</v>
      </c>
      <c r="J4479" s="1" t="s">
        <v>182</v>
      </c>
      <c r="K4479" s="1"/>
      <c r="L4479" s="1" t="str">
        <f t="shared" si="243"/>
        <v xml:space="preserve">Edssjön </v>
      </c>
      <c r="M4479" s="1" t="s">
        <v>285</v>
      </c>
      <c r="N4479" s="1">
        <v>0.5</v>
      </c>
      <c r="O4479" s="1">
        <v>0.5</v>
      </c>
      <c r="P4479" s="1">
        <v>2.6</v>
      </c>
      <c r="Q4479" s="1">
        <v>2.8</v>
      </c>
      <c r="R4479" s="1">
        <v>12.8</v>
      </c>
      <c r="S4479" s="1">
        <v>95</v>
      </c>
      <c r="W4479" s="1">
        <v>10.6486</v>
      </c>
      <c r="X4479" s="1">
        <v>7.9624027799837321E-2</v>
      </c>
      <c r="Y4479" s="1">
        <v>7.3999999999999996E-2</v>
      </c>
      <c r="Z4479" s="1">
        <v>40.28</v>
      </c>
      <c r="AA4479" s="1">
        <v>3.8</v>
      </c>
      <c r="AD4479" s="1">
        <v>676.41</v>
      </c>
      <c r="AE4479" s="1">
        <v>7.86</v>
      </c>
      <c r="AK4479" s="1">
        <v>61.49</v>
      </c>
      <c r="AL4479" s="1">
        <v>1413.95</v>
      </c>
    </row>
    <row r="4480" spans="1:38" x14ac:dyDescent="0.3">
      <c r="A4480" s="1">
        <v>77377</v>
      </c>
      <c r="B4480" s="1" t="s">
        <v>284</v>
      </c>
      <c r="C4480" s="1" t="s">
        <v>231</v>
      </c>
      <c r="D4480" s="2">
        <f t="shared" si="241"/>
        <v>2020</v>
      </c>
      <c r="E4480" s="2">
        <f t="shared" si="242"/>
        <v>2</v>
      </c>
      <c r="G4480" s="4">
        <v>43879</v>
      </c>
      <c r="H4480" s="1">
        <v>6599384</v>
      </c>
      <c r="I4480" s="1">
        <v>662805</v>
      </c>
      <c r="J4480" s="1" t="s">
        <v>182</v>
      </c>
      <c r="K4480" s="1"/>
      <c r="L4480" s="1" t="str">
        <f t="shared" si="243"/>
        <v xml:space="preserve">Edssjön </v>
      </c>
      <c r="M4480" s="1" t="s">
        <v>211</v>
      </c>
      <c r="N4480" s="1">
        <v>1</v>
      </c>
      <c r="O4480" s="1">
        <v>1</v>
      </c>
      <c r="Q4480" s="1">
        <v>2.8</v>
      </c>
      <c r="R4480" s="1">
        <v>12.8</v>
      </c>
      <c r="S4480" s="1">
        <v>95</v>
      </c>
    </row>
    <row r="4481" spans="1:38" x14ac:dyDescent="0.3">
      <c r="A4481" s="1">
        <v>77378</v>
      </c>
      <c r="B4481" s="1" t="s">
        <v>284</v>
      </c>
      <c r="C4481" s="1" t="s">
        <v>231</v>
      </c>
      <c r="D4481" s="2">
        <f t="shared" si="241"/>
        <v>2020</v>
      </c>
      <c r="E4481" s="2">
        <f t="shared" si="242"/>
        <v>2</v>
      </c>
      <c r="G4481" s="4">
        <v>43879</v>
      </c>
      <c r="H4481" s="1">
        <v>6599384</v>
      </c>
      <c r="I4481" s="1">
        <v>662805</v>
      </c>
      <c r="J4481" s="1" t="s">
        <v>182</v>
      </c>
      <c r="K4481" s="1"/>
      <c r="L4481" s="1" t="str">
        <f t="shared" si="243"/>
        <v xml:space="preserve">Edssjön </v>
      </c>
      <c r="M4481" s="1" t="s">
        <v>212</v>
      </c>
      <c r="N4481" s="1">
        <v>2</v>
      </c>
      <c r="O4481" s="1">
        <v>2</v>
      </c>
      <c r="Q4481" s="1">
        <v>2.8</v>
      </c>
      <c r="R4481" s="1">
        <v>12.8</v>
      </c>
      <c r="S4481" s="1">
        <v>95</v>
      </c>
    </row>
    <row r="4482" spans="1:38" x14ac:dyDescent="0.3">
      <c r="A4482" s="1">
        <v>77379</v>
      </c>
      <c r="B4482" s="1" t="s">
        <v>284</v>
      </c>
      <c r="C4482" s="1" t="s">
        <v>231</v>
      </c>
      <c r="D4482" s="2">
        <f t="shared" si="241"/>
        <v>2020</v>
      </c>
      <c r="E4482" s="2">
        <f t="shared" si="242"/>
        <v>2</v>
      </c>
      <c r="G4482" s="4">
        <v>43879</v>
      </c>
      <c r="H4482" s="1">
        <v>6599384</v>
      </c>
      <c r="I4482" s="1">
        <v>662805</v>
      </c>
      <c r="J4482" s="1" t="s">
        <v>182</v>
      </c>
      <c r="K4482" s="1"/>
      <c r="L4482" s="1" t="str">
        <f t="shared" si="243"/>
        <v xml:space="preserve">Edssjön </v>
      </c>
      <c r="M4482" s="1" t="s">
        <v>213</v>
      </c>
      <c r="N4482" s="1">
        <v>3</v>
      </c>
      <c r="O4482" s="1">
        <v>3</v>
      </c>
      <c r="Q4482" s="1">
        <v>2.8</v>
      </c>
      <c r="R4482" s="1">
        <v>12.8</v>
      </c>
      <c r="S4482" s="1">
        <v>95</v>
      </c>
    </row>
    <row r="4483" spans="1:38" x14ac:dyDescent="0.3">
      <c r="A4483" s="1">
        <v>77380</v>
      </c>
      <c r="B4483" s="1" t="s">
        <v>284</v>
      </c>
      <c r="C4483" s="1" t="s">
        <v>231</v>
      </c>
      <c r="D4483" s="2">
        <f t="shared" si="241"/>
        <v>2020</v>
      </c>
      <c r="E4483" s="2">
        <f t="shared" si="242"/>
        <v>2</v>
      </c>
      <c r="G4483" s="4">
        <v>43879</v>
      </c>
      <c r="H4483" s="1">
        <v>6599384</v>
      </c>
      <c r="I4483" s="1">
        <v>662805</v>
      </c>
      <c r="J4483" s="1" t="s">
        <v>182</v>
      </c>
      <c r="K4483" s="1"/>
      <c r="L4483" s="1" t="str">
        <f t="shared" si="243"/>
        <v xml:space="preserve">Edssjön </v>
      </c>
      <c r="M4483" s="1" t="s">
        <v>214</v>
      </c>
      <c r="N4483" s="1">
        <v>4</v>
      </c>
      <c r="O4483" s="1">
        <v>4</v>
      </c>
      <c r="Q4483" s="1">
        <v>2.8</v>
      </c>
      <c r="R4483" s="1">
        <v>12.8</v>
      </c>
      <c r="S4483" s="1">
        <v>95</v>
      </c>
    </row>
    <row r="4484" spans="1:38" x14ac:dyDescent="0.3">
      <c r="A4484" s="1">
        <v>77381</v>
      </c>
      <c r="B4484" s="1" t="s">
        <v>284</v>
      </c>
      <c r="C4484" s="1" t="s">
        <v>231</v>
      </c>
      <c r="D4484" s="2">
        <f t="shared" si="241"/>
        <v>2020</v>
      </c>
      <c r="E4484" s="2">
        <f t="shared" si="242"/>
        <v>2</v>
      </c>
      <c r="G4484" s="4">
        <v>43879</v>
      </c>
      <c r="H4484" s="1">
        <v>6599384</v>
      </c>
      <c r="I4484" s="1">
        <v>662805</v>
      </c>
      <c r="J4484" s="1" t="s">
        <v>182</v>
      </c>
      <c r="K4484" s="1"/>
      <c r="L4484" s="1" t="str">
        <f t="shared" si="243"/>
        <v xml:space="preserve">Edssjön </v>
      </c>
      <c r="M4484" s="1" t="s">
        <v>286</v>
      </c>
      <c r="N4484" s="1">
        <v>4.5</v>
      </c>
      <c r="O4484" s="1">
        <v>4.5</v>
      </c>
      <c r="Q4484" s="1">
        <v>2.8</v>
      </c>
      <c r="R4484" s="1">
        <v>12.7</v>
      </c>
      <c r="S4484" s="1">
        <v>95</v>
      </c>
      <c r="W4484" s="1">
        <v>21.3888</v>
      </c>
      <c r="X4484" s="1">
        <v>0.1712796862589871</v>
      </c>
      <c r="Y4484" s="1">
        <v>7.2999999999999995E-2</v>
      </c>
      <c r="Z4484" s="1">
        <v>40.57</v>
      </c>
      <c r="AA4484" s="1">
        <v>4.3</v>
      </c>
      <c r="AD4484" s="1">
        <v>687.15</v>
      </c>
      <c r="AE4484" s="1">
        <v>7.89</v>
      </c>
      <c r="AK4484" s="1">
        <v>59.47</v>
      </c>
      <c r="AL4484" s="1">
        <v>1524.99</v>
      </c>
    </row>
    <row r="4485" spans="1:38" x14ac:dyDescent="0.3">
      <c r="A4485" s="1">
        <v>77382</v>
      </c>
      <c r="B4485" s="1" t="s">
        <v>284</v>
      </c>
      <c r="C4485" s="1" t="s">
        <v>231</v>
      </c>
      <c r="D4485" s="2">
        <f t="shared" si="241"/>
        <v>2020</v>
      </c>
      <c r="E4485" s="2">
        <f t="shared" si="242"/>
        <v>2</v>
      </c>
      <c r="G4485" s="4">
        <v>43879</v>
      </c>
      <c r="H4485" s="1">
        <v>6605701</v>
      </c>
      <c r="I4485" s="1">
        <v>661059</v>
      </c>
      <c r="J4485" s="1" t="s">
        <v>187</v>
      </c>
      <c r="K4485" s="1"/>
      <c r="L4485" s="1" t="str">
        <f t="shared" si="243"/>
        <v xml:space="preserve">Oxundasjön </v>
      </c>
      <c r="M4485" s="1" t="s">
        <v>285</v>
      </c>
      <c r="N4485" s="1">
        <v>0.5</v>
      </c>
      <c r="O4485" s="1">
        <v>0.5</v>
      </c>
      <c r="P4485" s="1">
        <v>1.8</v>
      </c>
      <c r="Q4485" s="1">
        <v>2.5</v>
      </c>
      <c r="R4485" s="1">
        <v>12.8</v>
      </c>
      <c r="S4485" s="1">
        <v>95</v>
      </c>
      <c r="W4485" s="1">
        <v>23.8324</v>
      </c>
      <c r="X4485" s="1">
        <v>0.17789282512620391</v>
      </c>
      <c r="Y4485" s="1">
        <v>8.6999999999999994E-2</v>
      </c>
      <c r="Z4485" s="1">
        <v>23.91</v>
      </c>
      <c r="AA4485" s="1">
        <v>6</v>
      </c>
      <c r="AD4485" s="1">
        <v>1324.32</v>
      </c>
      <c r="AE4485" s="1">
        <v>7.87</v>
      </c>
      <c r="AK4485" s="1">
        <v>46.73</v>
      </c>
      <c r="AL4485" s="1">
        <v>2044.28</v>
      </c>
    </row>
    <row r="4486" spans="1:38" x14ac:dyDescent="0.3">
      <c r="A4486" s="1">
        <v>77383</v>
      </c>
      <c r="B4486" s="1" t="s">
        <v>284</v>
      </c>
      <c r="C4486" s="1" t="s">
        <v>231</v>
      </c>
      <c r="D4486" s="2">
        <f t="shared" si="241"/>
        <v>2020</v>
      </c>
      <c r="E4486" s="2">
        <f t="shared" si="242"/>
        <v>2</v>
      </c>
      <c r="G4486" s="4">
        <v>43879</v>
      </c>
      <c r="H4486" s="1">
        <v>6605701</v>
      </c>
      <c r="I4486" s="1">
        <v>661059</v>
      </c>
      <c r="J4486" s="1" t="s">
        <v>187</v>
      </c>
      <c r="K4486" s="1"/>
      <c r="L4486" s="1" t="str">
        <f t="shared" si="243"/>
        <v xml:space="preserve">Oxundasjön </v>
      </c>
      <c r="M4486" s="1" t="s">
        <v>211</v>
      </c>
      <c r="N4486" s="1">
        <v>1</v>
      </c>
      <c r="O4486" s="1">
        <v>1</v>
      </c>
      <c r="Q4486" s="1">
        <v>2.5</v>
      </c>
      <c r="R4486" s="1">
        <v>12.8</v>
      </c>
      <c r="S4486" s="1">
        <v>95</v>
      </c>
    </row>
    <row r="4487" spans="1:38" x14ac:dyDescent="0.3">
      <c r="A4487" s="1">
        <v>77384</v>
      </c>
      <c r="B4487" s="1" t="s">
        <v>284</v>
      </c>
      <c r="C4487" s="1" t="s">
        <v>231</v>
      </c>
      <c r="D4487" s="2">
        <f t="shared" si="241"/>
        <v>2020</v>
      </c>
      <c r="E4487" s="2">
        <f t="shared" si="242"/>
        <v>2</v>
      </c>
      <c r="G4487" s="4">
        <v>43879</v>
      </c>
      <c r="H4487" s="1">
        <v>6605701</v>
      </c>
      <c r="I4487" s="1">
        <v>661059</v>
      </c>
      <c r="J4487" s="1" t="s">
        <v>187</v>
      </c>
      <c r="K4487" s="1"/>
      <c r="L4487" s="1" t="str">
        <f t="shared" si="243"/>
        <v xml:space="preserve">Oxundasjön </v>
      </c>
      <c r="M4487" s="1" t="s">
        <v>212</v>
      </c>
      <c r="N4487" s="1">
        <v>2</v>
      </c>
      <c r="O4487" s="1">
        <v>2</v>
      </c>
      <c r="Q4487" s="1">
        <v>2.5</v>
      </c>
      <c r="R4487" s="1">
        <v>12.8</v>
      </c>
      <c r="S4487" s="1">
        <v>95</v>
      </c>
    </row>
    <row r="4488" spans="1:38" x14ac:dyDescent="0.3">
      <c r="A4488" s="1">
        <v>77385</v>
      </c>
      <c r="B4488" s="1" t="s">
        <v>284</v>
      </c>
      <c r="C4488" s="1" t="s">
        <v>231</v>
      </c>
      <c r="D4488" s="2">
        <f t="shared" si="241"/>
        <v>2020</v>
      </c>
      <c r="E4488" s="2">
        <f t="shared" si="242"/>
        <v>2</v>
      </c>
      <c r="G4488" s="4">
        <v>43879</v>
      </c>
      <c r="H4488" s="1">
        <v>6605701</v>
      </c>
      <c r="I4488" s="1">
        <v>661059</v>
      </c>
      <c r="J4488" s="1" t="s">
        <v>187</v>
      </c>
      <c r="K4488" s="1"/>
      <c r="L4488" s="1" t="str">
        <f t="shared" si="243"/>
        <v xml:space="preserve">Oxundasjön </v>
      </c>
      <c r="M4488" s="1" t="s">
        <v>213</v>
      </c>
      <c r="N4488" s="1">
        <v>3</v>
      </c>
      <c r="O4488" s="1">
        <v>3</v>
      </c>
      <c r="Q4488" s="1">
        <v>2.5</v>
      </c>
      <c r="R4488" s="1">
        <v>12.8</v>
      </c>
      <c r="S4488" s="1">
        <v>95</v>
      </c>
    </row>
    <row r="4489" spans="1:38" x14ac:dyDescent="0.3">
      <c r="A4489" s="1">
        <v>77386</v>
      </c>
      <c r="B4489" s="1" t="s">
        <v>284</v>
      </c>
      <c r="C4489" s="1" t="s">
        <v>231</v>
      </c>
      <c r="D4489" s="2">
        <f t="shared" si="241"/>
        <v>2020</v>
      </c>
      <c r="E4489" s="2">
        <f t="shared" si="242"/>
        <v>2</v>
      </c>
      <c r="G4489" s="4">
        <v>43879</v>
      </c>
      <c r="H4489" s="1">
        <v>6605701</v>
      </c>
      <c r="I4489" s="1">
        <v>661059</v>
      </c>
      <c r="J4489" s="1" t="s">
        <v>187</v>
      </c>
      <c r="K4489" s="1"/>
      <c r="L4489" s="1" t="str">
        <f t="shared" si="243"/>
        <v xml:space="preserve">Oxundasjön </v>
      </c>
      <c r="M4489" s="1" t="s">
        <v>214</v>
      </c>
      <c r="N4489" s="1">
        <v>4</v>
      </c>
      <c r="O4489" s="1">
        <v>4</v>
      </c>
      <c r="Q4489" s="1">
        <v>2.5</v>
      </c>
      <c r="R4489" s="1">
        <v>12.8</v>
      </c>
      <c r="S4489" s="1">
        <v>95</v>
      </c>
    </row>
    <row r="4490" spans="1:38" x14ac:dyDescent="0.3">
      <c r="A4490" s="1">
        <v>77387</v>
      </c>
      <c r="B4490" s="1" t="s">
        <v>284</v>
      </c>
      <c r="C4490" s="1" t="s">
        <v>231</v>
      </c>
      <c r="D4490" s="2">
        <f t="shared" si="241"/>
        <v>2020</v>
      </c>
      <c r="E4490" s="2">
        <f t="shared" si="242"/>
        <v>2</v>
      </c>
      <c r="G4490" s="4">
        <v>43879</v>
      </c>
      <c r="H4490" s="1">
        <v>6605701</v>
      </c>
      <c r="I4490" s="1">
        <v>661059</v>
      </c>
      <c r="J4490" s="1" t="s">
        <v>187</v>
      </c>
      <c r="K4490" s="1"/>
      <c r="L4490" s="1" t="str">
        <f t="shared" si="243"/>
        <v xml:space="preserve">Oxundasjön </v>
      </c>
      <c r="M4490" s="1" t="s">
        <v>217</v>
      </c>
      <c r="N4490" s="1">
        <v>5</v>
      </c>
      <c r="O4490" s="1">
        <v>5</v>
      </c>
      <c r="Q4490" s="1">
        <v>2.5</v>
      </c>
      <c r="R4490" s="1">
        <v>12.8</v>
      </c>
      <c r="S4490" s="1">
        <v>95</v>
      </c>
    </row>
    <row r="4491" spans="1:38" x14ac:dyDescent="0.3">
      <c r="A4491" s="1">
        <v>77388</v>
      </c>
      <c r="B4491" s="1" t="s">
        <v>284</v>
      </c>
      <c r="C4491" s="1" t="s">
        <v>231</v>
      </c>
      <c r="D4491" s="2">
        <f t="shared" si="241"/>
        <v>2020</v>
      </c>
      <c r="E4491" s="2">
        <f t="shared" si="242"/>
        <v>2</v>
      </c>
      <c r="G4491" s="4">
        <v>43879</v>
      </c>
      <c r="H4491" s="1">
        <v>6605701</v>
      </c>
      <c r="I4491" s="1">
        <v>661059</v>
      </c>
      <c r="J4491" s="1" t="s">
        <v>187</v>
      </c>
      <c r="K4491" s="1"/>
      <c r="L4491" s="1" t="str">
        <f t="shared" si="243"/>
        <v xml:space="preserve">Oxundasjön </v>
      </c>
      <c r="M4491" s="1" t="s">
        <v>286</v>
      </c>
      <c r="N4491" s="1">
        <v>5.5</v>
      </c>
      <c r="O4491" s="1">
        <v>5.5</v>
      </c>
      <c r="Q4491" s="1">
        <v>2.5</v>
      </c>
      <c r="R4491" s="1">
        <v>12.8</v>
      </c>
      <c r="S4491" s="1">
        <v>95</v>
      </c>
      <c r="W4491" s="1">
        <v>25.543900000000001</v>
      </c>
      <c r="X4491" s="1">
        <v>0.17803044716711039</v>
      </c>
      <c r="Y4491" s="1">
        <v>0.08</v>
      </c>
      <c r="Z4491" s="1">
        <v>25.3</v>
      </c>
      <c r="AA4491" s="1">
        <v>6.5</v>
      </c>
      <c r="AD4491" s="1">
        <v>1307.74</v>
      </c>
      <c r="AE4491" s="1">
        <v>7.84</v>
      </c>
      <c r="AK4491" s="1">
        <v>47.15</v>
      </c>
      <c r="AL4491" s="1">
        <v>2086.7800000000002</v>
      </c>
    </row>
    <row r="4492" spans="1:38" x14ac:dyDescent="0.3">
      <c r="A4492" s="1">
        <v>81790</v>
      </c>
      <c r="B4492" s="1" t="s">
        <v>284</v>
      </c>
      <c r="C4492" s="1" t="s">
        <v>231</v>
      </c>
      <c r="D4492" s="2">
        <f t="shared" si="241"/>
        <v>2020</v>
      </c>
      <c r="E4492" s="2">
        <f t="shared" si="242"/>
        <v>8</v>
      </c>
      <c r="G4492" s="4">
        <v>44054</v>
      </c>
      <c r="H4492" s="1">
        <v>6595172</v>
      </c>
      <c r="I4492" s="1">
        <v>669610</v>
      </c>
      <c r="J4492" s="1" t="s">
        <v>183</v>
      </c>
      <c r="K4492" s="1"/>
      <c r="L4492" s="1" t="str">
        <f t="shared" si="243"/>
        <v xml:space="preserve">Fjäturen </v>
      </c>
      <c r="M4492" s="1" t="s">
        <v>285</v>
      </c>
      <c r="N4492" s="1">
        <v>0.5</v>
      </c>
      <c r="O4492" s="1">
        <v>0.5</v>
      </c>
      <c r="P4492" s="1">
        <v>4.4000000000000004</v>
      </c>
      <c r="Q4492" s="1">
        <v>21.5</v>
      </c>
      <c r="R4492" s="1">
        <v>8.9</v>
      </c>
      <c r="S4492" s="1">
        <v>99</v>
      </c>
      <c r="V4492" s="1">
        <v>2.3717157025</v>
      </c>
      <c r="W4492" s="1">
        <v>3.2892000000000001</v>
      </c>
      <c r="X4492" s="1">
        <v>0.20159563349980716</v>
      </c>
      <c r="Y4492" s="1">
        <v>4.3999999999999997E-2</v>
      </c>
      <c r="Z4492" s="1">
        <v>0</v>
      </c>
      <c r="AA4492" s="1">
        <v>1.41</v>
      </c>
      <c r="AB4492" s="1">
        <v>4.6410299999999998</v>
      </c>
      <c r="AD4492" s="1">
        <v>0</v>
      </c>
      <c r="AE4492" s="1">
        <v>8.17</v>
      </c>
      <c r="AK4492" s="1">
        <v>13.25</v>
      </c>
      <c r="AL4492" s="1">
        <v>659.62</v>
      </c>
    </row>
    <row r="4493" spans="1:38" x14ac:dyDescent="0.3">
      <c r="A4493" s="1">
        <v>81791</v>
      </c>
      <c r="B4493" s="1" t="s">
        <v>284</v>
      </c>
      <c r="C4493" s="1" t="s">
        <v>231</v>
      </c>
      <c r="D4493" s="2">
        <f t="shared" si="241"/>
        <v>2020</v>
      </c>
      <c r="E4493" s="2">
        <f t="shared" si="242"/>
        <v>8</v>
      </c>
      <c r="G4493" s="4">
        <v>44054</v>
      </c>
      <c r="H4493" s="1">
        <v>6595172</v>
      </c>
      <c r="I4493" s="1">
        <v>669610</v>
      </c>
      <c r="J4493" s="1" t="s">
        <v>183</v>
      </c>
      <c r="K4493" s="1"/>
      <c r="L4493" s="1" t="str">
        <f t="shared" si="243"/>
        <v xml:space="preserve">Fjäturen </v>
      </c>
      <c r="M4493" s="1" t="s">
        <v>211</v>
      </c>
      <c r="N4493" s="1">
        <v>1</v>
      </c>
      <c r="O4493" s="1">
        <v>1</v>
      </c>
      <c r="Q4493" s="1">
        <v>21.5</v>
      </c>
      <c r="R4493" s="1">
        <v>8.9</v>
      </c>
      <c r="S4493" s="1">
        <v>99</v>
      </c>
    </row>
    <row r="4494" spans="1:38" x14ac:dyDescent="0.3">
      <c r="A4494" s="1">
        <v>81792</v>
      </c>
      <c r="B4494" s="1" t="s">
        <v>284</v>
      </c>
      <c r="C4494" s="1" t="s">
        <v>231</v>
      </c>
      <c r="D4494" s="2">
        <f t="shared" si="241"/>
        <v>2020</v>
      </c>
      <c r="E4494" s="2">
        <f t="shared" si="242"/>
        <v>8</v>
      </c>
      <c r="G4494" s="4">
        <v>44054</v>
      </c>
      <c r="H4494" s="1">
        <v>6595172</v>
      </c>
      <c r="I4494" s="1">
        <v>669610</v>
      </c>
      <c r="J4494" s="1" t="s">
        <v>183</v>
      </c>
      <c r="K4494" s="1"/>
      <c r="L4494" s="1" t="str">
        <f t="shared" si="243"/>
        <v xml:space="preserve">Fjäturen </v>
      </c>
      <c r="M4494" s="1" t="s">
        <v>212</v>
      </c>
      <c r="N4494" s="1">
        <v>2</v>
      </c>
      <c r="O4494" s="1">
        <v>2</v>
      </c>
      <c r="Q4494" s="1">
        <v>21.5</v>
      </c>
      <c r="R4494" s="1">
        <v>8.9</v>
      </c>
      <c r="S4494" s="1">
        <v>100</v>
      </c>
    </row>
    <row r="4495" spans="1:38" x14ac:dyDescent="0.3">
      <c r="A4495" s="1">
        <v>81793</v>
      </c>
      <c r="B4495" s="1" t="s">
        <v>284</v>
      </c>
      <c r="C4495" s="1" t="s">
        <v>231</v>
      </c>
      <c r="D4495" s="2">
        <f t="shared" si="241"/>
        <v>2020</v>
      </c>
      <c r="E4495" s="2">
        <f t="shared" si="242"/>
        <v>8</v>
      </c>
      <c r="G4495" s="4">
        <v>44054</v>
      </c>
      <c r="H4495" s="1">
        <v>6595172</v>
      </c>
      <c r="I4495" s="1">
        <v>669610</v>
      </c>
      <c r="J4495" s="1" t="s">
        <v>183</v>
      </c>
      <c r="K4495" s="1"/>
      <c r="L4495" s="1" t="str">
        <f t="shared" si="243"/>
        <v xml:space="preserve">Fjäturen </v>
      </c>
      <c r="M4495" s="1" t="s">
        <v>213</v>
      </c>
      <c r="N4495" s="1">
        <v>3</v>
      </c>
      <c r="O4495" s="1">
        <v>3</v>
      </c>
      <c r="Q4495" s="1">
        <v>21.5</v>
      </c>
      <c r="R4495" s="1">
        <v>8.9</v>
      </c>
      <c r="S4495" s="1">
        <v>99</v>
      </c>
    </row>
    <row r="4496" spans="1:38" x14ac:dyDescent="0.3">
      <c r="A4496" s="1">
        <v>81794</v>
      </c>
      <c r="B4496" s="1" t="s">
        <v>284</v>
      </c>
      <c r="C4496" s="1" t="s">
        <v>231</v>
      </c>
      <c r="D4496" s="2">
        <f t="shared" si="241"/>
        <v>2020</v>
      </c>
      <c r="E4496" s="2">
        <f t="shared" si="242"/>
        <v>8</v>
      </c>
      <c r="G4496" s="4">
        <v>44054</v>
      </c>
      <c r="H4496" s="1">
        <v>6595172</v>
      </c>
      <c r="I4496" s="1">
        <v>669610</v>
      </c>
      <c r="J4496" s="1" t="s">
        <v>183</v>
      </c>
      <c r="K4496" s="1"/>
      <c r="L4496" s="1" t="str">
        <f t="shared" si="243"/>
        <v xml:space="preserve">Fjäturen </v>
      </c>
      <c r="M4496" s="1" t="s">
        <v>214</v>
      </c>
      <c r="N4496" s="1">
        <v>4</v>
      </c>
      <c r="O4496" s="1">
        <v>4</v>
      </c>
      <c r="Q4496" s="1">
        <v>21.4</v>
      </c>
      <c r="R4496" s="1">
        <v>8.9</v>
      </c>
      <c r="S4496" s="1">
        <v>99</v>
      </c>
    </row>
    <row r="4497" spans="1:91" x14ac:dyDescent="0.3">
      <c r="A4497" s="1">
        <v>81795</v>
      </c>
      <c r="B4497" s="1" t="s">
        <v>284</v>
      </c>
      <c r="C4497" s="1" t="s">
        <v>231</v>
      </c>
      <c r="D4497" s="2">
        <f t="shared" si="241"/>
        <v>2020</v>
      </c>
      <c r="E4497" s="2">
        <f t="shared" si="242"/>
        <v>8</v>
      </c>
      <c r="G4497" s="4">
        <v>44054</v>
      </c>
      <c r="H4497" s="1">
        <v>6595172</v>
      </c>
      <c r="I4497" s="1">
        <v>669610</v>
      </c>
      <c r="J4497" s="1" t="s">
        <v>183</v>
      </c>
      <c r="K4497" s="1"/>
      <c r="L4497" s="1" t="str">
        <f t="shared" si="243"/>
        <v xml:space="preserve">Fjäturen </v>
      </c>
      <c r="M4497" s="1" t="s">
        <v>217</v>
      </c>
      <c r="N4497" s="1">
        <v>5</v>
      </c>
      <c r="O4497" s="1">
        <v>5</v>
      </c>
      <c r="Q4497" s="1">
        <v>19.399999999999999</v>
      </c>
      <c r="R4497" s="1">
        <v>3.2</v>
      </c>
      <c r="S4497" s="1">
        <v>34</v>
      </c>
    </row>
    <row r="4498" spans="1:91" x14ac:dyDescent="0.3">
      <c r="A4498" s="1">
        <v>81796</v>
      </c>
      <c r="B4498" s="1" t="s">
        <v>284</v>
      </c>
      <c r="C4498" s="1" t="s">
        <v>231</v>
      </c>
      <c r="D4498" s="2">
        <f t="shared" si="241"/>
        <v>2020</v>
      </c>
      <c r="E4498" s="2">
        <f t="shared" si="242"/>
        <v>8</v>
      </c>
      <c r="G4498" s="4">
        <v>44054</v>
      </c>
      <c r="H4498" s="1">
        <v>6595172</v>
      </c>
      <c r="I4498" s="1">
        <v>669610</v>
      </c>
      <c r="J4498" s="1" t="s">
        <v>183</v>
      </c>
      <c r="K4498" s="1"/>
      <c r="L4498" s="1" t="str">
        <f t="shared" si="243"/>
        <v xml:space="preserve">Fjäturen </v>
      </c>
      <c r="M4498" s="1" t="s">
        <v>218</v>
      </c>
      <c r="N4498" s="1">
        <v>6</v>
      </c>
      <c r="O4498" s="1">
        <v>6</v>
      </c>
      <c r="Q4498" s="1">
        <v>17.100000000000001</v>
      </c>
      <c r="R4498" s="1">
        <v>0.1</v>
      </c>
      <c r="S4498" s="1">
        <v>1</v>
      </c>
    </row>
    <row r="4499" spans="1:91" x14ac:dyDescent="0.3">
      <c r="A4499" s="1">
        <v>81797</v>
      </c>
      <c r="B4499" s="1" t="s">
        <v>284</v>
      </c>
      <c r="C4499" s="1" t="s">
        <v>231</v>
      </c>
      <c r="D4499" s="2">
        <f t="shared" si="241"/>
        <v>2020</v>
      </c>
      <c r="E4499" s="2">
        <f t="shared" si="242"/>
        <v>8</v>
      </c>
      <c r="G4499" s="4">
        <v>44054</v>
      </c>
      <c r="H4499" s="1">
        <v>6595172</v>
      </c>
      <c r="I4499" s="1">
        <v>669610</v>
      </c>
      <c r="J4499" s="1" t="s">
        <v>183</v>
      </c>
      <c r="K4499" s="1"/>
      <c r="L4499" s="1" t="str">
        <f t="shared" si="243"/>
        <v xml:space="preserve">Fjäturen </v>
      </c>
      <c r="M4499" s="1" t="s">
        <v>219</v>
      </c>
      <c r="N4499" s="1">
        <v>7</v>
      </c>
      <c r="O4499" s="1">
        <v>7</v>
      </c>
      <c r="Q4499" s="1">
        <v>12.6</v>
      </c>
      <c r="R4499" s="1">
        <v>0.1</v>
      </c>
      <c r="S4499" s="1">
        <v>1</v>
      </c>
    </row>
    <row r="4500" spans="1:91" x14ac:dyDescent="0.3">
      <c r="A4500" s="1">
        <v>81798</v>
      </c>
      <c r="B4500" s="1" t="s">
        <v>284</v>
      </c>
      <c r="C4500" s="1" t="s">
        <v>231</v>
      </c>
      <c r="D4500" s="2">
        <f t="shared" si="241"/>
        <v>2020</v>
      </c>
      <c r="E4500" s="2">
        <f t="shared" si="242"/>
        <v>8</v>
      </c>
      <c r="G4500" s="4">
        <v>44054</v>
      </c>
      <c r="H4500" s="1">
        <v>6595172</v>
      </c>
      <c r="I4500" s="1">
        <v>669610</v>
      </c>
      <c r="J4500" s="1" t="s">
        <v>183</v>
      </c>
      <c r="K4500" s="1"/>
      <c r="L4500" s="1" t="str">
        <f t="shared" si="243"/>
        <v xml:space="preserve">Fjäturen </v>
      </c>
      <c r="M4500" s="1" t="s">
        <v>220</v>
      </c>
      <c r="N4500" s="1">
        <v>8</v>
      </c>
      <c r="O4500" s="1">
        <v>8</v>
      </c>
      <c r="Q4500" s="1">
        <v>10.9</v>
      </c>
      <c r="R4500" s="1">
        <v>0.1</v>
      </c>
      <c r="S4500" s="1">
        <v>1</v>
      </c>
    </row>
    <row r="4501" spans="1:91" x14ac:dyDescent="0.3">
      <c r="A4501" s="1">
        <v>81799</v>
      </c>
      <c r="B4501" s="1" t="s">
        <v>284</v>
      </c>
      <c r="C4501" s="1" t="s">
        <v>231</v>
      </c>
      <c r="D4501" s="2">
        <f t="shared" si="241"/>
        <v>2020</v>
      </c>
      <c r="E4501" s="2">
        <f t="shared" si="242"/>
        <v>8</v>
      </c>
      <c r="G4501" s="4">
        <v>44054</v>
      </c>
      <c r="H4501" s="1">
        <v>6595172</v>
      </c>
      <c r="I4501" s="1">
        <v>669610</v>
      </c>
      <c r="J4501" s="1" t="s">
        <v>183</v>
      </c>
      <c r="K4501" s="1"/>
      <c r="L4501" s="1" t="str">
        <f t="shared" si="243"/>
        <v xml:space="preserve">Fjäturen </v>
      </c>
      <c r="M4501" s="1" t="s">
        <v>286</v>
      </c>
      <c r="N4501" s="1">
        <v>9</v>
      </c>
      <c r="O4501" s="1">
        <v>9</v>
      </c>
      <c r="Q4501" s="1">
        <v>10.7</v>
      </c>
      <c r="R4501" s="1">
        <v>0.1</v>
      </c>
      <c r="S4501" s="1">
        <v>1</v>
      </c>
      <c r="V4501" s="1">
        <v>2.8379504132000002</v>
      </c>
      <c r="W4501" s="1">
        <v>846.66660000000002</v>
      </c>
      <c r="X4501" s="1">
        <v>5.0983917521348481</v>
      </c>
      <c r="Y4501" s="1">
        <v>7.8E-2</v>
      </c>
      <c r="Z4501" s="1">
        <v>389.94</v>
      </c>
      <c r="AA4501" s="1">
        <v>6.5</v>
      </c>
      <c r="AD4501" s="1">
        <v>0</v>
      </c>
      <c r="AE4501" s="1">
        <v>7.49</v>
      </c>
      <c r="AK4501" s="1">
        <v>430.6</v>
      </c>
      <c r="AL4501" s="1">
        <v>1700.41</v>
      </c>
    </row>
    <row r="4502" spans="1:91" x14ac:dyDescent="0.3">
      <c r="A4502" s="1">
        <v>81800</v>
      </c>
      <c r="B4502" s="1" t="s">
        <v>284</v>
      </c>
      <c r="C4502" s="1" t="s">
        <v>231</v>
      </c>
      <c r="D4502" s="2">
        <f t="shared" si="241"/>
        <v>2020</v>
      </c>
      <c r="E4502" s="2">
        <f t="shared" si="242"/>
        <v>8</v>
      </c>
      <c r="G4502" s="4">
        <v>44054</v>
      </c>
      <c r="H4502" s="1">
        <v>6593536</v>
      </c>
      <c r="I4502" s="1">
        <v>664946</v>
      </c>
      <c r="J4502" s="1" t="s">
        <v>188</v>
      </c>
      <c r="K4502" s="1"/>
      <c r="L4502" s="1" t="str">
        <f t="shared" si="243"/>
        <v xml:space="preserve">Ravalen </v>
      </c>
      <c r="M4502" s="1" t="s">
        <v>285</v>
      </c>
      <c r="N4502" s="1">
        <v>0.5</v>
      </c>
      <c r="O4502" s="1">
        <v>0.5</v>
      </c>
      <c r="P4502" s="1">
        <v>1.2</v>
      </c>
      <c r="Q4502" s="1">
        <v>23</v>
      </c>
      <c r="R4502" s="1">
        <v>12</v>
      </c>
      <c r="S4502" s="1">
        <v>139</v>
      </c>
      <c r="V4502" s="1">
        <v>1.3470295081999999</v>
      </c>
      <c r="W4502" s="1">
        <v>8.4690999999999992</v>
      </c>
      <c r="X4502" s="1">
        <v>3.3310670848582253</v>
      </c>
      <c r="Y4502" s="1">
        <v>5.8999999999999997E-2</v>
      </c>
      <c r="Z4502" s="1">
        <v>0</v>
      </c>
      <c r="AA4502" s="1">
        <v>0.91</v>
      </c>
      <c r="AB4502" s="1">
        <v>1.6349400000000001</v>
      </c>
      <c r="AD4502" s="1">
        <v>0.95</v>
      </c>
      <c r="AE4502" s="1">
        <v>9.1199999999999992</v>
      </c>
      <c r="AK4502" s="1">
        <v>19.05</v>
      </c>
      <c r="AL4502" s="1">
        <v>886.95</v>
      </c>
    </row>
    <row r="4503" spans="1:91" x14ac:dyDescent="0.3">
      <c r="A4503" s="1">
        <v>81801</v>
      </c>
      <c r="B4503" s="1" t="s">
        <v>284</v>
      </c>
      <c r="C4503" s="1" t="s">
        <v>231</v>
      </c>
      <c r="D4503" s="2">
        <f t="shared" si="241"/>
        <v>2020</v>
      </c>
      <c r="E4503" s="2">
        <f t="shared" si="242"/>
        <v>8</v>
      </c>
      <c r="G4503" s="4">
        <v>44054</v>
      </c>
      <c r="H4503" s="1">
        <v>6593536</v>
      </c>
      <c r="I4503" s="1">
        <v>664946</v>
      </c>
      <c r="J4503" s="1" t="s">
        <v>188</v>
      </c>
      <c r="K4503" s="1"/>
      <c r="L4503" s="1" t="str">
        <f t="shared" si="243"/>
        <v xml:space="preserve">Ravalen </v>
      </c>
      <c r="M4503" s="1" t="s">
        <v>211</v>
      </c>
      <c r="N4503" s="1">
        <v>1</v>
      </c>
      <c r="O4503" s="1">
        <v>1</v>
      </c>
      <c r="Q4503" s="1">
        <v>22.9</v>
      </c>
      <c r="R4503" s="1">
        <v>12</v>
      </c>
      <c r="S4503" s="1">
        <v>139</v>
      </c>
    </row>
    <row r="4504" spans="1:91" x14ac:dyDescent="0.3">
      <c r="A4504" s="1">
        <v>81802</v>
      </c>
      <c r="B4504" s="1" t="s">
        <v>284</v>
      </c>
      <c r="C4504" s="1" t="s">
        <v>231</v>
      </c>
      <c r="D4504" s="2">
        <f t="shared" si="241"/>
        <v>2020</v>
      </c>
      <c r="E4504" s="2">
        <f t="shared" si="242"/>
        <v>8</v>
      </c>
      <c r="G4504" s="4">
        <v>44054</v>
      </c>
      <c r="H4504" s="1">
        <v>6593536</v>
      </c>
      <c r="I4504" s="1">
        <v>664946</v>
      </c>
      <c r="J4504" s="1" t="s">
        <v>188</v>
      </c>
      <c r="K4504" s="1"/>
      <c r="L4504" s="1" t="str">
        <f t="shared" si="243"/>
        <v xml:space="preserve">Ravalen </v>
      </c>
      <c r="M4504" s="1" t="s">
        <v>286</v>
      </c>
      <c r="N4504" s="1">
        <v>2</v>
      </c>
      <c r="O4504" s="1">
        <v>2</v>
      </c>
      <c r="Q4504" s="1">
        <v>22.9</v>
      </c>
      <c r="R4504" s="1">
        <v>12</v>
      </c>
      <c r="S4504" s="1">
        <v>139</v>
      </c>
      <c r="V4504" s="1">
        <v>1.3470295081999999</v>
      </c>
      <c r="W4504" s="1">
        <v>5.7290999999999999</v>
      </c>
      <c r="X4504" s="1">
        <v>0.48452130059363113</v>
      </c>
      <c r="Y4504" s="1">
        <v>0.06</v>
      </c>
      <c r="Z4504" s="1">
        <v>0</v>
      </c>
      <c r="AA4504" s="1">
        <v>0.97</v>
      </c>
      <c r="AD4504" s="1">
        <v>0.87</v>
      </c>
      <c r="AE4504" s="1">
        <v>9.0500000000000007</v>
      </c>
      <c r="AK4504" s="1">
        <v>19.95</v>
      </c>
      <c r="AL4504" s="1">
        <v>909.73</v>
      </c>
    </row>
    <row r="4505" spans="1:91" x14ac:dyDescent="0.3">
      <c r="A4505" s="1">
        <v>81803</v>
      </c>
      <c r="B4505" s="1" t="s">
        <v>284</v>
      </c>
      <c r="C4505" s="1" t="s">
        <v>231</v>
      </c>
      <c r="D4505" s="2">
        <f t="shared" si="241"/>
        <v>2020</v>
      </c>
      <c r="E4505" s="2">
        <f t="shared" si="242"/>
        <v>8</v>
      </c>
      <c r="G4505" s="4">
        <v>44054</v>
      </c>
      <c r="H4505" s="1">
        <v>6594092</v>
      </c>
      <c r="I4505" s="1">
        <v>661375</v>
      </c>
      <c r="J4505" s="1" t="s">
        <v>193</v>
      </c>
      <c r="K4505" s="1"/>
      <c r="L4505" s="1" t="str">
        <f t="shared" si="243"/>
        <v xml:space="preserve">Översjön </v>
      </c>
      <c r="M4505" s="1" t="s">
        <v>285</v>
      </c>
      <c r="N4505" s="1">
        <v>0.5</v>
      </c>
      <c r="O4505" s="1">
        <v>0.5</v>
      </c>
      <c r="P4505" s="1">
        <v>1.4</v>
      </c>
      <c r="Q4505" s="1">
        <v>21.9</v>
      </c>
      <c r="R4505" s="1">
        <v>12.2</v>
      </c>
      <c r="S4505" s="1">
        <v>137</v>
      </c>
      <c r="V4505" s="1">
        <v>1.7692327869</v>
      </c>
      <c r="W4505" s="1">
        <v>4.7164999999999999</v>
      </c>
      <c r="X4505" s="1">
        <v>0.99556945735342839</v>
      </c>
      <c r="Y4505" s="1">
        <v>5.0999999999999997E-2</v>
      </c>
      <c r="Z4505" s="1">
        <v>0.99</v>
      </c>
      <c r="AA4505" s="1">
        <v>6.5</v>
      </c>
      <c r="AB4505" s="1">
        <v>26.36694</v>
      </c>
      <c r="AD4505" s="1">
        <v>0.85</v>
      </c>
      <c r="AE4505" s="1">
        <v>8.77</v>
      </c>
      <c r="AK4505" s="1">
        <v>47.11</v>
      </c>
      <c r="AL4505" s="1">
        <v>1301.81</v>
      </c>
    </row>
    <row r="4506" spans="1:91" x14ac:dyDescent="0.3">
      <c r="A4506" s="1">
        <v>81804</v>
      </c>
      <c r="B4506" s="1" t="s">
        <v>284</v>
      </c>
      <c r="C4506" s="1" t="s">
        <v>231</v>
      </c>
      <c r="D4506" s="2">
        <f t="shared" si="241"/>
        <v>2020</v>
      </c>
      <c r="E4506" s="2">
        <f t="shared" si="242"/>
        <v>8</v>
      </c>
      <c r="G4506" s="4">
        <v>44054</v>
      </c>
      <c r="H4506" s="1">
        <v>6594092</v>
      </c>
      <c r="I4506" s="1">
        <v>661375</v>
      </c>
      <c r="J4506" s="1" t="s">
        <v>193</v>
      </c>
      <c r="K4506" s="1"/>
      <c r="L4506" s="1" t="str">
        <f t="shared" si="243"/>
        <v xml:space="preserve">Översjön </v>
      </c>
      <c r="M4506" s="1" t="s">
        <v>211</v>
      </c>
      <c r="N4506" s="1">
        <v>1</v>
      </c>
      <c r="O4506" s="1">
        <v>1</v>
      </c>
      <c r="Q4506" s="1">
        <v>21.8</v>
      </c>
      <c r="R4506" s="1">
        <v>12.3</v>
      </c>
      <c r="S4506" s="1">
        <v>138</v>
      </c>
    </row>
    <row r="4507" spans="1:91" x14ac:dyDescent="0.3">
      <c r="A4507" s="1">
        <v>81805</v>
      </c>
      <c r="B4507" s="1" t="s">
        <v>284</v>
      </c>
      <c r="C4507" s="1" t="s">
        <v>231</v>
      </c>
      <c r="D4507" s="2">
        <f t="shared" si="241"/>
        <v>2020</v>
      </c>
      <c r="E4507" s="2">
        <f t="shared" si="242"/>
        <v>8</v>
      </c>
      <c r="G4507" s="4">
        <v>44054</v>
      </c>
      <c r="H4507" s="1">
        <v>6594092</v>
      </c>
      <c r="I4507" s="1">
        <v>661375</v>
      </c>
      <c r="J4507" s="1" t="s">
        <v>193</v>
      </c>
      <c r="K4507" s="1"/>
      <c r="L4507" s="1" t="str">
        <f t="shared" si="243"/>
        <v xml:space="preserve">Översjön </v>
      </c>
      <c r="M4507" s="1" t="s">
        <v>212</v>
      </c>
      <c r="N4507" s="1">
        <v>2</v>
      </c>
      <c r="O4507" s="1">
        <v>2</v>
      </c>
      <c r="Q4507" s="1">
        <v>21.6</v>
      </c>
      <c r="R4507" s="1">
        <v>12.1</v>
      </c>
      <c r="S4507" s="1">
        <v>136</v>
      </c>
    </row>
    <row r="4508" spans="1:91" x14ac:dyDescent="0.3">
      <c r="A4508" s="1">
        <v>81806</v>
      </c>
      <c r="B4508" s="1" t="s">
        <v>284</v>
      </c>
      <c r="C4508" s="1" t="s">
        <v>231</v>
      </c>
      <c r="D4508" s="2">
        <f t="shared" si="241"/>
        <v>2020</v>
      </c>
      <c r="E4508" s="2">
        <f t="shared" si="242"/>
        <v>8</v>
      </c>
      <c r="G4508" s="4">
        <v>44054</v>
      </c>
      <c r="H4508" s="1">
        <v>6594092</v>
      </c>
      <c r="I4508" s="1">
        <v>661375</v>
      </c>
      <c r="J4508" s="1" t="s">
        <v>193</v>
      </c>
      <c r="K4508" s="1"/>
      <c r="L4508" s="1" t="str">
        <f t="shared" si="243"/>
        <v xml:space="preserve">Översjön </v>
      </c>
      <c r="M4508" s="1" t="s">
        <v>213</v>
      </c>
      <c r="N4508" s="1">
        <v>3</v>
      </c>
      <c r="O4508" s="1">
        <v>3</v>
      </c>
      <c r="Q4508" s="1">
        <v>20.2</v>
      </c>
      <c r="R4508" s="1">
        <v>3.3</v>
      </c>
      <c r="S4508" s="1">
        <v>37</v>
      </c>
    </row>
    <row r="4509" spans="1:91" x14ac:dyDescent="0.3">
      <c r="A4509" s="1">
        <v>81807</v>
      </c>
      <c r="B4509" s="1" t="s">
        <v>284</v>
      </c>
      <c r="C4509" s="1" t="s">
        <v>231</v>
      </c>
      <c r="D4509" s="2">
        <f t="shared" si="241"/>
        <v>2020</v>
      </c>
      <c r="E4509" s="2">
        <f t="shared" si="242"/>
        <v>8</v>
      </c>
      <c r="G4509" s="4">
        <v>44054</v>
      </c>
      <c r="H4509" s="1">
        <v>6594092</v>
      </c>
      <c r="I4509" s="1">
        <v>661375</v>
      </c>
      <c r="J4509" s="1" t="s">
        <v>193</v>
      </c>
      <c r="K4509" s="1"/>
      <c r="L4509" s="1" t="str">
        <f t="shared" si="243"/>
        <v xml:space="preserve">Översjön </v>
      </c>
      <c r="M4509" s="1" t="s">
        <v>286</v>
      </c>
      <c r="N4509" s="1">
        <v>4</v>
      </c>
      <c r="O4509" s="1">
        <v>4</v>
      </c>
      <c r="Q4509" s="1">
        <v>20</v>
      </c>
      <c r="R4509" s="1">
        <v>1</v>
      </c>
      <c r="S4509" s="1">
        <v>11</v>
      </c>
      <c r="V4509" s="1">
        <v>1.809442623</v>
      </c>
      <c r="W4509" s="1">
        <v>95.497600000000006</v>
      </c>
      <c r="X4509" s="1">
        <v>2.602816456959725</v>
      </c>
      <c r="Y4509" s="1">
        <v>5.1999999999999998E-2</v>
      </c>
      <c r="Z4509" s="1">
        <v>0.19</v>
      </c>
      <c r="AA4509" s="1">
        <v>5.8</v>
      </c>
      <c r="AD4509" s="1">
        <v>3.79</v>
      </c>
      <c r="AE4509" s="1">
        <v>7.85</v>
      </c>
      <c r="AK4509" s="1">
        <v>55.45</v>
      </c>
      <c r="AL4509" s="1">
        <v>1247.8</v>
      </c>
    </row>
    <row r="4510" spans="1:91" x14ac:dyDescent="0.3">
      <c r="A4510" s="1">
        <v>81808</v>
      </c>
      <c r="B4510" s="1" t="s">
        <v>284</v>
      </c>
      <c r="C4510" s="1" t="s">
        <v>231</v>
      </c>
      <c r="D4510" s="2">
        <f t="shared" si="241"/>
        <v>2020</v>
      </c>
      <c r="E4510" s="2">
        <f t="shared" si="242"/>
        <v>8</v>
      </c>
      <c r="G4510" s="4">
        <v>44054</v>
      </c>
      <c r="H4510" s="1">
        <v>6593594</v>
      </c>
      <c r="I4510" s="1">
        <v>669799</v>
      </c>
      <c r="J4510" s="1" t="s">
        <v>189</v>
      </c>
      <c r="K4510" s="1"/>
      <c r="L4510" s="1" t="str">
        <f t="shared" si="243"/>
        <v xml:space="preserve">Rösjön </v>
      </c>
      <c r="M4510" s="1" t="s">
        <v>285</v>
      </c>
      <c r="N4510" s="1">
        <v>0.5</v>
      </c>
      <c r="O4510" s="1">
        <v>0.5</v>
      </c>
      <c r="P4510" s="1">
        <v>5.4</v>
      </c>
      <c r="Q4510" s="1">
        <v>21.4</v>
      </c>
      <c r="R4510" s="1">
        <v>8.6999999999999993</v>
      </c>
      <c r="S4510" s="1">
        <v>97</v>
      </c>
      <c r="V4510" s="1">
        <v>1.7230413223000001</v>
      </c>
      <c r="W4510" s="1">
        <v>18.328800000000001</v>
      </c>
      <c r="X4510" s="1">
        <v>0.80419656154046082</v>
      </c>
      <c r="Y4510" s="1">
        <v>3.4000000000000002E-2</v>
      </c>
      <c r="Z4510" s="1">
        <v>0.98</v>
      </c>
      <c r="AA4510" s="1">
        <v>1.1200000000000001</v>
      </c>
      <c r="AB4510" s="1">
        <v>4.2012900000000002</v>
      </c>
      <c r="AD4510" s="1">
        <v>0.32</v>
      </c>
      <c r="AE4510" s="1">
        <v>8.02</v>
      </c>
      <c r="AI4510" s="1">
        <v>13.88</v>
      </c>
      <c r="AJ4510" s="1">
        <v>13.63</v>
      </c>
      <c r="AK4510" s="1">
        <v>21.02</v>
      </c>
      <c r="AL4510" s="1">
        <v>629.5</v>
      </c>
      <c r="AR4510" s="1">
        <v>32</v>
      </c>
      <c r="AS4510" s="1">
        <v>3.8399999999999899E-2</v>
      </c>
      <c r="AT4510" s="1">
        <v>2.5499999999999901</v>
      </c>
      <c r="AU4510" s="1">
        <v>4.66</v>
      </c>
      <c r="AW4510" s="1">
        <v>17.5</v>
      </c>
      <c r="AY4510" s="1">
        <v>0.622</v>
      </c>
      <c r="AZ4510" s="1">
        <v>20.100000000000001</v>
      </c>
      <c r="BA4510" s="1">
        <v>1.04</v>
      </c>
      <c r="BB4510" s="1">
        <v>18.600000000000001</v>
      </c>
      <c r="BC4510" s="1">
        <v>6.9899999999999901E-3</v>
      </c>
      <c r="BD4510" s="1">
        <v>3.6600000000000001E-2</v>
      </c>
      <c r="BE4510" s="1">
        <v>6.9900000000000004E-2</v>
      </c>
      <c r="BF4510" s="1">
        <v>1.27</v>
      </c>
      <c r="BG4510" s="1" t="s">
        <v>287</v>
      </c>
      <c r="BH4510" s="1">
        <v>14</v>
      </c>
      <c r="BI4510" s="1">
        <v>0.73</v>
      </c>
      <c r="BJ4510" s="1">
        <v>2.36</v>
      </c>
      <c r="BK4510" s="1">
        <v>12.9</v>
      </c>
      <c r="BL4510" s="1">
        <v>9.5699999999999896E-2</v>
      </c>
      <c r="BM4510" s="1">
        <v>82.9</v>
      </c>
      <c r="BN4510" s="1">
        <v>0.373</v>
      </c>
      <c r="BO4510" s="1">
        <v>7.71</v>
      </c>
      <c r="BQ4510" s="1">
        <v>6.24</v>
      </c>
      <c r="BR4510" s="1" t="s">
        <v>287</v>
      </c>
      <c r="BS4510" s="1">
        <v>2.4400000000000002E-2</v>
      </c>
      <c r="BT4510" s="1">
        <v>4.4499999999999901E-2</v>
      </c>
      <c r="BU4510" s="1">
        <v>1.1200000000000001</v>
      </c>
      <c r="BV4510" s="1">
        <v>1.02</v>
      </c>
      <c r="BW4510" s="1">
        <v>0.60499999999999898</v>
      </c>
      <c r="BX4510" s="1">
        <v>3.1300000000000001E-2</v>
      </c>
      <c r="BY4510" s="1">
        <v>7.49</v>
      </c>
      <c r="BZ4510" s="1">
        <v>32</v>
      </c>
      <c r="CA4510" s="1">
        <v>4.62</v>
      </c>
      <c r="CC4510" s="1">
        <v>1.17E-2</v>
      </c>
      <c r="CD4510" s="1">
        <v>2.54</v>
      </c>
      <c r="CE4510" s="1">
        <v>17.5</v>
      </c>
      <c r="CF4510" s="1">
        <v>0.58299999999999896</v>
      </c>
      <c r="CG4510" s="1">
        <v>1.1000000000000001</v>
      </c>
      <c r="CH4510" s="1">
        <v>18.399999999999899</v>
      </c>
      <c r="CI4510" s="1">
        <v>5.47E-3</v>
      </c>
      <c r="CJ4510" s="1">
        <v>0.78200000000000003</v>
      </c>
      <c r="CK4510" s="1">
        <v>8.58</v>
      </c>
      <c r="CL4510" s="1">
        <v>0.36299999999999899</v>
      </c>
      <c r="CM4510" s="1">
        <v>82.5</v>
      </c>
    </row>
    <row r="4511" spans="1:91" x14ac:dyDescent="0.3">
      <c r="A4511" s="1">
        <v>81809</v>
      </c>
      <c r="B4511" s="1" t="s">
        <v>284</v>
      </c>
      <c r="C4511" s="1" t="s">
        <v>231</v>
      </c>
      <c r="D4511" s="2">
        <f t="shared" si="241"/>
        <v>2020</v>
      </c>
      <c r="E4511" s="2">
        <f t="shared" si="242"/>
        <v>8</v>
      </c>
      <c r="G4511" s="4">
        <v>44054</v>
      </c>
      <c r="H4511" s="1">
        <v>6593594</v>
      </c>
      <c r="I4511" s="1">
        <v>669799</v>
      </c>
      <c r="J4511" s="1" t="s">
        <v>189</v>
      </c>
      <c r="K4511" s="1"/>
      <c r="L4511" s="1" t="str">
        <f t="shared" si="243"/>
        <v xml:space="preserve">Rösjön </v>
      </c>
      <c r="M4511" s="1" t="s">
        <v>211</v>
      </c>
      <c r="N4511" s="1">
        <v>1</v>
      </c>
      <c r="O4511" s="1">
        <v>1</v>
      </c>
      <c r="Q4511" s="1">
        <v>21.4</v>
      </c>
      <c r="R4511" s="1">
        <v>8.6999999999999993</v>
      </c>
      <c r="S4511" s="1">
        <v>97</v>
      </c>
    </row>
    <row r="4512" spans="1:91" x14ac:dyDescent="0.3">
      <c r="A4512" s="1">
        <v>81810</v>
      </c>
      <c r="B4512" s="1" t="s">
        <v>284</v>
      </c>
      <c r="C4512" s="1" t="s">
        <v>231</v>
      </c>
      <c r="D4512" s="2">
        <f t="shared" si="241"/>
        <v>2020</v>
      </c>
      <c r="E4512" s="2">
        <f t="shared" si="242"/>
        <v>8</v>
      </c>
      <c r="G4512" s="4">
        <v>44054</v>
      </c>
      <c r="H4512" s="1">
        <v>6593594</v>
      </c>
      <c r="I4512" s="1">
        <v>669799</v>
      </c>
      <c r="J4512" s="1" t="s">
        <v>189</v>
      </c>
      <c r="K4512" s="1"/>
      <c r="L4512" s="1" t="str">
        <f t="shared" si="243"/>
        <v xml:space="preserve">Rösjön </v>
      </c>
      <c r="M4512" s="1" t="s">
        <v>212</v>
      </c>
      <c r="N4512" s="1">
        <v>2</v>
      </c>
      <c r="O4512" s="1">
        <v>2</v>
      </c>
      <c r="Q4512" s="1">
        <v>21.4</v>
      </c>
      <c r="R4512" s="1">
        <v>8.6999999999999993</v>
      </c>
      <c r="S4512" s="1">
        <v>97</v>
      </c>
    </row>
    <row r="4513" spans="1:91" x14ac:dyDescent="0.3">
      <c r="A4513" s="1">
        <v>81811</v>
      </c>
      <c r="B4513" s="1" t="s">
        <v>284</v>
      </c>
      <c r="C4513" s="1" t="s">
        <v>231</v>
      </c>
      <c r="D4513" s="2">
        <f t="shared" si="241"/>
        <v>2020</v>
      </c>
      <c r="E4513" s="2">
        <f t="shared" si="242"/>
        <v>8</v>
      </c>
      <c r="G4513" s="4">
        <v>44054</v>
      </c>
      <c r="H4513" s="1">
        <v>6593594</v>
      </c>
      <c r="I4513" s="1">
        <v>669799</v>
      </c>
      <c r="J4513" s="1" t="s">
        <v>189</v>
      </c>
      <c r="K4513" s="1"/>
      <c r="L4513" s="1" t="str">
        <f t="shared" si="243"/>
        <v xml:space="preserve">Rösjön </v>
      </c>
      <c r="M4513" s="1" t="s">
        <v>213</v>
      </c>
      <c r="N4513" s="1">
        <v>3</v>
      </c>
      <c r="O4513" s="1">
        <v>3</v>
      </c>
      <c r="Q4513" s="1">
        <v>21.4</v>
      </c>
      <c r="R4513" s="1">
        <v>8.6999999999999993</v>
      </c>
      <c r="S4513" s="1">
        <v>97</v>
      </c>
    </row>
    <row r="4514" spans="1:91" x14ac:dyDescent="0.3">
      <c r="A4514" s="1">
        <v>81812</v>
      </c>
      <c r="B4514" s="1" t="s">
        <v>284</v>
      </c>
      <c r="C4514" s="1" t="s">
        <v>231</v>
      </c>
      <c r="D4514" s="2">
        <f t="shared" si="241"/>
        <v>2020</v>
      </c>
      <c r="E4514" s="2">
        <f t="shared" si="242"/>
        <v>8</v>
      </c>
      <c r="G4514" s="4">
        <v>44054</v>
      </c>
      <c r="H4514" s="1">
        <v>6593594</v>
      </c>
      <c r="I4514" s="1">
        <v>669799</v>
      </c>
      <c r="J4514" s="1" t="s">
        <v>189</v>
      </c>
      <c r="K4514" s="1"/>
      <c r="L4514" s="1" t="str">
        <f t="shared" si="243"/>
        <v xml:space="preserve">Rösjön </v>
      </c>
      <c r="M4514" s="1" t="s">
        <v>214</v>
      </c>
      <c r="N4514" s="1">
        <v>4</v>
      </c>
      <c r="O4514" s="1">
        <v>4</v>
      </c>
      <c r="Q4514" s="1">
        <v>21.4</v>
      </c>
      <c r="R4514" s="1">
        <v>8.6999999999999993</v>
      </c>
      <c r="S4514" s="1">
        <v>97</v>
      </c>
    </row>
    <row r="4515" spans="1:91" x14ac:dyDescent="0.3">
      <c r="A4515" s="1">
        <v>81813</v>
      </c>
      <c r="B4515" s="1" t="s">
        <v>284</v>
      </c>
      <c r="C4515" s="1" t="s">
        <v>231</v>
      </c>
      <c r="D4515" s="2">
        <f t="shared" si="241"/>
        <v>2020</v>
      </c>
      <c r="E4515" s="2">
        <f t="shared" si="242"/>
        <v>8</v>
      </c>
      <c r="G4515" s="4">
        <v>44054</v>
      </c>
      <c r="H4515" s="1">
        <v>6593594</v>
      </c>
      <c r="I4515" s="1">
        <v>669799</v>
      </c>
      <c r="J4515" s="1" t="s">
        <v>189</v>
      </c>
      <c r="K4515" s="1"/>
      <c r="L4515" s="1" t="str">
        <f t="shared" si="243"/>
        <v xml:space="preserve">Rösjön </v>
      </c>
      <c r="M4515" s="1" t="s">
        <v>217</v>
      </c>
      <c r="N4515" s="1">
        <v>5</v>
      </c>
      <c r="O4515" s="1">
        <v>5</v>
      </c>
      <c r="Q4515" s="1">
        <v>20.8</v>
      </c>
      <c r="R4515" s="1">
        <v>4</v>
      </c>
      <c r="S4515" s="1">
        <v>43</v>
      </c>
    </row>
    <row r="4516" spans="1:91" x14ac:dyDescent="0.3">
      <c r="A4516" s="1">
        <v>81814</v>
      </c>
      <c r="B4516" s="1" t="s">
        <v>284</v>
      </c>
      <c r="C4516" s="1" t="s">
        <v>231</v>
      </c>
      <c r="D4516" s="2">
        <f t="shared" si="241"/>
        <v>2020</v>
      </c>
      <c r="E4516" s="2">
        <f t="shared" si="242"/>
        <v>8</v>
      </c>
      <c r="G4516" s="4">
        <v>44054</v>
      </c>
      <c r="H4516" s="1">
        <v>6593594</v>
      </c>
      <c r="I4516" s="1">
        <v>669799</v>
      </c>
      <c r="J4516" s="1" t="s">
        <v>189</v>
      </c>
      <c r="K4516" s="1"/>
      <c r="L4516" s="1" t="str">
        <f t="shared" si="243"/>
        <v xml:space="preserve">Rösjön </v>
      </c>
      <c r="M4516" s="1" t="s">
        <v>218</v>
      </c>
      <c r="N4516" s="1">
        <v>6</v>
      </c>
      <c r="O4516" s="1">
        <v>6</v>
      </c>
      <c r="Q4516" s="1">
        <v>20.100000000000001</v>
      </c>
      <c r="R4516" s="1">
        <v>0.5</v>
      </c>
      <c r="S4516" s="1">
        <v>6</v>
      </c>
    </row>
    <row r="4517" spans="1:91" x14ac:dyDescent="0.3">
      <c r="A4517" s="1">
        <v>81815</v>
      </c>
      <c r="B4517" s="1" t="s">
        <v>284</v>
      </c>
      <c r="C4517" s="1" t="s">
        <v>231</v>
      </c>
      <c r="D4517" s="2">
        <f t="shared" si="241"/>
        <v>2020</v>
      </c>
      <c r="E4517" s="2">
        <f t="shared" si="242"/>
        <v>8</v>
      </c>
      <c r="G4517" s="4">
        <v>44054</v>
      </c>
      <c r="H4517" s="1">
        <v>6593594</v>
      </c>
      <c r="I4517" s="1">
        <v>669799</v>
      </c>
      <c r="J4517" s="1" t="s">
        <v>189</v>
      </c>
      <c r="K4517" s="1"/>
      <c r="L4517" s="1" t="str">
        <f t="shared" si="243"/>
        <v xml:space="preserve">Rösjön </v>
      </c>
      <c r="M4517" s="1" t="s">
        <v>286</v>
      </c>
      <c r="N4517" s="1">
        <v>7</v>
      </c>
      <c r="O4517" s="1">
        <v>7</v>
      </c>
      <c r="Q4517" s="1">
        <v>19.5</v>
      </c>
      <c r="R4517" s="1">
        <v>0.1</v>
      </c>
      <c r="S4517" s="1">
        <v>1</v>
      </c>
      <c r="V4517" s="1">
        <v>1.7230413223000001</v>
      </c>
      <c r="W4517" s="1">
        <v>60.633000000000003</v>
      </c>
      <c r="X4517" s="1">
        <v>0.75648155348606094</v>
      </c>
      <c r="Y4517" s="1">
        <v>3.6999999999999998E-2</v>
      </c>
      <c r="Z4517" s="1">
        <v>39.869999999999997</v>
      </c>
      <c r="AA4517" s="1">
        <v>3.8</v>
      </c>
      <c r="AD4517" s="1">
        <v>0.55000000000000004</v>
      </c>
      <c r="AE4517" s="1">
        <v>7.52</v>
      </c>
      <c r="AK4517" s="1">
        <v>114.72</v>
      </c>
      <c r="AL4517" s="1">
        <v>767.94</v>
      </c>
    </row>
    <row r="4518" spans="1:91" x14ac:dyDescent="0.3">
      <c r="A4518" s="1">
        <v>81816</v>
      </c>
      <c r="B4518" s="1" t="s">
        <v>284</v>
      </c>
      <c r="C4518" s="1" t="s">
        <v>231</v>
      </c>
      <c r="D4518" s="2">
        <f t="shared" si="241"/>
        <v>2020</v>
      </c>
      <c r="E4518" s="2">
        <f t="shared" si="242"/>
        <v>8</v>
      </c>
      <c r="G4518" s="4">
        <v>44054</v>
      </c>
      <c r="H4518" s="1">
        <v>6594739</v>
      </c>
      <c r="I4518" s="1">
        <v>668531</v>
      </c>
      <c r="J4518" s="1" t="s">
        <v>192</v>
      </c>
      <c r="K4518" s="1"/>
      <c r="L4518" s="1" t="str">
        <f t="shared" si="243"/>
        <v xml:space="preserve">Väsjön </v>
      </c>
      <c r="M4518" s="1" t="s">
        <v>285</v>
      </c>
      <c r="N4518" s="1">
        <v>0.5</v>
      </c>
      <c r="O4518" s="1">
        <v>0.5</v>
      </c>
      <c r="P4518" s="1">
        <v>2.9</v>
      </c>
      <c r="Q4518" s="1">
        <v>22.3</v>
      </c>
      <c r="R4518" s="1">
        <v>9.3000000000000007</v>
      </c>
      <c r="S4518" s="1">
        <v>106</v>
      </c>
      <c r="V4518" s="1">
        <v>2.9152131147999998</v>
      </c>
      <c r="W4518" s="1">
        <v>2.6598999999999999</v>
      </c>
      <c r="X4518" s="1">
        <v>0.19992930269009529</v>
      </c>
      <c r="Y4518" s="1">
        <v>5.5E-2</v>
      </c>
      <c r="Z4518" s="1">
        <v>0</v>
      </c>
      <c r="AA4518" s="1">
        <v>1.26</v>
      </c>
      <c r="AB4518" s="1">
        <v>3.7088999999999999</v>
      </c>
      <c r="AD4518" s="1">
        <v>0.31</v>
      </c>
      <c r="AE4518" s="1">
        <v>8.24</v>
      </c>
      <c r="AI4518" s="1">
        <v>10.6</v>
      </c>
      <c r="AJ4518" s="1">
        <v>10.34</v>
      </c>
      <c r="AK4518" s="1">
        <v>14.74</v>
      </c>
      <c r="AL4518" s="1">
        <v>673.56</v>
      </c>
      <c r="AR4518" s="1">
        <v>61.7</v>
      </c>
      <c r="AS4518" s="1">
        <v>1.09E-2</v>
      </c>
      <c r="AT4518" s="1">
        <v>5.96</v>
      </c>
      <c r="AU4518" s="1">
        <v>9.23</v>
      </c>
      <c r="AW4518" s="1">
        <v>48.3</v>
      </c>
      <c r="AY4518" s="1">
        <v>0.22500000000000001</v>
      </c>
      <c r="AZ4518" s="1">
        <v>10</v>
      </c>
      <c r="BA4518" s="1">
        <v>1.03</v>
      </c>
      <c r="BB4518" s="1">
        <v>36.200000000000003</v>
      </c>
      <c r="BC4518" s="1">
        <v>1.0200000000000001E-2</v>
      </c>
      <c r="BD4518" s="1">
        <v>4.2599999999999902E-2</v>
      </c>
      <c r="BE4518" s="1">
        <v>5.28E-2</v>
      </c>
      <c r="BF4518" s="1">
        <v>0.52300000000000002</v>
      </c>
      <c r="BG4518" s="1" t="s">
        <v>287</v>
      </c>
      <c r="BH4518" s="1">
        <v>14.2</v>
      </c>
      <c r="BI4518" s="1">
        <v>3.49</v>
      </c>
      <c r="BJ4518" s="1">
        <v>2.34</v>
      </c>
      <c r="BK4518" s="1">
        <v>13.9</v>
      </c>
      <c r="BL4518" s="1">
        <v>3.56E-2</v>
      </c>
      <c r="BM4518" s="1">
        <v>188</v>
      </c>
      <c r="BN4518" s="1">
        <v>0.59899999999999898</v>
      </c>
      <c r="BO4518" s="1">
        <v>0.56899999999999895</v>
      </c>
      <c r="BQ4518" s="1">
        <v>2.98</v>
      </c>
      <c r="BR4518" s="1">
        <v>5.1799999999999902E-3</v>
      </c>
      <c r="BS4518" s="1">
        <v>4.1200000000000001E-2</v>
      </c>
      <c r="BT4518" s="1">
        <v>2.0199999999999899E-2</v>
      </c>
      <c r="BU4518" s="1">
        <v>0.54800000000000004</v>
      </c>
      <c r="BV4518" s="1">
        <v>0.40899999999999898</v>
      </c>
      <c r="BW4518" s="1">
        <v>0.58899999999999897</v>
      </c>
      <c r="BX4518" s="1">
        <v>5.0000000000000001E-3</v>
      </c>
      <c r="BY4518" s="1">
        <v>1.63</v>
      </c>
      <c r="BZ4518" s="1">
        <v>62.4</v>
      </c>
      <c r="CA4518" s="1">
        <v>9.34</v>
      </c>
      <c r="CC4518" s="1">
        <v>1.98E-3</v>
      </c>
      <c r="CD4518" s="1">
        <v>6</v>
      </c>
      <c r="CE4518" s="1">
        <v>48.5</v>
      </c>
      <c r="CF4518" s="1">
        <v>0.20799999999999899</v>
      </c>
      <c r="CG4518" s="1">
        <v>1.04</v>
      </c>
      <c r="CH4518" s="1">
        <v>36.200000000000003</v>
      </c>
      <c r="CI4518" s="1">
        <v>1E-3</v>
      </c>
      <c r="CJ4518" s="1">
        <v>3.6</v>
      </c>
      <c r="CK4518" s="1">
        <v>7.22</v>
      </c>
      <c r="CL4518" s="1">
        <v>0.58499999999999897</v>
      </c>
      <c r="CM4518" s="1">
        <v>190</v>
      </c>
    </row>
    <row r="4519" spans="1:91" x14ac:dyDescent="0.3">
      <c r="A4519" s="1">
        <v>81817</v>
      </c>
      <c r="B4519" s="1" t="s">
        <v>284</v>
      </c>
      <c r="C4519" s="1" t="s">
        <v>231</v>
      </c>
      <c r="D4519" s="2">
        <f t="shared" si="241"/>
        <v>2020</v>
      </c>
      <c r="E4519" s="2">
        <f t="shared" si="242"/>
        <v>8</v>
      </c>
      <c r="G4519" s="4">
        <v>44054</v>
      </c>
      <c r="H4519" s="1">
        <v>6594739</v>
      </c>
      <c r="I4519" s="1">
        <v>668531</v>
      </c>
      <c r="J4519" s="1" t="s">
        <v>192</v>
      </c>
      <c r="K4519" s="1"/>
      <c r="L4519" s="1" t="str">
        <f t="shared" si="243"/>
        <v xml:space="preserve">Väsjön </v>
      </c>
      <c r="M4519" s="1" t="s">
        <v>211</v>
      </c>
      <c r="N4519" s="1">
        <v>1</v>
      </c>
      <c r="O4519" s="1">
        <v>1</v>
      </c>
      <c r="Q4519" s="1">
        <v>21.7</v>
      </c>
      <c r="R4519" s="1">
        <v>9.3000000000000007</v>
      </c>
      <c r="S4519" s="1">
        <v>104</v>
      </c>
    </row>
    <row r="4520" spans="1:91" x14ac:dyDescent="0.3">
      <c r="A4520" s="1">
        <v>81818</v>
      </c>
      <c r="B4520" s="1" t="s">
        <v>284</v>
      </c>
      <c r="C4520" s="1" t="s">
        <v>231</v>
      </c>
      <c r="D4520" s="2">
        <f t="shared" si="241"/>
        <v>2020</v>
      </c>
      <c r="E4520" s="2">
        <f t="shared" si="242"/>
        <v>8</v>
      </c>
      <c r="G4520" s="4">
        <v>44054</v>
      </c>
      <c r="H4520" s="1">
        <v>6594739</v>
      </c>
      <c r="I4520" s="1">
        <v>668531</v>
      </c>
      <c r="J4520" s="1" t="s">
        <v>192</v>
      </c>
      <c r="K4520" s="1"/>
      <c r="L4520" s="1" t="str">
        <f t="shared" si="243"/>
        <v xml:space="preserve">Väsjön </v>
      </c>
      <c r="M4520" s="1" t="s">
        <v>212</v>
      </c>
      <c r="N4520" s="1">
        <v>2</v>
      </c>
      <c r="O4520" s="1">
        <v>2</v>
      </c>
      <c r="Q4520" s="1">
        <v>21.2</v>
      </c>
      <c r="R4520" s="1">
        <v>8.8000000000000007</v>
      </c>
      <c r="S4520" s="1">
        <v>98</v>
      </c>
    </row>
    <row r="4521" spans="1:91" x14ac:dyDescent="0.3">
      <c r="A4521" s="1">
        <v>81819</v>
      </c>
      <c r="B4521" s="1" t="s">
        <v>284</v>
      </c>
      <c r="C4521" s="1" t="s">
        <v>231</v>
      </c>
      <c r="D4521" s="2">
        <f t="shared" si="241"/>
        <v>2020</v>
      </c>
      <c r="E4521" s="2">
        <f t="shared" si="242"/>
        <v>8</v>
      </c>
      <c r="G4521" s="4">
        <v>44054</v>
      </c>
      <c r="H4521" s="1">
        <v>6594739</v>
      </c>
      <c r="I4521" s="1">
        <v>668531</v>
      </c>
      <c r="J4521" s="1" t="s">
        <v>192</v>
      </c>
      <c r="K4521" s="1"/>
      <c r="L4521" s="1" t="str">
        <f t="shared" si="243"/>
        <v xml:space="preserve">Väsjön </v>
      </c>
      <c r="M4521" s="1" t="s">
        <v>286</v>
      </c>
      <c r="N4521" s="1">
        <v>2.5</v>
      </c>
      <c r="O4521" s="1">
        <v>2.5</v>
      </c>
      <c r="Q4521" s="1">
        <v>20.7</v>
      </c>
      <c r="R4521" s="1">
        <v>5.4</v>
      </c>
      <c r="S4521" s="1">
        <v>60</v>
      </c>
      <c r="V4521" s="1">
        <v>3.0157377049999998</v>
      </c>
      <c r="W4521" s="1">
        <v>4.6207000000000003</v>
      </c>
      <c r="X4521" s="1">
        <v>0.1888933376131729</v>
      </c>
      <c r="Y4521" s="1">
        <v>5.3999999999999999E-2</v>
      </c>
      <c r="Z4521" s="1">
        <v>0</v>
      </c>
      <c r="AA4521" s="1">
        <v>1.59</v>
      </c>
      <c r="AD4521" s="1">
        <v>0.47</v>
      </c>
      <c r="AE4521" s="1">
        <v>8.01</v>
      </c>
      <c r="AK4521" s="1">
        <v>19.87</v>
      </c>
      <c r="AL4521" s="1">
        <v>672.4</v>
      </c>
    </row>
    <row r="4522" spans="1:91" x14ac:dyDescent="0.3">
      <c r="A4522" s="1">
        <v>81820</v>
      </c>
      <c r="B4522" s="1" t="s">
        <v>284</v>
      </c>
      <c r="C4522" s="1" t="s">
        <v>231</v>
      </c>
      <c r="D4522" s="2">
        <f t="shared" si="241"/>
        <v>2020</v>
      </c>
      <c r="E4522" s="2">
        <f t="shared" si="242"/>
        <v>8</v>
      </c>
      <c r="G4522" s="4">
        <v>44054</v>
      </c>
      <c r="H4522" s="1">
        <v>6595222</v>
      </c>
      <c r="I4522" s="1">
        <v>667935</v>
      </c>
      <c r="J4522" s="1" t="s">
        <v>190</v>
      </c>
      <c r="K4522" s="1"/>
      <c r="L4522" s="1" t="str">
        <f t="shared" si="243"/>
        <v xml:space="preserve">Snuggan </v>
      </c>
      <c r="M4522" s="1" t="s">
        <v>285</v>
      </c>
      <c r="N4522" s="1">
        <v>0.5</v>
      </c>
      <c r="O4522" s="1">
        <v>0.5</v>
      </c>
      <c r="P4522" s="1">
        <v>0.7</v>
      </c>
      <c r="Q4522" s="1">
        <v>21.3</v>
      </c>
      <c r="R4522" s="1">
        <v>7.6</v>
      </c>
      <c r="S4522" s="1">
        <v>85</v>
      </c>
      <c r="V4522" s="1">
        <v>3.6487933883999998E-2</v>
      </c>
      <c r="W4522" s="1">
        <v>3.5893999999999999</v>
      </c>
      <c r="X4522" s="1">
        <v>1.3287016627189464E-3</v>
      </c>
      <c r="Y4522" s="1">
        <v>0.54400000000000004</v>
      </c>
      <c r="Z4522" s="1">
        <v>0.52</v>
      </c>
      <c r="AA4522" s="1">
        <v>2.2000000000000002</v>
      </c>
      <c r="AB4522" s="1">
        <v>13.523142857</v>
      </c>
      <c r="AD4522" s="1">
        <v>0</v>
      </c>
      <c r="AE4522" s="1">
        <v>5.93</v>
      </c>
      <c r="AI4522" s="1">
        <v>30.52</v>
      </c>
      <c r="AK4522" s="1">
        <v>24.24</v>
      </c>
      <c r="AL4522" s="1">
        <v>1104.03</v>
      </c>
      <c r="BZ4522" s="1">
        <v>4.24</v>
      </c>
      <c r="CA4522" s="1">
        <v>1.02</v>
      </c>
      <c r="CB4522" s="1">
        <v>8.41</v>
      </c>
      <c r="CD4522" s="1">
        <v>0.68899999999999895</v>
      </c>
      <c r="CE4522" s="1">
        <v>7.1</v>
      </c>
    </row>
    <row r="4523" spans="1:91" x14ac:dyDescent="0.3">
      <c r="A4523" s="1">
        <v>81821</v>
      </c>
      <c r="B4523" s="1" t="s">
        <v>284</v>
      </c>
      <c r="C4523" s="1" t="s">
        <v>231</v>
      </c>
      <c r="D4523" s="2">
        <f t="shared" si="241"/>
        <v>2020</v>
      </c>
      <c r="E4523" s="2">
        <f t="shared" si="242"/>
        <v>8</v>
      </c>
      <c r="G4523" s="4">
        <v>44054</v>
      </c>
      <c r="H4523" s="1">
        <v>6595222</v>
      </c>
      <c r="I4523" s="1">
        <v>667935</v>
      </c>
      <c r="J4523" s="1" t="s">
        <v>190</v>
      </c>
      <c r="K4523" s="1"/>
      <c r="L4523" s="1" t="str">
        <f t="shared" si="243"/>
        <v xml:space="preserve">Snuggan </v>
      </c>
      <c r="M4523" s="1" t="s">
        <v>211</v>
      </c>
      <c r="N4523" s="1">
        <v>1</v>
      </c>
      <c r="O4523" s="1">
        <v>1</v>
      </c>
      <c r="Q4523" s="1">
        <v>20.399999999999999</v>
      </c>
      <c r="R4523" s="1">
        <v>3.6</v>
      </c>
      <c r="S4523" s="1">
        <v>40</v>
      </c>
    </row>
    <row r="4524" spans="1:91" x14ac:dyDescent="0.3">
      <c r="A4524" s="1">
        <v>81822</v>
      </c>
      <c r="B4524" s="1" t="s">
        <v>284</v>
      </c>
      <c r="C4524" s="1" t="s">
        <v>231</v>
      </c>
      <c r="D4524" s="2">
        <f t="shared" si="241"/>
        <v>2020</v>
      </c>
      <c r="E4524" s="2">
        <f t="shared" si="242"/>
        <v>8</v>
      </c>
      <c r="G4524" s="4">
        <v>44054</v>
      </c>
      <c r="H4524" s="1">
        <v>6595222</v>
      </c>
      <c r="I4524" s="1">
        <v>667935</v>
      </c>
      <c r="J4524" s="1" t="s">
        <v>190</v>
      </c>
      <c r="K4524" s="1"/>
      <c r="L4524" s="1" t="str">
        <f t="shared" si="243"/>
        <v xml:space="preserve">Snuggan </v>
      </c>
      <c r="M4524" s="1" t="s">
        <v>212</v>
      </c>
      <c r="N4524" s="1">
        <v>2</v>
      </c>
      <c r="O4524" s="1">
        <v>2</v>
      </c>
      <c r="Q4524" s="1">
        <v>14.6</v>
      </c>
      <c r="R4524" s="1">
        <v>0.1</v>
      </c>
      <c r="S4524" s="1">
        <v>1</v>
      </c>
    </row>
    <row r="4525" spans="1:91" x14ac:dyDescent="0.3">
      <c r="A4525" s="1">
        <v>81823</v>
      </c>
      <c r="B4525" s="1" t="s">
        <v>284</v>
      </c>
      <c r="C4525" s="1" t="s">
        <v>231</v>
      </c>
      <c r="D4525" s="2">
        <f t="shared" si="241"/>
        <v>2020</v>
      </c>
      <c r="E4525" s="2">
        <f t="shared" si="242"/>
        <v>8</v>
      </c>
      <c r="G4525" s="4">
        <v>44054</v>
      </c>
      <c r="H4525" s="1">
        <v>6595222</v>
      </c>
      <c r="I4525" s="1">
        <v>667935</v>
      </c>
      <c r="J4525" s="1" t="s">
        <v>190</v>
      </c>
      <c r="K4525" s="1"/>
      <c r="L4525" s="1" t="str">
        <f t="shared" si="243"/>
        <v xml:space="preserve">Snuggan </v>
      </c>
      <c r="M4525" s="1" t="s">
        <v>286</v>
      </c>
      <c r="N4525" s="1">
        <v>3</v>
      </c>
      <c r="O4525" s="1">
        <v>3</v>
      </c>
      <c r="Q4525" s="1">
        <v>12</v>
      </c>
      <c r="R4525" s="1">
        <v>0.1</v>
      </c>
      <c r="S4525" s="1">
        <v>1</v>
      </c>
      <c r="V4525" s="1">
        <v>0.15811438016000001</v>
      </c>
      <c r="W4525" s="1">
        <v>223.5787</v>
      </c>
      <c r="X4525" s="1">
        <v>5.5656038138162604E-2</v>
      </c>
      <c r="Y4525" s="1">
        <v>0.72199999999999998</v>
      </c>
      <c r="Z4525" s="1">
        <v>1.99</v>
      </c>
      <c r="AA4525" s="1">
        <v>6.7</v>
      </c>
      <c r="AD4525" s="1">
        <v>0</v>
      </c>
      <c r="AE4525" s="1">
        <v>6.06</v>
      </c>
      <c r="AI4525" s="1">
        <v>32.549999999999997</v>
      </c>
      <c r="AK4525" s="1">
        <v>35.03</v>
      </c>
      <c r="AL4525" s="1">
        <v>1479.71</v>
      </c>
    </row>
    <row r="4526" spans="1:91" x14ac:dyDescent="0.3">
      <c r="A4526" s="1">
        <v>81824</v>
      </c>
      <c r="B4526" s="1" t="s">
        <v>284</v>
      </c>
      <c r="C4526" s="1" t="s">
        <v>231</v>
      </c>
      <c r="D4526" s="2">
        <f t="shared" si="241"/>
        <v>2020</v>
      </c>
      <c r="E4526" s="2">
        <f t="shared" si="242"/>
        <v>8</v>
      </c>
      <c r="G4526" s="4">
        <v>44054</v>
      </c>
      <c r="H4526" s="1">
        <v>6597388</v>
      </c>
      <c r="I4526" s="1">
        <v>674663</v>
      </c>
      <c r="J4526" s="1" t="s">
        <v>185</v>
      </c>
      <c r="K4526" s="1"/>
      <c r="L4526" s="1" t="str">
        <f t="shared" si="243"/>
        <v xml:space="preserve">Gullsjön </v>
      </c>
      <c r="M4526" s="1" t="s">
        <v>285</v>
      </c>
      <c r="N4526" s="1">
        <v>0.5</v>
      </c>
      <c r="O4526" s="1">
        <v>0.5</v>
      </c>
      <c r="P4526" s="1">
        <v>1.8</v>
      </c>
      <c r="Q4526" s="1">
        <v>22.5</v>
      </c>
      <c r="R4526" s="1">
        <v>6.9</v>
      </c>
      <c r="S4526" s="1">
        <v>78</v>
      </c>
      <c r="V4526" s="1">
        <v>1.4073442623000001</v>
      </c>
      <c r="W4526" s="1">
        <v>1.2924</v>
      </c>
      <c r="X4526" s="1">
        <v>1.3583302197816149E-2</v>
      </c>
      <c r="Y4526" s="1">
        <v>0.13200000000000001</v>
      </c>
      <c r="Z4526" s="1">
        <v>0</v>
      </c>
      <c r="AA4526" s="1">
        <v>0.71</v>
      </c>
      <c r="AB4526" s="1">
        <v>2.9499300000000002</v>
      </c>
      <c r="AD4526" s="1">
        <v>0.37</v>
      </c>
      <c r="AE4526" s="1">
        <v>7.35</v>
      </c>
      <c r="AK4526" s="1">
        <v>12.1</v>
      </c>
      <c r="AL4526" s="1">
        <v>680.49</v>
      </c>
    </row>
    <row r="4527" spans="1:91" x14ac:dyDescent="0.3">
      <c r="A4527" s="1">
        <v>81825</v>
      </c>
      <c r="B4527" s="1" t="s">
        <v>284</v>
      </c>
      <c r="C4527" s="1" t="s">
        <v>231</v>
      </c>
      <c r="D4527" s="2">
        <f t="shared" si="241"/>
        <v>2020</v>
      </c>
      <c r="E4527" s="2">
        <f t="shared" si="242"/>
        <v>8</v>
      </c>
      <c r="G4527" s="4">
        <v>44054</v>
      </c>
      <c r="H4527" s="1">
        <v>6597388</v>
      </c>
      <c r="I4527" s="1">
        <v>674663</v>
      </c>
      <c r="J4527" s="1" t="s">
        <v>185</v>
      </c>
      <c r="K4527" s="1"/>
      <c r="L4527" s="1" t="str">
        <f t="shared" si="243"/>
        <v xml:space="preserve">Gullsjön </v>
      </c>
      <c r="M4527" s="1" t="s">
        <v>211</v>
      </c>
      <c r="N4527" s="1">
        <v>1</v>
      </c>
      <c r="O4527" s="1">
        <v>1</v>
      </c>
      <c r="Q4527" s="1">
        <v>20.6</v>
      </c>
      <c r="R4527" s="1">
        <v>6.1</v>
      </c>
      <c r="S4527" s="1">
        <v>71</v>
      </c>
    </row>
    <row r="4528" spans="1:91" x14ac:dyDescent="0.3">
      <c r="A4528" s="1">
        <v>81826</v>
      </c>
      <c r="B4528" s="1" t="s">
        <v>284</v>
      </c>
      <c r="C4528" s="1" t="s">
        <v>231</v>
      </c>
      <c r="D4528" s="2">
        <f t="shared" si="241"/>
        <v>2020</v>
      </c>
      <c r="E4528" s="2">
        <f t="shared" si="242"/>
        <v>8</v>
      </c>
      <c r="G4528" s="4">
        <v>44054</v>
      </c>
      <c r="H4528" s="1">
        <v>6597388</v>
      </c>
      <c r="I4528" s="1">
        <v>674663</v>
      </c>
      <c r="J4528" s="1" t="s">
        <v>185</v>
      </c>
      <c r="K4528" s="1"/>
      <c r="L4528" s="1" t="str">
        <f t="shared" si="243"/>
        <v xml:space="preserve">Gullsjön </v>
      </c>
      <c r="M4528" s="1" t="s">
        <v>286</v>
      </c>
      <c r="N4528" s="1">
        <v>2</v>
      </c>
      <c r="O4528" s="1">
        <v>2</v>
      </c>
      <c r="Q4528" s="1">
        <v>18.8</v>
      </c>
      <c r="R4528" s="1">
        <v>2</v>
      </c>
      <c r="S4528" s="1">
        <v>22</v>
      </c>
      <c r="V4528" s="1">
        <v>1.4073442623000001</v>
      </c>
      <c r="W4528" s="1">
        <v>6.3433000000000002</v>
      </c>
      <c r="X4528" s="1">
        <v>4.1556255301942423E-2</v>
      </c>
      <c r="Y4528" s="1">
        <v>0.13700000000000001</v>
      </c>
      <c r="Z4528" s="1">
        <v>0.11</v>
      </c>
      <c r="AA4528" s="1">
        <v>1.28</v>
      </c>
      <c r="AD4528" s="1">
        <v>0.88</v>
      </c>
      <c r="AE4528" s="1">
        <v>7.26</v>
      </c>
      <c r="AK4528" s="1">
        <v>10.97</v>
      </c>
      <c r="AL4528" s="1">
        <v>814.45</v>
      </c>
    </row>
    <row r="4529" spans="1:38" x14ac:dyDescent="0.3">
      <c r="A4529" s="1">
        <v>81827</v>
      </c>
      <c r="B4529" s="1" t="s">
        <v>284</v>
      </c>
      <c r="C4529" s="1" t="s">
        <v>231</v>
      </c>
      <c r="D4529" s="2">
        <f t="shared" si="241"/>
        <v>2020</v>
      </c>
      <c r="E4529" s="2">
        <f t="shared" si="242"/>
        <v>8</v>
      </c>
      <c r="G4529" s="4">
        <v>44054</v>
      </c>
      <c r="H4529" s="1">
        <v>6595294</v>
      </c>
      <c r="I4529" s="1">
        <v>670194</v>
      </c>
      <c r="J4529" s="1" t="s">
        <v>207</v>
      </c>
      <c r="K4529" s="1"/>
      <c r="L4529" s="1" t="str">
        <f t="shared" si="243"/>
        <v xml:space="preserve">Käringsjön </v>
      </c>
      <c r="M4529" s="1" t="s">
        <v>285</v>
      </c>
      <c r="N4529" s="1">
        <v>0.5</v>
      </c>
      <c r="O4529" s="1">
        <v>1</v>
      </c>
      <c r="P4529" s="1">
        <v>1</v>
      </c>
      <c r="Q4529" s="1">
        <v>21.1</v>
      </c>
      <c r="R4529" s="1">
        <v>7.6</v>
      </c>
      <c r="S4529" s="1">
        <v>85</v>
      </c>
      <c r="V4529" s="1">
        <v>0.63853884296999996</v>
      </c>
      <c r="W4529" s="1">
        <v>1.6556</v>
      </c>
      <c r="X4529" s="1">
        <v>2.317911979750286E-2</v>
      </c>
      <c r="Y4529" s="1">
        <v>0.46400000000000002</v>
      </c>
      <c r="Z4529" s="1">
        <v>0.1</v>
      </c>
      <c r="AA4529" s="1">
        <v>1.64</v>
      </c>
      <c r="AB4529" s="1">
        <v>51.604199999999999</v>
      </c>
      <c r="AD4529" s="1">
        <v>0</v>
      </c>
      <c r="AE4529" s="1">
        <v>7.52</v>
      </c>
      <c r="AK4529" s="1">
        <v>35.17</v>
      </c>
      <c r="AL4529" s="1">
        <v>1336.43</v>
      </c>
    </row>
    <row r="4530" spans="1:38" x14ac:dyDescent="0.3">
      <c r="A4530" s="1">
        <v>81828</v>
      </c>
      <c r="B4530" s="1" t="s">
        <v>284</v>
      </c>
      <c r="C4530" s="1" t="s">
        <v>231</v>
      </c>
      <c r="D4530" s="2">
        <f t="shared" ref="D4530:D4581" si="244">YEAR(G4530)</f>
        <v>2020</v>
      </c>
      <c r="E4530" s="2">
        <f t="shared" ref="E4530:E4581" si="245">MONTH(G4530)</f>
        <v>8</v>
      </c>
      <c r="G4530" s="4">
        <v>44054</v>
      </c>
      <c r="H4530" s="1">
        <v>6595294</v>
      </c>
      <c r="I4530" s="1">
        <v>670194</v>
      </c>
      <c r="J4530" s="1" t="s">
        <v>207</v>
      </c>
      <c r="K4530" s="1"/>
      <c r="L4530" s="1" t="str">
        <f t="shared" si="243"/>
        <v xml:space="preserve">Käringsjön </v>
      </c>
      <c r="M4530" s="1" t="s">
        <v>211</v>
      </c>
      <c r="N4530" s="1">
        <v>1</v>
      </c>
      <c r="O4530" s="1">
        <v>1</v>
      </c>
      <c r="Q4530" s="1">
        <v>20.6</v>
      </c>
      <c r="R4530" s="1">
        <v>7.1</v>
      </c>
      <c r="S4530" s="1">
        <v>78</v>
      </c>
    </row>
    <row r="4531" spans="1:38" x14ac:dyDescent="0.3">
      <c r="A4531" s="1">
        <v>81829</v>
      </c>
      <c r="B4531" s="1" t="s">
        <v>284</v>
      </c>
      <c r="C4531" s="1" t="s">
        <v>231</v>
      </c>
      <c r="D4531" s="2">
        <f t="shared" si="244"/>
        <v>2020</v>
      </c>
      <c r="E4531" s="2">
        <f t="shared" si="245"/>
        <v>8</v>
      </c>
      <c r="G4531" s="4">
        <v>44054</v>
      </c>
      <c r="H4531" s="1">
        <v>6595294</v>
      </c>
      <c r="I4531" s="1">
        <v>670194</v>
      </c>
      <c r="J4531" s="1" t="s">
        <v>207</v>
      </c>
      <c r="K4531" s="1"/>
      <c r="L4531" s="1" t="str">
        <f t="shared" si="243"/>
        <v xml:space="preserve">Käringsjön </v>
      </c>
      <c r="M4531" s="1" t="s">
        <v>212</v>
      </c>
      <c r="N4531" s="1">
        <v>2</v>
      </c>
      <c r="O4531" s="1">
        <v>2</v>
      </c>
      <c r="Q4531" s="1">
        <v>15.9</v>
      </c>
      <c r="R4531" s="1">
        <v>0.1</v>
      </c>
      <c r="S4531" s="1">
        <v>1</v>
      </c>
    </row>
    <row r="4532" spans="1:38" x14ac:dyDescent="0.3">
      <c r="A4532" s="1">
        <v>81830</v>
      </c>
      <c r="B4532" s="1" t="s">
        <v>284</v>
      </c>
      <c r="C4532" s="1" t="s">
        <v>231</v>
      </c>
      <c r="D4532" s="2">
        <f t="shared" si="244"/>
        <v>2020</v>
      </c>
      <c r="E4532" s="2">
        <f t="shared" si="245"/>
        <v>8</v>
      </c>
      <c r="G4532" s="4">
        <v>44054</v>
      </c>
      <c r="H4532" s="1">
        <v>6595294</v>
      </c>
      <c r="I4532" s="1">
        <v>670194</v>
      </c>
      <c r="J4532" s="1" t="s">
        <v>207</v>
      </c>
      <c r="K4532" s="1"/>
      <c r="L4532" s="1" t="str">
        <f t="shared" si="243"/>
        <v xml:space="preserve">Käringsjön </v>
      </c>
      <c r="M4532" s="1" t="s">
        <v>213</v>
      </c>
      <c r="N4532" s="1">
        <v>3</v>
      </c>
      <c r="O4532" s="1">
        <v>3</v>
      </c>
      <c r="Q4532" s="1">
        <v>10.199999999999999</v>
      </c>
      <c r="R4532" s="1">
        <v>0.1</v>
      </c>
      <c r="S4532" s="1">
        <v>1</v>
      </c>
    </row>
    <row r="4533" spans="1:38" x14ac:dyDescent="0.3">
      <c r="A4533" s="1">
        <v>81831</v>
      </c>
      <c r="B4533" s="1" t="s">
        <v>284</v>
      </c>
      <c r="C4533" s="1" t="s">
        <v>231</v>
      </c>
      <c r="D4533" s="2">
        <f t="shared" si="244"/>
        <v>2020</v>
      </c>
      <c r="E4533" s="2">
        <f t="shared" si="245"/>
        <v>8</v>
      </c>
      <c r="G4533" s="4">
        <v>44054</v>
      </c>
      <c r="H4533" s="1">
        <v>6595294</v>
      </c>
      <c r="I4533" s="1">
        <v>670194</v>
      </c>
      <c r="J4533" s="1" t="s">
        <v>207</v>
      </c>
      <c r="K4533" s="1"/>
      <c r="L4533" s="1" t="str">
        <f t="shared" si="243"/>
        <v xml:space="preserve">Käringsjön </v>
      </c>
      <c r="M4533" s="1" t="s">
        <v>286</v>
      </c>
      <c r="N4533" s="1">
        <v>4</v>
      </c>
      <c r="O4533" s="1">
        <v>4</v>
      </c>
      <c r="Q4533" s="1">
        <v>8.1</v>
      </c>
      <c r="R4533" s="1">
        <v>0.1</v>
      </c>
      <c r="S4533" s="1">
        <v>1</v>
      </c>
      <c r="V4533" s="1">
        <v>0.77030082643999997</v>
      </c>
      <c r="W4533" s="1">
        <v>1.1903999999999999</v>
      </c>
      <c r="X4533" s="1">
        <v>7.2254501540983346E-4</v>
      </c>
      <c r="Y4533" s="1">
        <v>0.69799999999999995</v>
      </c>
      <c r="Z4533" s="1">
        <v>0</v>
      </c>
      <c r="AA4533" s="1">
        <v>5.7</v>
      </c>
      <c r="AD4533" s="1">
        <v>0.56000000000000005</v>
      </c>
      <c r="AE4533" s="1">
        <v>6.58</v>
      </c>
      <c r="AK4533" s="1">
        <v>50.66</v>
      </c>
      <c r="AL4533" s="1">
        <v>1401.55</v>
      </c>
    </row>
    <row r="4534" spans="1:38" x14ac:dyDescent="0.3">
      <c r="A4534" s="1">
        <v>81832</v>
      </c>
      <c r="B4534" s="1" t="s">
        <v>284</v>
      </c>
      <c r="C4534" s="1" t="s">
        <v>231</v>
      </c>
      <c r="D4534" s="2">
        <f t="shared" si="244"/>
        <v>2020</v>
      </c>
      <c r="E4534" s="2">
        <f t="shared" si="245"/>
        <v>8</v>
      </c>
      <c r="G4534" s="4">
        <v>44054</v>
      </c>
      <c r="H4534" s="1">
        <v>6594218</v>
      </c>
      <c r="I4534" s="1">
        <v>670947</v>
      </c>
      <c r="J4534" s="1" t="s">
        <v>201</v>
      </c>
      <c r="K4534" s="1"/>
      <c r="L4534" s="1" t="str">
        <f t="shared" si="243"/>
        <v xml:space="preserve">Mörtsjön </v>
      </c>
      <c r="M4534" s="1" t="s">
        <v>285</v>
      </c>
      <c r="N4534" s="1">
        <v>0.5</v>
      </c>
      <c r="O4534" s="1">
        <v>0.5</v>
      </c>
      <c r="P4534" s="1">
        <v>2.5</v>
      </c>
      <c r="Q4534" s="1">
        <v>21.3</v>
      </c>
      <c r="R4534" s="1">
        <v>7.9</v>
      </c>
      <c r="S4534" s="1">
        <v>88</v>
      </c>
      <c r="V4534" s="1">
        <v>1.8243966942000001</v>
      </c>
      <c r="W4534" s="1">
        <v>1.7058</v>
      </c>
      <c r="X4534" s="1">
        <v>4.9844258475839592E-2</v>
      </c>
      <c r="Y4534" s="1">
        <v>0.111</v>
      </c>
      <c r="Z4534" s="1">
        <v>0.59</v>
      </c>
      <c r="AA4534" s="1">
        <v>1.65</v>
      </c>
      <c r="AB4534" s="1">
        <v>8.3734199999999994</v>
      </c>
      <c r="AD4534" s="1">
        <v>1.41</v>
      </c>
      <c r="AE4534" s="1">
        <v>7.84</v>
      </c>
      <c r="AK4534" s="1">
        <v>20.92</v>
      </c>
      <c r="AL4534" s="1">
        <v>762.75</v>
      </c>
    </row>
    <row r="4535" spans="1:38" x14ac:dyDescent="0.3">
      <c r="A4535" s="1">
        <v>81833</v>
      </c>
      <c r="B4535" s="1" t="s">
        <v>284</v>
      </c>
      <c r="C4535" s="1" t="s">
        <v>231</v>
      </c>
      <c r="D4535" s="2">
        <f t="shared" si="244"/>
        <v>2020</v>
      </c>
      <c r="E4535" s="2">
        <f t="shared" si="245"/>
        <v>8</v>
      </c>
      <c r="G4535" s="4">
        <v>44054</v>
      </c>
      <c r="H4535" s="1">
        <v>6594218</v>
      </c>
      <c r="I4535" s="1">
        <v>670947</v>
      </c>
      <c r="J4535" s="1" t="s">
        <v>201</v>
      </c>
      <c r="K4535" s="1"/>
      <c r="L4535" s="1" t="str">
        <f t="shared" si="243"/>
        <v xml:space="preserve">Mörtsjön </v>
      </c>
      <c r="M4535" s="1" t="s">
        <v>211</v>
      </c>
      <c r="N4535" s="1">
        <v>1</v>
      </c>
      <c r="O4535" s="1">
        <v>1</v>
      </c>
      <c r="Q4535" s="1">
        <v>21.3</v>
      </c>
      <c r="R4535" s="1">
        <v>7.9</v>
      </c>
      <c r="S4535" s="1">
        <v>88</v>
      </c>
    </row>
    <row r="4536" spans="1:38" x14ac:dyDescent="0.3">
      <c r="A4536" s="1">
        <v>81834</v>
      </c>
      <c r="B4536" s="1" t="s">
        <v>284</v>
      </c>
      <c r="C4536" s="1" t="s">
        <v>231</v>
      </c>
      <c r="D4536" s="2">
        <f t="shared" si="244"/>
        <v>2020</v>
      </c>
      <c r="E4536" s="2">
        <f t="shared" si="245"/>
        <v>8</v>
      </c>
      <c r="G4536" s="4">
        <v>44054</v>
      </c>
      <c r="H4536" s="1">
        <v>6594218</v>
      </c>
      <c r="I4536" s="1">
        <v>670947</v>
      </c>
      <c r="J4536" s="1" t="s">
        <v>201</v>
      </c>
      <c r="K4536" s="1"/>
      <c r="L4536" s="1" t="str">
        <f t="shared" si="243"/>
        <v xml:space="preserve">Mörtsjön </v>
      </c>
      <c r="M4536" s="1" t="s">
        <v>212</v>
      </c>
      <c r="N4536" s="1">
        <v>2</v>
      </c>
      <c r="O4536" s="1">
        <v>2</v>
      </c>
      <c r="Q4536" s="1">
        <v>21.3</v>
      </c>
      <c r="R4536" s="1">
        <v>7.9</v>
      </c>
      <c r="S4536" s="1">
        <v>88</v>
      </c>
    </row>
    <row r="4537" spans="1:38" x14ac:dyDescent="0.3">
      <c r="A4537" s="1">
        <v>81835</v>
      </c>
      <c r="B4537" s="1" t="s">
        <v>284</v>
      </c>
      <c r="C4537" s="1" t="s">
        <v>231</v>
      </c>
      <c r="D4537" s="2">
        <f t="shared" si="244"/>
        <v>2020</v>
      </c>
      <c r="E4537" s="2">
        <f t="shared" si="245"/>
        <v>8</v>
      </c>
      <c r="G4537" s="4">
        <v>44054</v>
      </c>
      <c r="H4537" s="1">
        <v>6594218</v>
      </c>
      <c r="I4537" s="1">
        <v>670947</v>
      </c>
      <c r="J4537" s="1" t="s">
        <v>201</v>
      </c>
      <c r="K4537" s="1"/>
      <c r="L4537" s="1" t="str">
        <f t="shared" si="243"/>
        <v xml:space="preserve">Mörtsjön </v>
      </c>
      <c r="M4537" s="1" t="s">
        <v>213</v>
      </c>
      <c r="N4537" s="1">
        <v>3</v>
      </c>
      <c r="O4537" s="1">
        <v>3</v>
      </c>
      <c r="Q4537" s="1">
        <v>18.899999999999999</v>
      </c>
      <c r="R4537" s="1">
        <v>0.1</v>
      </c>
      <c r="S4537" s="1">
        <v>1</v>
      </c>
    </row>
    <row r="4538" spans="1:38" x14ac:dyDescent="0.3">
      <c r="A4538" s="1">
        <v>81836</v>
      </c>
      <c r="B4538" s="1" t="s">
        <v>284</v>
      </c>
      <c r="C4538" s="1" t="s">
        <v>231</v>
      </c>
      <c r="D4538" s="2">
        <f t="shared" si="244"/>
        <v>2020</v>
      </c>
      <c r="E4538" s="2">
        <f t="shared" si="245"/>
        <v>8</v>
      </c>
      <c r="G4538" s="4">
        <v>44054</v>
      </c>
      <c r="H4538" s="1">
        <v>6594218</v>
      </c>
      <c r="I4538" s="1">
        <v>670947</v>
      </c>
      <c r="J4538" s="1" t="s">
        <v>201</v>
      </c>
      <c r="K4538" s="1"/>
      <c r="L4538" s="1" t="str">
        <f t="shared" si="243"/>
        <v xml:space="preserve">Mörtsjön </v>
      </c>
      <c r="M4538" s="1" t="s">
        <v>184</v>
      </c>
      <c r="N4538" s="1">
        <v>4</v>
      </c>
      <c r="O4538" s="1">
        <v>4</v>
      </c>
      <c r="Q4538" s="1">
        <v>12.8</v>
      </c>
      <c r="R4538" s="1">
        <v>0.1</v>
      </c>
      <c r="S4538" s="1">
        <v>1</v>
      </c>
      <c r="V4538" s="1">
        <v>2.1081917355000002</v>
      </c>
      <c r="W4538" s="1">
        <v>152.7122</v>
      </c>
      <c r="X4538" s="1">
        <v>0.60969189485673414</v>
      </c>
      <c r="Y4538" s="1">
        <v>0.14499999999999999</v>
      </c>
      <c r="Z4538" s="1">
        <v>2.52</v>
      </c>
      <c r="AA4538" s="1">
        <v>9.6999999999999993</v>
      </c>
      <c r="AD4538" s="1">
        <v>1.17</v>
      </c>
      <c r="AE4538" s="1">
        <v>7.24</v>
      </c>
      <c r="AK4538" s="1">
        <v>109.1</v>
      </c>
      <c r="AL4538" s="1">
        <v>1521.8</v>
      </c>
    </row>
    <row r="4539" spans="1:38" x14ac:dyDescent="0.3">
      <c r="A4539" s="1">
        <v>81837</v>
      </c>
      <c r="B4539" s="1" t="s">
        <v>284</v>
      </c>
      <c r="C4539" s="1" t="s">
        <v>231</v>
      </c>
      <c r="D4539" s="2">
        <f t="shared" si="244"/>
        <v>2020</v>
      </c>
      <c r="E4539" s="2">
        <f t="shared" si="245"/>
        <v>8</v>
      </c>
      <c r="G4539" s="4">
        <v>44054</v>
      </c>
      <c r="H4539" s="1">
        <v>6598995</v>
      </c>
      <c r="I4539" s="1">
        <v>667864</v>
      </c>
      <c r="J4539" s="1" t="s">
        <v>186</v>
      </c>
      <c r="K4539" s="1" t="s">
        <v>211</v>
      </c>
      <c r="L4539" s="1" t="str">
        <f t="shared" si="243"/>
        <v>Norrviken 1</v>
      </c>
      <c r="M4539" s="1" t="s">
        <v>285</v>
      </c>
      <c r="N4539" s="1">
        <v>0.5</v>
      </c>
      <c r="O4539" s="1">
        <v>0.5</v>
      </c>
      <c r="P4539" s="1">
        <v>2</v>
      </c>
      <c r="Q4539" s="1">
        <v>22.8</v>
      </c>
      <c r="R4539" s="1">
        <v>8.6</v>
      </c>
      <c r="S4539" s="1">
        <v>100</v>
      </c>
      <c r="V4539" s="1">
        <v>2.4527999999999999</v>
      </c>
      <c r="W4539" s="1">
        <v>7.0814000000000004</v>
      </c>
      <c r="X4539" s="1">
        <v>0.31334372794442478</v>
      </c>
      <c r="Y4539" s="1">
        <v>3.7999999999999999E-2</v>
      </c>
      <c r="Z4539" s="1">
        <v>8.6199999999999992</v>
      </c>
      <c r="AA4539" s="1">
        <v>4.3</v>
      </c>
      <c r="AB4539" s="1">
        <v>19.260899999999999</v>
      </c>
      <c r="AD4539" s="1">
        <v>0</v>
      </c>
      <c r="AE4539" s="1">
        <v>7.98</v>
      </c>
      <c r="AK4539" s="1">
        <v>52.54</v>
      </c>
      <c r="AL4539" s="1">
        <v>898.15</v>
      </c>
    </row>
    <row r="4540" spans="1:38" x14ac:dyDescent="0.3">
      <c r="A4540" s="1">
        <v>81838</v>
      </c>
      <c r="B4540" s="1" t="s">
        <v>284</v>
      </c>
      <c r="C4540" s="1" t="s">
        <v>231</v>
      </c>
      <c r="D4540" s="2">
        <f t="shared" si="244"/>
        <v>2020</v>
      </c>
      <c r="E4540" s="2">
        <f t="shared" si="245"/>
        <v>8</v>
      </c>
      <c r="G4540" s="4">
        <v>44054</v>
      </c>
      <c r="H4540" s="1">
        <v>6598995</v>
      </c>
      <c r="I4540" s="1">
        <v>667864</v>
      </c>
      <c r="J4540" s="1" t="s">
        <v>186</v>
      </c>
      <c r="K4540" s="1" t="s">
        <v>211</v>
      </c>
      <c r="L4540" s="1" t="str">
        <f t="shared" si="243"/>
        <v>Norrviken 1</v>
      </c>
      <c r="M4540" s="1" t="s">
        <v>211</v>
      </c>
      <c r="N4540" s="1">
        <v>1</v>
      </c>
      <c r="O4540" s="1">
        <v>1</v>
      </c>
      <c r="Q4540" s="1">
        <v>22.7</v>
      </c>
      <c r="R4540" s="1">
        <v>8.3000000000000007</v>
      </c>
      <c r="S4540" s="1">
        <v>96</v>
      </c>
    </row>
    <row r="4541" spans="1:38" x14ac:dyDescent="0.3">
      <c r="A4541" s="1">
        <v>81839</v>
      </c>
      <c r="B4541" s="1" t="s">
        <v>284</v>
      </c>
      <c r="C4541" s="1" t="s">
        <v>231</v>
      </c>
      <c r="D4541" s="2">
        <f t="shared" si="244"/>
        <v>2020</v>
      </c>
      <c r="E4541" s="2">
        <f t="shared" si="245"/>
        <v>8</v>
      </c>
      <c r="G4541" s="4">
        <v>44054</v>
      </c>
      <c r="H4541" s="1">
        <v>6598995</v>
      </c>
      <c r="I4541" s="1">
        <v>667864</v>
      </c>
      <c r="J4541" s="1" t="s">
        <v>186</v>
      </c>
      <c r="K4541" s="1" t="s">
        <v>211</v>
      </c>
      <c r="L4541" s="1" t="str">
        <f t="shared" si="243"/>
        <v>Norrviken 1</v>
      </c>
      <c r="M4541" s="1" t="s">
        <v>212</v>
      </c>
      <c r="N4541" s="1">
        <v>2</v>
      </c>
      <c r="O4541" s="1">
        <v>2</v>
      </c>
      <c r="Q4541" s="1">
        <v>22.2</v>
      </c>
      <c r="R4541" s="1">
        <v>3.3</v>
      </c>
      <c r="S4541" s="1">
        <v>38</v>
      </c>
    </row>
    <row r="4542" spans="1:38" x14ac:dyDescent="0.3">
      <c r="A4542" s="1">
        <v>81840</v>
      </c>
      <c r="B4542" s="1" t="s">
        <v>284</v>
      </c>
      <c r="C4542" s="1" t="s">
        <v>231</v>
      </c>
      <c r="D4542" s="2">
        <f t="shared" si="244"/>
        <v>2020</v>
      </c>
      <c r="E4542" s="2">
        <f t="shared" si="245"/>
        <v>8</v>
      </c>
      <c r="G4542" s="4">
        <v>44054</v>
      </c>
      <c r="H4542" s="1">
        <v>6598995</v>
      </c>
      <c r="I4542" s="1">
        <v>667864</v>
      </c>
      <c r="J4542" s="1" t="s">
        <v>186</v>
      </c>
      <c r="K4542" s="1" t="s">
        <v>211</v>
      </c>
      <c r="L4542" s="1" t="str">
        <f t="shared" ref="L4542:L4605" si="246">CONCATENATE(J4542," ",K4542)</f>
        <v>Norrviken 1</v>
      </c>
      <c r="M4542" s="1" t="s">
        <v>286</v>
      </c>
      <c r="N4542" s="1">
        <v>2.5</v>
      </c>
      <c r="O4542" s="1">
        <v>2.5</v>
      </c>
      <c r="Q4542" s="1">
        <v>22.2</v>
      </c>
      <c r="R4542" s="1">
        <v>3.1</v>
      </c>
      <c r="S4542" s="1">
        <v>35</v>
      </c>
      <c r="V4542" s="1">
        <v>2.4527999999999999</v>
      </c>
      <c r="W4542" s="1">
        <v>11.785500000000001</v>
      </c>
      <c r="X4542" s="1">
        <v>0.438237143961273</v>
      </c>
      <c r="Y4542" s="1">
        <v>0.04</v>
      </c>
      <c r="Z4542" s="1">
        <v>10.72</v>
      </c>
      <c r="AA4542" s="1">
        <v>4.9000000000000004</v>
      </c>
      <c r="AD4542" s="1">
        <v>0.2</v>
      </c>
      <c r="AE4542" s="1">
        <v>7.92</v>
      </c>
      <c r="AK4542" s="1">
        <v>62.88</v>
      </c>
      <c r="AL4542" s="1">
        <v>919.55</v>
      </c>
    </row>
    <row r="4543" spans="1:38" x14ac:dyDescent="0.3">
      <c r="A4543" s="1">
        <v>81841</v>
      </c>
      <c r="B4543" s="1" t="s">
        <v>284</v>
      </c>
      <c r="C4543" s="1" t="s">
        <v>231</v>
      </c>
      <c r="D4543" s="2">
        <f t="shared" si="244"/>
        <v>2020</v>
      </c>
      <c r="E4543" s="2">
        <f t="shared" si="245"/>
        <v>8</v>
      </c>
      <c r="G4543" s="4">
        <v>44054</v>
      </c>
      <c r="H4543" s="1">
        <v>6596347</v>
      </c>
      <c r="I4543" s="1">
        <v>665902</v>
      </c>
      <c r="J4543" s="1" t="s">
        <v>186</v>
      </c>
      <c r="K4543" s="1" t="s">
        <v>212</v>
      </c>
      <c r="L4543" s="1" t="str">
        <f t="shared" si="246"/>
        <v>Norrviken 2</v>
      </c>
      <c r="M4543" s="1" t="s">
        <v>285</v>
      </c>
      <c r="N4543" s="1">
        <v>0.5</v>
      </c>
      <c r="O4543" s="1">
        <v>0.5</v>
      </c>
      <c r="P4543" s="1">
        <v>4</v>
      </c>
      <c r="Q4543" s="1">
        <v>23.2</v>
      </c>
      <c r="R4543" s="1">
        <v>10.1</v>
      </c>
      <c r="S4543" s="1">
        <v>117</v>
      </c>
      <c r="V4543" s="1">
        <v>2.412590164</v>
      </c>
      <c r="W4543" s="1">
        <v>4.5795000000000003</v>
      </c>
      <c r="X4543" s="1">
        <v>0.39754550178322451</v>
      </c>
      <c r="Y4543" s="1">
        <v>3.4000000000000002E-2</v>
      </c>
      <c r="Z4543" s="1">
        <v>0.31</v>
      </c>
      <c r="AA4543" s="1">
        <v>2.1</v>
      </c>
      <c r="AB4543" s="1">
        <v>9.7985699999999998</v>
      </c>
      <c r="AD4543" s="1">
        <v>0.08</v>
      </c>
      <c r="AE4543" s="1">
        <v>8.2799999999999994</v>
      </c>
      <c r="AK4543" s="1">
        <v>32.5</v>
      </c>
      <c r="AL4543" s="1">
        <v>741.53</v>
      </c>
    </row>
    <row r="4544" spans="1:38" x14ac:dyDescent="0.3">
      <c r="A4544" s="1">
        <v>81842</v>
      </c>
      <c r="B4544" s="1" t="s">
        <v>284</v>
      </c>
      <c r="C4544" s="1" t="s">
        <v>231</v>
      </c>
      <c r="D4544" s="2">
        <f t="shared" si="244"/>
        <v>2020</v>
      </c>
      <c r="E4544" s="2">
        <f t="shared" si="245"/>
        <v>8</v>
      </c>
      <c r="G4544" s="4">
        <v>44054</v>
      </c>
      <c r="H4544" s="1">
        <v>6596347</v>
      </c>
      <c r="I4544" s="1">
        <v>665902</v>
      </c>
      <c r="J4544" s="1" t="s">
        <v>186</v>
      </c>
      <c r="K4544" s="1" t="s">
        <v>212</v>
      </c>
      <c r="L4544" s="1" t="str">
        <f t="shared" si="246"/>
        <v>Norrviken 2</v>
      </c>
      <c r="M4544" s="1" t="s">
        <v>211</v>
      </c>
      <c r="N4544" s="1">
        <v>1</v>
      </c>
      <c r="O4544" s="1">
        <v>1</v>
      </c>
      <c r="Q4544" s="1">
        <v>22.9</v>
      </c>
      <c r="R4544" s="1">
        <v>9.9</v>
      </c>
      <c r="S4544" s="1">
        <v>115</v>
      </c>
    </row>
    <row r="4545" spans="1:38" x14ac:dyDescent="0.3">
      <c r="A4545" s="1">
        <v>81843</v>
      </c>
      <c r="B4545" s="1" t="s">
        <v>284</v>
      </c>
      <c r="C4545" s="1" t="s">
        <v>231</v>
      </c>
      <c r="D4545" s="2">
        <f t="shared" si="244"/>
        <v>2020</v>
      </c>
      <c r="E4545" s="2">
        <f t="shared" si="245"/>
        <v>8</v>
      </c>
      <c r="G4545" s="4">
        <v>44054</v>
      </c>
      <c r="H4545" s="1">
        <v>6596347</v>
      </c>
      <c r="I4545" s="1">
        <v>665902</v>
      </c>
      <c r="J4545" s="1" t="s">
        <v>186</v>
      </c>
      <c r="K4545" s="1" t="s">
        <v>212</v>
      </c>
      <c r="L4545" s="1" t="str">
        <f t="shared" si="246"/>
        <v>Norrviken 2</v>
      </c>
      <c r="M4545" s="1" t="s">
        <v>212</v>
      </c>
      <c r="N4545" s="1">
        <v>2</v>
      </c>
      <c r="O4545" s="1">
        <v>2</v>
      </c>
      <c r="Q4545" s="1">
        <v>22.8</v>
      </c>
      <c r="R4545" s="1">
        <v>9.9</v>
      </c>
      <c r="S4545" s="1">
        <v>114</v>
      </c>
    </row>
    <row r="4546" spans="1:38" x14ac:dyDescent="0.3">
      <c r="A4546" s="1">
        <v>81844</v>
      </c>
      <c r="B4546" s="1" t="s">
        <v>284</v>
      </c>
      <c r="C4546" s="1" t="s">
        <v>231</v>
      </c>
      <c r="D4546" s="2">
        <f t="shared" si="244"/>
        <v>2020</v>
      </c>
      <c r="E4546" s="2">
        <f t="shared" si="245"/>
        <v>8</v>
      </c>
      <c r="G4546" s="4">
        <v>44054</v>
      </c>
      <c r="H4546" s="1">
        <v>6596347</v>
      </c>
      <c r="I4546" s="1">
        <v>665902</v>
      </c>
      <c r="J4546" s="1" t="s">
        <v>186</v>
      </c>
      <c r="K4546" s="1" t="s">
        <v>212</v>
      </c>
      <c r="L4546" s="1" t="str">
        <f t="shared" si="246"/>
        <v>Norrviken 2</v>
      </c>
      <c r="M4546" s="1" t="s">
        <v>213</v>
      </c>
      <c r="N4546" s="1">
        <v>3</v>
      </c>
      <c r="O4546" s="1">
        <v>3</v>
      </c>
      <c r="Q4546" s="1">
        <v>22.5</v>
      </c>
      <c r="R4546" s="1">
        <v>9.1999999999999993</v>
      </c>
      <c r="S4546" s="1">
        <v>106</v>
      </c>
    </row>
    <row r="4547" spans="1:38" x14ac:dyDescent="0.3">
      <c r="A4547" s="1">
        <v>81845</v>
      </c>
      <c r="B4547" s="1" t="s">
        <v>284</v>
      </c>
      <c r="C4547" s="1" t="s">
        <v>231</v>
      </c>
      <c r="D4547" s="2">
        <f t="shared" si="244"/>
        <v>2020</v>
      </c>
      <c r="E4547" s="2">
        <f t="shared" si="245"/>
        <v>8</v>
      </c>
      <c r="G4547" s="4">
        <v>44054</v>
      </c>
      <c r="H4547" s="1">
        <v>6596347</v>
      </c>
      <c r="I4547" s="1">
        <v>665902</v>
      </c>
      <c r="J4547" s="1" t="s">
        <v>186</v>
      </c>
      <c r="K4547" s="1" t="s">
        <v>212</v>
      </c>
      <c r="L4547" s="1" t="str">
        <f t="shared" si="246"/>
        <v>Norrviken 2</v>
      </c>
      <c r="M4547" s="1" t="s">
        <v>214</v>
      </c>
      <c r="N4547" s="1">
        <v>4</v>
      </c>
      <c r="O4547" s="1">
        <v>4</v>
      </c>
      <c r="Q4547" s="1">
        <v>21.6</v>
      </c>
      <c r="R4547" s="1">
        <v>7.3</v>
      </c>
      <c r="S4547" s="1">
        <v>83</v>
      </c>
    </row>
    <row r="4548" spans="1:38" x14ac:dyDescent="0.3">
      <c r="A4548" s="1">
        <v>81846</v>
      </c>
      <c r="B4548" s="1" t="s">
        <v>284</v>
      </c>
      <c r="C4548" s="1" t="s">
        <v>231</v>
      </c>
      <c r="D4548" s="2">
        <f t="shared" si="244"/>
        <v>2020</v>
      </c>
      <c r="E4548" s="2">
        <f t="shared" si="245"/>
        <v>8</v>
      </c>
      <c r="G4548" s="4">
        <v>44054</v>
      </c>
      <c r="H4548" s="1">
        <v>6596347</v>
      </c>
      <c r="I4548" s="1">
        <v>665902</v>
      </c>
      <c r="J4548" s="1" t="s">
        <v>186</v>
      </c>
      <c r="K4548" s="1" t="s">
        <v>212</v>
      </c>
      <c r="L4548" s="1" t="str">
        <f t="shared" si="246"/>
        <v>Norrviken 2</v>
      </c>
      <c r="M4548" s="1" t="s">
        <v>217</v>
      </c>
      <c r="N4548" s="1">
        <v>5</v>
      </c>
      <c r="O4548" s="1">
        <v>5</v>
      </c>
      <c r="Q4548" s="1">
        <v>21.1</v>
      </c>
      <c r="R4548" s="1">
        <v>5.9</v>
      </c>
      <c r="S4548" s="1">
        <v>66</v>
      </c>
    </row>
    <row r="4549" spans="1:38" x14ac:dyDescent="0.3">
      <c r="A4549" s="1">
        <v>81847</v>
      </c>
      <c r="B4549" s="1" t="s">
        <v>284</v>
      </c>
      <c r="C4549" s="1" t="s">
        <v>231</v>
      </c>
      <c r="D4549" s="2">
        <f t="shared" si="244"/>
        <v>2020</v>
      </c>
      <c r="E4549" s="2">
        <f t="shared" si="245"/>
        <v>8</v>
      </c>
      <c r="G4549" s="4">
        <v>44054</v>
      </c>
      <c r="H4549" s="1">
        <v>6596347</v>
      </c>
      <c r="I4549" s="1">
        <v>665902</v>
      </c>
      <c r="J4549" s="1" t="s">
        <v>186</v>
      </c>
      <c r="K4549" s="1" t="s">
        <v>212</v>
      </c>
      <c r="L4549" s="1" t="str">
        <f t="shared" si="246"/>
        <v>Norrviken 2</v>
      </c>
      <c r="M4549" s="1" t="s">
        <v>218</v>
      </c>
      <c r="N4549" s="1">
        <v>6</v>
      </c>
      <c r="O4549" s="1">
        <v>6</v>
      </c>
      <c r="Q4549" s="1">
        <v>19.5</v>
      </c>
      <c r="R4549" s="1">
        <v>1.6</v>
      </c>
      <c r="S4549" s="1">
        <v>17</v>
      </c>
    </row>
    <row r="4550" spans="1:38" x14ac:dyDescent="0.3">
      <c r="A4550" s="1">
        <v>81848</v>
      </c>
      <c r="B4550" s="1" t="s">
        <v>284</v>
      </c>
      <c r="C4550" s="1" t="s">
        <v>231</v>
      </c>
      <c r="D4550" s="2">
        <f t="shared" si="244"/>
        <v>2020</v>
      </c>
      <c r="E4550" s="2">
        <f t="shared" si="245"/>
        <v>8</v>
      </c>
      <c r="G4550" s="4">
        <v>44054</v>
      </c>
      <c r="H4550" s="1">
        <v>6596347</v>
      </c>
      <c r="I4550" s="1">
        <v>665902</v>
      </c>
      <c r="J4550" s="1" t="s">
        <v>186</v>
      </c>
      <c r="K4550" s="1" t="s">
        <v>212</v>
      </c>
      <c r="L4550" s="1" t="str">
        <f t="shared" si="246"/>
        <v>Norrviken 2</v>
      </c>
      <c r="M4550" s="1" t="s">
        <v>219</v>
      </c>
      <c r="N4550" s="1">
        <v>7</v>
      </c>
      <c r="O4550" s="1">
        <v>7</v>
      </c>
      <c r="Q4550" s="1">
        <v>18.2</v>
      </c>
      <c r="R4550" s="1">
        <v>0.1</v>
      </c>
      <c r="S4550" s="1">
        <v>1</v>
      </c>
    </row>
    <row r="4551" spans="1:38" x14ac:dyDescent="0.3">
      <c r="A4551" s="1">
        <v>81849</v>
      </c>
      <c r="B4551" s="1" t="s">
        <v>284</v>
      </c>
      <c r="C4551" s="1" t="s">
        <v>231</v>
      </c>
      <c r="D4551" s="2">
        <f t="shared" si="244"/>
        <v>2020</v>
      </c>
      <c r="E4551" s="2">
        <f t="shared" si="245"/>
        <v>8</v>
      </c>
      <c r="G4551" s="4">
        <v>44054</v>
      </c>
      <c r="H4551" s="1">
        <v>6596347</v>
      </c>
      <c r="I4551" s="1">
        <v>665902</v>
      </c>
      <c r="J4551" s="1" t="s">
        <v>186</v>
      </c>
      <c r="K4551" s="1" t="s">
        <v>212</v>
      </c>
      <c r="L4551" s="1" t="str">
        <f t="shared" si="246"/>
        <v>Norrviken 2</v>
      </c>
      <c r="M4551" s="1" t="s">
        <v>220</v>
      </c>
      <c r="N4551" s="1">
        <v>8</v>
      </c>
      <c r="O4551" s="1">
        <v>8</v>
      </c>
      <c r="Q4551" s="1">
        <v>16.7</v>
      </c>
      <c r="R4551" s="1">
        <v>0.1</v>
      </c>
      <c r="S4551" s="1">
        <v>1</v>
      </c>
    </row>
    <row r="4552" spans="1:38" x14ac:dyDescent="0.3">
      <c r="A4552" s="1">
        <v>81850</v>
      </c>
      <c r="B4552" s="1" t="s">
        <v>284</v>
      </c>
      <c r="C4552" s="1" t="s">
        <v>231</v>
      </c>
      <c r="D4552" s="2">
        <f t="shared" si="244"/>
        <v>2020</v>
      </c>
      <c r="E4552" s="2">
        <f t="shared" si="245"/>
        <v>8</v>
      </c>
      <c r="G4552" s="4">
        <v>44054</v>
      </c>
      <c r="H4552" s="1">
        <v>6596347</v>
      </c>
      <c r="I4552" s="1">
        <v>665902</v>
      </c>
      <c r="J4552" s="1" t="s">
        <v>186</v>
      </c>
      <c r="K4552" s="1" t="s">
        <v>212</v>
      </c>
      <c r="L4552" s="1" t="str">
        <f t="shared" si="246"/>
        <v>Norrviken 2</v>
      </c>
      <c r="M4552" s="1" t="s">
        <v>286</v>
      </c>
      <c r="N4552" s="1">
        <v>9</v>
      </c>
      <c r="O4552" s="1">
        <v>9</v>
      </c>
      <c r="Q4552" s="1">
        <v>14.4</v>
      </c>
      <c r="R4552" s="1">
        <v>0.1</v>
      </c>
      <c r="S4552" s="1">
        <v>1</v>
      </c>
      <c r="V4552" s="1">
        <v>2.6136393443000001</v>
      </c>
      <c r="W4552" s="1">
        <v>486.68680000000001</v>
      </c>
      <c r="X4552" s="1">
        <v>2.8236936580528789</v>
      </c>
      <c r="Y4552" s="1">
        <v>2.9000000000000001E-2</v>
      </c>
      <c r="Z4552" s="1">
        <v>0</v>
      </c>
      <c r="AA4552" s="1">
        <v>5.6</v>
      </c>
      <c r="AD4552" s="1">
        <v>1.1000000000000001</v>
      </c>
      <c r="AE4552" s="1">
        <v>7.35</v>
      </c>
      <c r="AK4552" s="1">
        <v>29.5</v>
      </c>
      <c r="AL4552" s="1">
        <v>1252.8499999999999</v>
      </c>
    </row>
    <row r="4553" spans="1:38" x14ac:dyDescent="0.3">
      <c r="A4553" s="1">
        <v>81851</v>
      </c>
      <c r="B4553" s="1" t="s">
        <v>284</v>
      </c>
      <c r="C4553" s="1" t="s">
        <v>231</v>
      </c>
      <c r="D4553" s="2">
        <f t="shared" si="244"/>
        <v>2020</v>
      </c>
      <c r="E4553" s="2">
        <f t="shared" si="245"/>
        <v>8</v>
      </c>
      <c r="G4553" s="4">
        <v>44054</v>
      </c>
      <c r="H4553" s="1">
        <v>6594617</v>
      </c>
      <c r="I4553" s="1">
        <v>666323</v>
      </c>
      <c r="J4553" s="1" t="s">
        <v>186</v>
      </c>
      <c r="K4553" s="1" t="s">
        <v>213</v>
      </c>
      <c r="L4553" s="1" t="str">
        <f t="shared" si="246"/>
        <v>Norrviken 3</v>
      </c>
      <c r="M4553" s="1" t="s">
        <v>285</v>
      </c>
      <c r="N4553" s="1">
        <v>0.5</v>
      </c>
      <c r="O4553" s="1">
        <v>0.5</v>
      </c>
      <c r="P4553" s="1">
        <v>5.2</v>
      </c>
      <c r="Q4553" s="1">
        <v>23</v>
      </c>
      <c r="R4553" s="1">
        <v>10</v>
      </c>
      <c r="S4553" s="1">
        <v>117</v>
      </c>
      <c r="V4553" s="1">
        <v>2.3120655738</v>
      </c>
      <c r="W4553" s="1">
        <v>8.1489999999999991</v>
      </c>
      <c r="X4553" s="1">
        <v>0.74359321236462783</v>
      </c>
      <c r="Y4553" s="1">
        <v>3.6999999999999998E-2</v>
      </c>
      <c r="Z4553" s="1">
        <v>1.02</v>
      </c>
      <c r="AA4553" s="1">
        <v>1.65</v>
      </c>
      <c r="AB4553" s="1">
        <v>7.6449600000000002</v>
      </c>
      <c r="AD4553" s="1">
        <v>0.35</v>
      </c>
      <c r="AE4553" s="1">
        <v>8.31</v>
      </c>
      <c r="AK4553" s="1">
        <v>27.25</v>
      </c>
      <c r="AL4553" s="1">
        <v>712.27</v>
      </c>
    </row>
    <row r="4554" spans="1:38" x14ac:dyDescent="0.3">
      <c r="A4554" s="1">
        <v>81852</v>
      </c>
      <c r="B4554" s="1" t="s">
        <v>284</v>
      </c>
      <c r="C4554" s="1" t="s">
        <v>231</v>
      </c>
      <c r="D4554" s="2">
        <f t="shared" si="244"/>
        <v>2020</v>
      </c>
      <c r="E4554" s="2">
        <f t="shared" si="245"/>
        <v>8</v>
      </c>
      <c r="G4554" s="4">
        <v>44054</v>
      </c>
      <c r="H4554" s="1">
        <v>6594617</v>
      </c>
      <c r="I4554" s="1">
        <v>666323</v>
      </c>
      <c r="J4554" s="1" t="s">
        <v>186</v>
      </c>
      <c r="K4554" s="1" t="s">
        <v>213</v>
      </c>
      <c r="L4554" s="1" t="str">
        <f t="shared" si="246"/>
        <v>Norrviken 3</v>
      </c>
      <c r="M4554" s="1" t="s">
        <v>211</v>
      </c>
      <c r="N4554" s="1">
        <v>1</v>
      </c>
      <c r="O4554" s="1">
        <v>1</v>
      </c>
      <c r="Q4554" s="1">
        <v>22.8</v>
      </c>
      <c r="R4554" s="1">
        <v>10</v>
      </c>
      <c r="S4554" s="1">
        <v>117</v>
      </c>
    </row>
    <row r="4555" spans="1:38" x14ac:dyDescent="0.3">
      <c r="A4555" s="1">
        <v>81853</v>
      </c>
      <c r="B4555" s="1" t="s">
        <v>284</v>
      </c>
      <c r="C4555" s="1" t="s">
        <v>231</v>
      </c>
      <c r="D4555" s="2">
        <f t="shared" si="244"/>
        <v>2020</v>
      </c>
      <c r="E4555" s="2">
        <f t="shared" si="245"/>
        <v>8</v>
      </c>
      <c r="G4555" s="4">
        <v>44054</v>
      </c>
      <c r="H4555" s="1">
        <v>6594617</v>
      </c>
      <c r="I4555" s="1">
        <v>666323</v>
      </c>
      <c r="J4555" s="1" t="s">
        <v>186</v>
      </c>
      <c r="K4555" s="1" t="s">
        <v>213</v>
      </c>
      <c r="L4555" s="1" t="str">
        <f t="shared" si="246"/>
        <v>Norrviken 3</v>
      </c>
      <c r="M4555" s="1" t="s">
        <v>212</v>
      </c>
      <c r="N4555" s="1">
        <v>2</v>
      </c>
      <c r="O4555" s="1">
        <v>2</v>
      </c>
      <c r="Q4555" s="1">
        <v>22.5</v>
      </c>
      <c r="R4555" s="1">
        <v>10</v>
      </c>
      <c r="S4555" s="1">
        <v>115</v>
      </c>
    </row>
    <row r="4556" spans="1:38" x14ac:dyDescent="0.3">
      <c r="A4556" s="1">
        <v>81854</v>
      </c>
      <c r="B4556" s="1" t="s">
        <v>284</v>
      </c>
      <c r="C4556" s="1" t="s">
        <v>231</v>
      </c>
      <c r="D4556" s="2">
        <f t="shared" si="244"/>
        <v>2020</v>
      </c>
      <c r="E4556" s="2">
        <f t="shared" si="245"/>
        <v>8</v>
      </c>
      <c r="G4556" s="4">
        <v>44054</v>
      </c>
      <c r="H4556" s="1">
        <v>6594617</v>
      </c>
      <c r="I4556" s="1">
        <v>666323</v>
      </c>
      <c r="J4556" s="1" t="s">
        <v>186</v>
      </c>
      <c r="K4556" s="1" t="s">
        <v>213</v>
      </c>
      <c r="L4556" s="1" t="str">
        <f t="shared" si="246"/>
        <v>Norrviken 3</v>
      </c>
      <c r="M4556" s="1" t="s">
        <v>213</v>
      </c>
      <c r="N4556" s="1">
        <v>3</v>
      </c>
      <c r="O4556" s="1">
        <v>3</v>
      </c>
      <c r="Q4556" s="1">
        <v>22</v>
      </c>
      <c r="R4556" s="1">
        <v>9</v>
      </c>
      <c r="S4556" s="1">
        <v>102</v>
      </c>
    </row>
    <row r="4557" spans="1:38" x14ac:dyDescent="0.3">
      <c r="A4557" s="1">
        <v>81855</v>
      </c>
      <c r="B4557" s="1" t="s">
        <v>284</v>
      </c>
      <c r="C4557" s="1" t="s">
        <v>231</v>
      </c>
      <c r="D4557" s="2">
        <f t="shared" si="244"/>
        <v>2020</v>
      </c>
      <c r="E4557" s="2">
        <f t="shared" si="245"/>
        <v>8</v>
      </c>
      <c r="G4557" s="4">
        <v>44054</v>
      </c>
      <c r="H4557" s="1">
        <v>6594617</v>
      </c>
      <c r="I4557" s="1">
        <v>666323</v>
      </c>
      <c r="J4557" s="1" t="s">
        <v>186</v>
      </c>
      <c r="K4557" s="1" t="s">
        <v>213</v>
      </c>
      <c r="L4557" s="1" t="str">
        <f t="shared" si="246"/>
        <v>Norrviken 3</v>
      </c>
      <c r="M4557" s="1" t="s">
        <v>214</v>
      </c>
      <c r="N4557" s="1">
        <v>4</v>
      </c>
      <c r="O4557" s="1">
        <v>4</v>
      </c>
      <c r="Q4557" s="1">
        <v>21.6</v>
      </c>
      <c r="R4557" s="1">
        <v>8.1</v>
      </c>
      <c r="S4557" s="1">
        <v>92</v>
      </c>
    </row>
    <row r="4558" spans="1:38" x14ac:dyDescent="0.3">
      <c r="A4558" s="1">
        <v>81856</v>
      </c>
      <c r="B4558" s="1" t="s">
        <v>284</v>
      </c>
      <c r="C4558" s="1" t="s">
        <v>231</v>
      </c>
      <c r="D4558" s="2">
        <f t="shared" si="244"/>
        <v>2020</v>
      </c>
      <c r="E4558" s="2">
        <f t="shared" si="245"/>
        <v>8</v>
      </c>
      <c r="G4558" s="4">
        <v>44054</v>
      </c>
      <c r="H4558" s="1">
        <v>6594617</v>
      </c>
      <c r="I4558" s="1">
        <v>666323</v>
      </c>
      <c r="J4558" s="1" t="s">
        <v>186</v>
      </c>
      <c r="K4558" s="1" t="s">
        <v>213</v>
      </c>
      <c r="L4558" s="1" t="str">
        <f t="shared" si="246"/>
        <v>Norrviken 3</v>
      </c>
      <c r="M4558" s="1" t="s">
        <v>217</v>
      </c>
      <c r="N4558" s="1">
        <v>5</v>
      </c>
      <c r="O4558" s="1">
        <v>5</v>
      </c>
      <c r="Q4558" s="1">
        <v>21.5</v>
      </c>
      <c r="R4558" s="1">
        <v>8.1999999999999993</v>
      </c>
      <c r="S4558" s="1">
        <v>92</v>
      </c>
    </row>
    <row r="4559" spans="1:38" x14ac:dyDescent="0.3">
      <c r="A4559" s="1">
        <v>81857</v>
      </c>
      <c r="B4559" s="1" t="s">
        <v>284</v>
      </c>
      <c r="C4559" s="1" t="s">
        <v>231</v>
      </c>
      <c r="D4559" s="2">
        <f t="shared" si="244"/>
        <v>2020</v>
      </c>
      <c r="E4559" s="2">
        <f t="shared" si="245"/>
        <v>8</v>
      </c>
      <c r="G4559" s="4">
        <v>44054</v>
      </c>
      <c r="H4559" s="1">
        <v>6594617</v>
      </c>
      <c r="I4559" s="1">
        <v>666323</v>
      </c>
      <c r="J4559" s="1" t="s">
        <v>186</v>
      </c>
      <c r="K4559" s="1" t="s">
        <v>213</v>
      </c>
      <c r="L4559" s="1" t="str">
        <f t="shared" si="246"/>
        <v>Norrviken 3</v>
      </c>
      <c r="M4559" s="1" t="s">
        <v>218</v>
      </c>
      <c r="N4559" s="1">
        <v>6</v>
      </c>
      <c r="O4559" s="1">
        <v>6</v>
      </c>
      <c r="Q4559" s="1">
        <v>20.7</v>
      </c>
      <c r="R4559" s="1">
        <v>4.8</v>
      </c>
      <c r="S4559" s="1">
        <v>54</v>
      </c>
    </row>
    <row r="4560" spans="1:38" x14ac:dyDescent="0.3">
      <c r="A4560" s="1">
        <v>81858</v>
      </c>
      <c r="B4560" s="1" t="s">
        <v>284</v>
      </c>
      <c r="C4560" s="1" t="s">
        <v>231</v>
      </c>
      <c r="D4560" s="2">
        <f t="shared" si="244"/>
        <v>2020</v>
      </c>
      <c r="E4560" s="2">
        <f t="shared" si="245"/>
        <v>8</v>
      </c>
      <c r="G4560" s="4">
        <v>44054</v>
      </c>
      <c r="H4560" s="1">
        <v>6594617</v>
      </c>
      <c r="I4560" s="1">
        <v>666323</v>
      </c>
      <c r="J4560" s="1" t="s">
        <v>186</v>
      </c>
      <c r="K4560" s="1" t="s">
        <v>213</v>
      </c>
      <c r="L4560" s="1" t="str">
        <f t="shared" si="246"/>
        <v>Norrviken 3</v>
      </c>
      <c r="M4560" s="1" t="s">
        <v>219</v>
      </c>
      <c r="N4560" s="1">
        <v>7</v>
      </c>
      <c r="O4560" s="1">
        <v>7</v>
      </c>
      <c r="Q4560" s="1">
        <v>19.7</v>
      </c>
      <c r="R4560" s="1">
        <v>2.1</v>
      </c>
      <c r="S4560" s="1">
        <v>23</v>
      </c>
    </row>
    <row r="4561" spans="1:38" x14ac:dyDescent="0.3">
      <c r="A4561" s="1">
        <v>81859</v>
      </c>
      <c r="B4561" s="1" t="s">
        <v>284</v>
      </c>
      <c r="C4561" s="1" t="s">
        <v>231</v>
      </c>
      <c r="D4561" s="2">
        <f t="shared" si="244"/>
        <v>2020</v>
      </c>
      <c r="E4561" s="2">
        <f t="shared" si="245"/>
        <v>8</v>
      </c>
      <c r="G4561" s="4">
        <v>44054</v>
      </c>
      <c r="H4561" s="1">
        <v>6594617</v>
      </c>
      <c r="I4561" s="1">
        <v>666323</v>
      </c>
      <c r="J4561" s="1" t="s">
        <v>186</v>
      </c>
      <c r="K4561" s="1" t="s">
        <v>213</v>
      </c>
      <c r="L4561" s="1" t="str">
        <f t="shared" si="246"/>
        <v>Norrviken 3</v>
      </c>
      <c r="M4561" s="1" t="s">
        <v>220</v>
      </c>
      <c r="N4561" s="1">
        <v>8</v>
      </c>
      <c r="O4561" s="1">
        <v>8</v>
      </c>
      <c r="Q4561" s="1">
        <v>17.100000000000001</v>
      </c>
      <c r="R4561" s="1">
        <v>0.1</v>
      </c>
      <c r="S4561" s="1">
        <v>1</v>
      </c>
    </row>
    <row r="4562" spans="1:38" x14ac:dyDescent="0.3">
      <c r="A4562" s="1">
        <v>81860</v>
      </c>
      <c r="B4562" s="1" t="s">
        <v>284</v>
      </c>
      <c r="C4562" s="1" t="s">
        <v>231</v>
      </c>
      <c r="D4562" s="2">
        <f t="shared" si="244"/>
        <v>2020</v>
      </c>
      <c r="E4562" s="2">
        <f t="shared" si="245"/>
        <v>8</v>
      </c>
      <c r="G4562" s="4">
        <v>44054</v>
      </c>
      <c r="H4562" s="1">
        <v>6594617</v>
      </c>
      <c r="I4562" s="1">
        <v>666323</v>
      </c>
      <c r="J4562" s="1" t="s">
        <v>186</v>
      </c>
      <c r="K4562" s="1" t="s">
        <v>213</v>
      </c>
      <c r="L4562" s="1" t="str">
        <f t="shared" si="246"/>
        <v>Norrviken 3</v>
      </c>
      <c r="M4562" s="1" t="s">
        <v>221</v>
      </c>
      <c r="N4562" s="1">
        <v>9</v>
      </c>
      <c r="O4562" s="1">
        <v>9</v>
      </c>
      <c r="Q4562" s="1">
        <v>15</v>
      </c>
      <c r="R4562" s="1">
        <v>0.1</v>
      </c>
      <c r="S4562" s="1">
        <v>1</v>
      </c>
    </row>
    <row r="4563" spans="1:38" x14ac:dyDescent="0.3">
      <c r="A4563" s="1">
        <v>81861</v>
      </c>
      <c r="B4563" s="1" t="s">
        <v>284</v>
      </c>
      <c r="C4563" s="1" t="s">
        <v>231</v>
      </c>
      <c r="D4563" s="2">
        <f t="shared" si="244"/>
        <v>2020</v>
      </c>
      <c r="E4563" s="2">
        <f t="shared" si="245"/>
        <v>8</v>
      </c>
      <c r="G4563" s="4">
        <v>44054</v>
      </c>
      <c r="H4563" s="1">
        <v>6594617</v>
      </c>
      <c r="I4563" s="1">
        <v>666323</v>
      </c>
      <c r="J4563" s="1" t="s">
        <v>186</v>
      </c>
      <c r="K4563" s="1" t="s">
        <v>213</v>
      </c>
      <c r="L4563" s="1" t="str">
        <f t="shared" si="246"/>
        <v>Norrviken 3</v>
      </c>
      <c r="M4563" s="1" t="s">
        <v>222</v>
      </c>
      <c r="N4563" s="1">
        <v>10</v>
      </c>
      <c r="O4563" s="1">
        <v>10</v>
      </c>
      <c r="Q4563" s="1">
        <v>12.9</v>
      </c>
      <c r="R4563" s="1">
        <v>0.1</v>
      </c>
      <c r="S4563" s="1">
        <v>1</v>
      </c>
    </row>
    <row r="4564" spans="1:38" x14ac:dyDescent="0.3">
      <c r="A4564" s="1">
        <v>81862</v>
      </c>
      <c r="B4564" s="1" t="s">
        <v>284</v>
      </c>
      <c r="C4564" s="1" t="s">
        <v>231</v>
      </c>
      <c r="D4564" s="2">
        <f t="shared" si="244"/>
        <v>2020</v>
      </c>
      <c r="E4564" s="2">
        <f t="shared" si="245"/>
        <v>8</v>
      </c>
      <c r="G4564" s="4">
        <v>44054</v>
      </c>
      <c r="H4564" s="1">
        <v>6594617</v>
      </c>
      <c r="I4564" s="1">
        <v>666323</v>
      </c>
      <c r="J4564" s="1" t="s">
        <v>186</v>
      </c>
      <c r="K4564" s="1" t="s">
        <v>213</v>
      </c>
      <c r="L4564" s="1" t="str">
        <f t="shared" si="246"/>
        <v>Norrviken 3</v>
      </c>
      <c r="M4564" s="1" t="s">
        <v>223</v>
      </c>
      <c r="N4564" s="1">
        <v>11</v>
      </c>
      <c r="O4564" s="1">
        <v>11</v>
      </c>
      <c r="Q4564" s="1">
        <v>11.8</v>
      </c>
      <c r="R4564" s="1">
        <v>0.1</v>
      </c>
      <c r="S4564" s="1">
        <v>1</v>
      </c>
    </row>
    <row r="4565" spans="1:38" x14ac:dyDescent="0.3">
      <c r="A4565" s="1">
        <v>81863</v>
      </c>
      <c r="B4565" s="1" t="s">
        <v>284</v>
      </c>
      <c r="C4565" s="1" t="s">
        <v>231</v>
      </c>
      <c r="D4565" s="2">
        <f t="shared" si="244"/>
        <v>2020</v>
      </c>
      <c r="E4565" s="2">
        <f t="shared" si="245"/>
        <v>8</v>
      </c>
      <c r="G4565" s="4">
        <v>44054</v>
      </c>
      <c r="H4565" s="1">
        <v>6594617</v>
      </c>
      <c r="I4565" s="1">
        <v>666323</v>
      </c>
      <c r="J4565" s="1" t="s">
        <v>186</v>
      </c>
      <c r="K4565" s="1" t="s">
        <v>213</v>
      </c>
      <c r="L4565" s="1" t="str">
        <f t="shared" si="246"/>
        <v>Norrviken 3</v>
      </c>
      <c r="M4565" s="1" t="s">
        <v>286</v>
      </c>
      <c r="N4565" s="1">
        <v>11.5</v>
      </c>
      <c r="O4565" s="1">
        <v>11.5</v>
      </c>
      <c r="Q4565" s="1">
        <v>11.7</v>
      </c>
      <c r="R4565" s="1">
        <v>0.1</v>
      </c>
      <c r="S4565" s="1">
        <v>1</v>
      </c>
      <c r="V4565" s="1">
        <v>2.6940590163999998</v>
      </c>
      <c r="W4565" s="1">
        <v>786.42690000000005</v>
      </c>
      <c r="X4565" s="1">
        <v>3.466148515748126</v>
      </c>
      <c r="Y4565" s="1">
        <v>4.7E-2</v>
      </c>
      <c r="Z4565" s="1">
        <v>1.22</v>
      </c>
      <c r="AA4565" s="1">
        <v>6.2</v>
      </c>
      <c r="AD4565" s="1">
        <v>0.43</v>
      </c>
      <c r="AE4565" s="1">
        <v>7.32</v>
      </c>
      <c r="AK4565" s="1">
        <v>30.29</v>
      </c>
      <c r="AL4565" s="1">
        <v>1561.7</v>
      </c>
    </row>
    <row r="4566" spans="1:38" x14ac:dyDescent="0.3">
      <c r="A4566" s="1">
        <v>81864</v>
      </c>
      <c r="B4566" s="1" t="s">
        <v>284</v>
      </c>
      <c r="C4566" s="1" t="s">
        <v>231</v>
      </c>
      <c r="D4566" s="2">
        <f t="shared" si="244"/>
        <v>2020</v>
      </c>
      <c r="E4566" s="2">
        <f t="shared" si="245"/>
        <v>8</v>
      </c>
      <c r="G4566" s="4">
        <v>44054</v>
      </c>
      <c r="H4566" s="1">
        <v>6597022</v>
      </c>
      <c r="I4566" s="1">
        <v>665518</v>
      </c>
      <c r="J4566" s="1" t="s">
        <v>186</v>
      </c>
      <c r="K4566" s="1" t="s">
        <v>214</v>
      </c>
      <c r="L4566" s="1" t="str">
        <f t="shared" si="246"/>
        <v>Norrviken 4</v>
      </c>
      <c r="M4566" s="1" t="s">
        <v>285</v>
      </c>
      <c r="N4566" s="1">
        <v>0.5</v>
      </c>
      <c r="O4566" s="1">
        <v>0.5</v>
      </c>
      <c r="P4566" s="1">
        <v>2</v>
      </c>
      <c r="Q4566" s="1">
        <v>23.1</v>
      </c>
      <c r="R4566" s="1">
        <v>9.6999999999999993</v>
      </c>
      <c r="S4566" s="1">
        <v>113</v>
      </c>
      <c r="V4566" s="1">
        <v>2.3120655738</v>
      </c>
      <c r="W4566" s="1">
        <v>12.99</v>
      </c>
      <c r="X4566" s="1">
        <v>0.98672855451948061</v>
      </c>
      <c r="Y4566" s="1">
        <v>3.6999999999999998E-2</v>
      </c>
      <c r="Z4566" s="1">
        <v>0</v>
      </c>
      <c r="AA4566" s="1">
        <v>1.28</v>
      </c>
      <c r="AB4566" s="1">
        <v>4.5489600000000001</v>
      </c>
      <c r="AD4566" s="1">
        <v>0.33</v>
      </c>
      <c r="AE4566" s="1">
        <v>8.2200000000000006</v>
      </c>
      <c r="AK4566" s="1">
        <v>21.99</v>
      </c>
      <c r="AL4566" s="1">
        <v>798.03</v>
      </c>
    </row>
    <row r="4567" spans="1:38" x14ac:dyDescent="0.3">
      <c r="A4567" s="1">
        <v>81865</v>
      </c>
      <c r="B4567" s="1" t="s">
        <v>284</v>
      </c>
      <c r="C4567" s="1" t="s">
        <v>231</v>
      </c>
      <c r="D4567" s="2">
        <f t="shared" si="244"/>
        <v>2020</v>
      </c>
      <c r="E4567" s="2">
        <f t="shared" si="245"/>
        <v>8</v>
      </c>
      <c r="G4567" s="4">
        <v>44054</v>
      </c>
      <c r="H4567" s="1">
        <v>6597022</v>
      </c>
      <c r="I4567" s="1">
        <v>665518</v>
      </c>
      <c r="J4567" s="1" t="s">
        <v>186</v>
      </c>
      <c r="K4567" s="1" t="s">
        <v>214</v>
      </c>
      <c r="L4567" s="1" t="str">
        <f t="shared" si="246"/>
        <v>Norrviken 4</v>
      </c>
      <c r="M4567" s="1" t="s">
        <v>211</v>
      </c>
      <c r="N4567" s="1">
        <v>1</v>
      </c>
      <c r="O4567" s="1">
        <v>1</v>
      </c>
      <c r="Q4567" s="1">
        <v>23.1</v>
      </c>
      <c r="R4567" s="1">
        <v>9.1999999999999993</v>
      </c>
      <c r="S4567" s="1">
        <v>107</v>
      </c>
    </row>
    <row r="4568" spans="1:38" x14ac:dyDescent="0.3">
      <c r="A4568" s="1">
        <v>81866</v>
      </c>
      <c r="B4568" s="1" t="s">
        <v>284</v>
      </c>
      <c r="C4568" s="1" t="s">
        <v>231</v>
      </c>
      <c r="D4568" s="2">
        <f t="shared" si="244"/>
        <v>2020</v>
      </c>
      <c r="E4568" s="2">
        <f t="shared" si="245"/>
        <v>8</v>
      </c>
      <c r="G4568" s="4">
        <v>44054</v>
      </c>
      <c r="H4568" s="1">
        <v>6597022</v>
      </c>
      <c r="I4568" s="1">
        <v>665518</v>
      </c>
      <c r="J4568" s="1" t="s">
        <v>186</v>
      </c>
      <c r="K4568" s="1" t="s">
        <v>214</v>
      </c>
      <c r="L4568" s="1" t="str">
        <f t="shared" si="246"/>
        <v>Norrviken 4</v>
      </c>
      <c r="M4568" s="1" t="s">
        <v>286</v>
      </c>
      <c r="N4568" s="1">
        <v>2</v>
      </c>
      <c r="O4568" s="1">
        <v>2</v>
      </c>
      <c r="Q4568" s="1">
        <v>22.8</v>
      </c>
      <c r="R4568" s="1">
        <v>9.3000000000000007</v>
      </c>
      <c r="S4568" s="1">
        <v>108</v>
      </c>
      <c r="V4568" s="1">
        <v>2.2919606558000001</v>
      </c>
      <c r="W4568" s="1">
        <v>9.9101999999999997</v>
      </c>
      <c r="X4568" s="1">
        <v>0.66307659488007864</v>
      </c>
      <c r="Y4568" s="1">
        <v>3.5999999999999997E-2</v>
      </c>
      <c r="Z4568" s="1">
        <v>0.17</v>
      </c>
      <c r="AA4568" s="1">
        <v>1.37</v>
      </c>
      <c r="AD4568" s="1">
        <v>0.13</v>
      </c>
      <c r="AE4568" s="1">
        <v>8.17</v>
      </c>
      <c r="AK4568" s="1">
        <v>21.61</v>
      </c>
      <c r="AL4568" s="1">
        <v>727.77</v>
      </c>
    </row>
    <row r="4569" spans="1:38" x14ac:dyDescent="0.3">
      <c r="A4569" s="1">
        <v>81867</v>
      </c>
      <c r="B4569" s="1" t="s">
        <v>284</v>
      </c>
      <c r="C4569" s="1" t="s">
        <v>231</v>
      </c>
      <c r="D4569" s="2">
        <f t="shared" si="244"/>
        <v>2020</v>
      </c>
      <c r="E4569" s="2">
        <f t="shared" si="245"/>
        <v>8</v>
      </c>
      <c r="G4569" s="4">
        <v>44054</v>
      </c>
      <c r="H4569" s="1">
        <v>6599384</v>
      </c>
      <c r="I4569" s="1">
        <v>662805</v>
      </c>
      <c r="J4569" s="1" t="s">
        <v>182</v>
      </c>
      <c r="K4569" s="1"/>
      <c r="L4569" s="1" t="str">
        <f t="shared" si="246"/>
        <v xml:space="preserve">Edssjön </v>
      </c>
      <c r="M4569" s="1" t="s">
        <v>285</v>
      </c>
      <c r="N4569" s="1">
        <v>0.5</v>
      </c>
      <c r="O4569" s="1">
        <v>0.5</v>
      </c>
      <c r="P4569" s="1">
        <v>1.4</v>
      </c>
      <c r="Q4569" s="1">
        <v>21.8</v>
      </c>
      <c r="R4569" s="1">
        <v>13.6</v>
      </c>
      <c r="S4569" s="1">
        <v>153</v>
      </c>
      <c r="V4569" s="1">
        <v>2.2703603306</v>
      </c>
      <c r="W4569" s="1">
        <v>4.4926000000000004</v>
      </c>
      <c r="X4569" s="1">
        <v>0.81298946392754434</v>
      </c>
      <c r="Y4569" s="1">
        <v>5.6000000000000001E-2</v>
      </c>
      <c r="Z4569" s="1">
        <v>1.89</v>
      </c>
      <c r="AA4569" s="1">
        <v>8.3000000000000007</v>
      </c>
      <c r="AB4569" s="1">
        <v>38.328659999999999</v>
      </c>
      <c r="AD4569" s="1">
        <v>1.05</v>
      </c>
      <c r="AE4569" s="1">
        <v>8.69</v>
      </c>
      <c r="AK4569" s="1">
        <v>64.97</v>
      </c>
      <c r="AL4569" s="1">
        <v>1151.1099999999999</v>
      </c>
    </row>
    <row r="4570" spans="1:38" x14ac:dyDescent="0.3">
      <c r="A4570" s="1">
        <v>81868</v>
      </c>
      <c r="B4570" s="1" t="s">
        <v>284</v>
      </c>
      <c r="C4570" s="1" t="s">
        <v>231</v>
      </c>
      <c r="D4570" s="2">
        <f t="shared" si="244"/>
        <v>2020</v>
      </c>
      <c r="E4570" s="2">
        <f t="shared" si="245"/>
        <v>8</v>
      </c>
      <c r="G4570" s="4">
        <v>44054</v>
      </c>
      <c r="H4570" s="1">
        <v>6599384</v>
      </c>
      <c r="I4570" s="1">
        <v>662805</v>
      </c>
      <c r="J4570" s="1" t="s">
        <v>182</v>
      </c>
      <c r="K4570" s="1"/>
      <c r="L4570" s="1" t="str">
        <f t="shared" si="246"/>
        <v xml:space="preserve">Edssjön </v>
      </c>
      <c r="M4570" s="1" t="s">
        <v>211</v>
      </c>
      <c r="N4570" s="1">
        <v>1</v>
      </c>
      <c r="O4570" s="1">
        <v>1</v>
      </c>
      <c r="Q4570" s="1">
        <v>21.8</v>
      </c>
      <c r="R4570" s="1">
        <v>13.6</v>
      </c>
      <c r="S4570" s="1">
        <v>153</v>
      </c>
    </row>
    <row r="4571" spans="1:38" x14ac:dyDescent="0.3">
      <c r="A4571" s="1">
        <v>81869</v>
      </c>
      <c r="B4571" s="1" t="s">
        <v>284</v>
      </c>
      <c r="C4571" s="1" t="s">
        <v>231</v>
      </c>
      <c r="D4571" s="2">
        <f t="shared" si="244"/>
        <v>2020</v>
      </c>
      <c r="E4571" s="2">
        <f t="shared" si="245"/>
        <v>8</v>
      </c>
      <c r="G4571" s="4">
        <v>44054</v>
      </c>
      <c r="H4571" s="1">
        <v>6599384</v>
      </c>
      <c r="I4571" s="1">
        <v>662805</v>
      </c>
      <c r="J4571" s="1" t="s">
        <v>182</v>
      </c>
      <c r="K4571" s="1"/>
      <c r="L4571" s="1" t="str">
        <f t="shared" si="246"/>
        <v xml:space="preserve">Edssjön </v>
      </c>
      <c r="M4571" s="1" t="s">
        <v>212</v>
      </c>
      <c r="N4571" s="1">
        <v>2</v>
      </c>
      <c r="O4571" s="1">
        <v>2</v>
      </c>
      <c r="Q4571" s="1">
        <v>21.7</v>
      </c>
      <c r="R4571" s="1">
        <v>13.8</v>
      </c>
      <c r="S4571" s="1">
        <v>154</v>
      </c>
    </row>
    <row r="4572" spans="1:38" x14ac:dyDescent="0.3">
      <c r="A4572" s="1">
        <v>81870</v>
      </c>
      <c r="B4572" s="1" t="s">
        <v>284</v>
      </c>
      <c r="C4572" s="1" t="s">
        <v>231</v>
      </c>
      <c r="D4572" s="2">
        <f t="shared" si="244"/>
        <v>2020</v>
      </c>
      <c r="E4572" s="2">
        <f t="shared" si="245"/>
        <v>8</v>
      </c>
      <c r="G4572" s="4">
        <v>44054</v>
      </c>
      <c r="H4572" s="1">
        <v>6599384</v>
      </c>
      <c r="I4572" s="1">
        <v>662805</v>
      </c>
      <c r="J4572" s="1" t="s">
        <v>182</v>
      </c>
      <c r="K4572" s="1"/>
      <c r="L4572" s="1" t="str">
        <f t="shared" si="246"/>
        <v xml:space="preserve">Edssjön </v>
      </c>
      <c r="M4572" s="1" t="s">
        <v>213</v>
      </c>
      <c r="N4572" s="1">
        <v>3</v>
      </c>
      <c r="O4572" s="1">
        <v>3</v>
      </c>
      <c r="Q4572" s="1">
        <v>21.2</v>
      </c>
      <c r="R4572" s="1">
        <v>10</v>
      </c>
      <c r="S4572" s="1">
        <v>108</v>
      </c>
    </row>
    <row r="4573" spans="1:38" x14ac:dyDescent="0.3">
      <c r="A4573" s="1">
        <v>81871</v>
      </c>
      <c r="B4573" s="1" t="s">
        <v>284</v>
      </c>
      <c r="C4573" s="1" t="s">
        <v>231</v>
      </c>
      <c r="D4573" s="2">
        <f t="shared" si="244"/>
        <v>2020</v>
      </c>
      <c r="E4573" s="2">
        <f t="shared" si="245"/>
        <v>8</v>
      </c>
      <c r="G4573" s="4">
        <v>44054</v>
      </c>
      <c r="H4573" s="1">
        <v>6599384</v>
      </c>
      <c r="I4573" s="1">
        <v>662805</v>
      </c>
      <c r="J4573" s="1" t="s">
        <v>182</v>
      </c>
      <c r="K4573" s="1"/>
      <c r="L4573" s="1" t="str">
        <f t="shared" si="246"/>
        <v xml:space="preserve">Edssjön </v>
      </c>
      <c r="M4573" s="1" t="s">
        <v>214</v>
      </c>
      <c r="N4573" s="1">
        <v>4</v>
      </c>
      <c r="O4573" s="1">
        <v>4</v>
      </c>
      <c r="Q4573" s="1">
        <v>20</v>
      </c>
      <c r="R4573" s="1">
        <v>0.5</v>
      </c>
      <c r="S4573" s="1">
        <v>6</v>
      </c>
    </row>
    <row r="4574" spans="1:38" x14ac:dyDescent="0.3">
      <c r="A4574" s="1">
        <v>81872</v>
      </c>
      <c r="B4574" s="1" t="s">
        <v>284</v>
      </c>
      <c r="C4574" s="1" t="s">
        <v>231</v>
      </c>
      <c r="D4574" s="2">
        <f t="shared" si="244"/>
        <v>2020</v>
      </c>
      <c r="E4574" s="2">
        <f t="shared" si="245"/>
        <v>8</v>
      </c>
      <c r="G4574" s="4">
        <v>44054</v>
      </c>
      <c r="H4574" s="1">
        <v>6599384</v>
      </c>
      <c r="I4574" s="1">
        <v>662805</v>
      </c>
      <c r="J4574" s="1" t="s">
        <v>182</v>
      </c>
      <c r="K4574" s="1"/>
      <c r="L4574" s="1" t="str">
        <f t="shared" si="246"/>
        <v xml:space="preserve">Edssjön </v>
      </c>
      <c r="M4574" s="1" t="s">
        <v>286</v>
      </c>
      <c r="N4574" s="1">
        <v>4.5</v>
      </c>
      <c r="O4574" s="1">
        <v>4.5</v>
      </c>
      <c r="Q4574" s="1">
        <v>19.8</v>
      </c>
      <c r="R4574" s="1">
        <v>0.3</v>
      </c>
      <c r="S4574" s="1">
        <v>3</v>
      </c>
      <c r="V4574" s="1">
        <v>2.3717157025</v>
      </c>
      <c r="W4574" s="1">
        <v>4.8749000000000002</v>
      </c>
      <c r="X4574" s="1">
        <v>0.33007436345760788</v>
      </c>
      <c r="Y4574" s="1">
        <v>5.8999999999999997E-2</v>
      </c>
      <c r="Z4574" s="1">
        <v>8.15</v>
      </c>
      <c r="AA4574" s="1">
        <v>9.6</v>
      </c>
      <c r="AD4574" s="1">
        <v>0.62</v>
      </c>
      <c r="AE4574" s="1">
        <v>8.27</v>
      </c>
      <c r="AK4574" s="1">
        <v>104.79</v>
      </c>
      <c r="AL4574" s="1">
        <v>1223.1600000000001</v>
      </c>
    </row>
    <row r="4575" spans="1:38" x14ac:dyDescent="0.3">
      <c r="A4575" s="1">
        <v>81873</v>
      </c>
      <c r="B4575" s="1" t="s">
        <v>284</v>
      </c>
      <c r="C4575" s="1" t="s">
        <v>231</v>
      </c>
      <c r="D4575" s="2">
        <f t="shared" si="244"/>
        <v>2020</v>
      </c>
      <c r="E4575" s="2">
        <f t="shared" si="245"/>
        <v>8</v>
      </c>
      <c r="G4575" s="4">
        <v>44054</v>
      </c>
      <c r="H4575" s="1">
        <v>6605701</v>
      </c>
      <c r="I4575" s="1">
        <v>661059</v>
      </c>
      <c r="J4575" s="1" t="s">
        <v>187</v>
      </c>
      <c r="K4575" s="1"/>
      <c r="L4575" s="1" t="str">
        <f t="shared" si="246"/>
        <v xml:space="preserve">Oxundasjön </v>
      </c>
      <c r="M4575" s="1" t="s">
        <v>285</v>
      </c>
      <c r="N4575" s="1">
        <v>0.5</v>
      </c>
      <c r="O4575" s="1">
        <v>0.5</v>
      </c>
      <c r="P4575" s="1">
        <v>2.7</v>
      </c>
      <c r="Q4575" s="1">
        <v>22.3</v>
      </c>
      <c r="R4575" s="1">
        <v>9.4</v>
      </c>
      <c r="S4575" s="1">
        <v>107</v>
      </c>
      <c r="V4575" s="1">
        <v>2.4325289255999998</v>
      </c>
      <c r="W4575" s="1">
        <v>3.3117999999999999</v>
      </c>
      <c r="X4575" s="1">
        <v>0.21893136825873372</v>
      </c>
      <c r="Y4575" s="1">
        <v>5.0999999999999997E-2</v>
      </c>
      <c r="Z4575" s="1">
        <v>13.56</v>
      </c>
      <c r="AA4575" s="1">
        <v>2</v>
      </c>
      <c r="AB4575" s="1">
        <v>8.4932099999999995</v>
      </c>
      <c r="AD4575" s="1">
        <v>0.61</v>
      </c>
      <c r="AE4575" s="1">
        <v>8.18</v>
      </c>
      <c r="AK4575" s="1">
        <v>43.41</v>
      </c>
      <c r="AL4575" s="1">
        <v>750.53</v>
      </c>
    </row>
    <row r="4576" spans="1:38" x14ac:dyDescent="0.3">
      <c r="A4576" s="1">
        <v>81874</v>
      </c>
      <c r="B4576" s="1" t="s">
        <v>284</v>
      </c>
      <c r="C4576" s="1" t="s">
        <v>231</v>
      </c>
      <c r="D4576" s="2">
        <f t="shared" si="244"/>
        <v>2020</v>
      </c>
      <c r="E4576" s="2">
        <f t="shared" si="245"/>
        <v>8</v>
      </c>
      <c r="G4576" s="4">
        <v>44054</v>
      </c>
      <c r="H4576" s="1">
        <v>6605701</v>
      </c>
      <c r="I4576" s="1">
        <v>661059</v>
      </c>
      <c r="J4576" s="1" t="s">
        <v>187</v>
      </c>
      <c r="K4576" s="1"/>
      <c r="L4576" s="1" t="str">
        <f t="shared" si="246"/>
        <v xml:space="preserve">Oxundasjön </v>
      </c>
      <c r="M4576" s="1" t="s">
        <v>211</v>
      </c>
      <c r="N4576" s="1">
        <v>1</v>
      </c>
      <c r="O4576" s="1">
        <v>1</v>
      </c>
      <c r="Q4576" s="1">
        <v>22.3</v>
      </c>
      <c r="R4576" s="1">
        <v>9.4</v>
      </c>
      <c r="S4576" s="1">
        <v>106</v>
      </c>
    </row>
    <row r="4577" spans="1:91" x14ac:dyDescent="0.3">
      <c r="A4577" s="1">
        <v>81875</v>
      </c>
      <c r="B4577" s="1" t="s">
        <v>284</v>
      </c>
      <c r="C4577" s="1" t="s">
        <v>231</v>
      </c>
      <c r="D4577" s="2">
        <f t="shared" si="244"/>
        <v>2020</v>
      </c>
      <c r="E4577" s="2">
        <f t="shared" si="245"/>
        <v>8</v>
      </c>
      <c r="G4577" s="4">
        <v>44054</v>
      </c>
      <c r="H4577" s="1">
        <v>6605701</v>
      </c>
      <c r="I4577" s="1">
        <v>661059</v>
      </c>
      <c r="J4577" s="1" t="s">
        <v>187</v>
      </c>
      <c r="K4577" s="1"/>
      <c r="L4577" s="1" t="str">
        <f t="shared" si="246"/>
        <v xml:space="preserve">Oxundasjön </v>
      </c>
      <c r="M4577" s="1" t="s">
        <v>212</v>
      </c>
      <c r="N4577" s="1">
        <v>2</v>
      </c>
      <c r="O4577" s="1">
        <v>2</v>
      </c>
      <c r="Q4577" s="1">
        <v>21.9</v>
      </c>
      <c r="R4577" s="1">
        <v>9</v>
      </c>
      <c r="S4577" s="1">
        <v>102</v>
      </c>
    </row>
    <row r="4578" spans="1:91" x14ac:dyDescent="0.3">
      <c r="A4578" s="1">
        <v>81876</v>
      </c>
      <c r="B4578" s="1" t="s">
        <v>284</v>
      </c>
      <c r="C4578" s="1" t="s">
        <v>231</v>
      </c>
      <c r="D4578" s="2">
        <f t="shared" si="244"/>
        <v>2020</v>
      </c>
      <c r="E4578" s="2">
        <f t="shared" si="245"/>
        <v>8</v>
      </c>
      <c r="G4578" s="4">
        <v>44054</v>
      </c>
      <c r="H4578" s="1">
        <v>6605701</v>
      </c>
      <c r="I4578" s="1">
        <v>661059</v>
      </c>
      <c r="J4578" s="1" t="s">
        <v>187</v>
      </c>
      <c r="K4578" s="1"/>
      <c r="L4578" s="1" t="str">
        <f t="shared" si="246"/>
        <v xml:space="preserve">Oxundasjön </v>
      </c>
      <c r="M4578" s="1" t="s">
        <v>213</v>
      </c>
      <c r="N4578" s="1">
        <v>3</v>
      </c>
      <c r="O4578" s="1">
        <v>3</v>
      </c>
      <c r="Q4578" s="1">
        <v>21</v>
      </c>
      <c r="R4578" s="1">
        <v>5.66</v>
      </c>
      <c r="S4578" s="1">
        <v>62</v>
      </c>
    </row>
    <row r="4579" spans="1:91" x14ac:dyDescent="0.3">
      <c r="A4579" s="1">
        <v>81877</v>
      </c>
      <c r="B4579" s="1" t="s">
        <v>284</v>
      </c>
      <c r="C4579" s="1" t="s">
        <v>231</v>
      </c>
      <c r="D4579" s="2">
        <f t="shared" si="244"/>
        <v>2020</v>
      </c>
      <c r="E4579" s="2">
        <f t="shared" si="245"/>
        <v>8</v>
      </c>
      <c r="G4579" s="4">
        <v>44054</v>
      </c>
      <c r="H4579" s="1">
        <v>6605701</v>
      </c>
      <c r="I4579" s="1">
        <v>661059</v>
      </c>
      <c r="J4579" s="1" t="s">
        <v>187</v>
      </c>
      <c r="K4579" s="1"/>
      <c r="L4579" s="1" t="str">
        <f t="shared" si="246"/>
        <v xml:space="preserve">Oxundasjön </v>
      </c>
      <c r="M4579" s="1" t="s">
        <v>214</v>
      </c>
      <c r="N4579" s="1">
        <v>4</v>
      </c>
      <c r="O4579" s="1">
        <v>4</v>
      </c>
      <c r="Q4579" s="1">
        <v>20.399999999999999</v>
      </c>
      <c r="R4579" s="1">
        <v>4</v>
      </c>
      <c r="S4579" s="1">
        <v>44</v>
      </c>
    </row>
    <row r="4580" spans="1:91" x14ac:dyDescent="0.3">
      <c r="A4580" s="1">
        <v>81878</v>
      </c>
      <c r="B4580" s="1" t="s">
        <v>284</v>
      </c>
      <c r="C4580" s="1" t="s">
        <v>231</v>
      </c>
      <c r="D4580" s="2">
        <f t="shared" si="244"/>
        <v>2020</v>
      </c>
      <c r="E4580" s="2">
        <f t="shared" si="245"/>
        <v>8</v>
      </c>
      <c r="G4580" s="4">
        <v>44054</v>
      </c>
      <c r="H4580" s="1">
        <v>6605701</v>
      </c>
      <c r="I4580" s="1">
        <v>661059</v>
      </c>
      <c r="J4580" s="1" t="s">
        <v>187</v>
      </c>
      <c r="K4580" s="1"/>
      <c r="L4580" s="1" t="str">
        <f t="shared" si="246"/>
        <v xml:space="preserve">Oxundasjön </v>
      </c>
      <c r="M4580" s="1" t="s">
        <v>217</v>
      </c>
      <c r="N4580" s="1">
        <v>5</v>
      </c>
      <c r="O4580" s="1">
        <v>5</v>
      </c>
      <c r="Q4580" s="1">
        <v>19.899999999999999</v>
      </c>
      <c r="R4580" s="1">
        <v>1.6</v>
      </c>
      <c r="S4580" s="1">
        <v>18</v>
      </c>
    </row>
    <row r="4581" spans="1:91" x14ac:dyDescent="0.3">
      <c r="A4581" s="1">
        <v>81879</v>
      </c>
      <c r="B4581" s="1" t="s">
        <v>284</v>
      </c>
      <c r="C4581" s="1" t="s">
        <v>231</v>
      </c>
      <c r="D4581" s="2">
        <f t="shared" si="244"/>
        <v>2020</v>
      </c>
      <c r="E4581" s="2">
        <f t="shared" si="245"/>
        <v>8</v>
      </c>
      <c r="G4581" s="4">
        <v>44054</v>
      </c>
      <c r="H4581" s="1">
        <v>6605701</v>
      </c>
      <c r="I4581" s="1">
        <v>661059</v>
      </c>
      <c r="J4581" s="1" t="s">
        <v>187</v>
      </c>
      <c r="K4581" s="1"/>
      <c r="L4581" s="1" t="str">
        <f t="shared" si="246"/>
        <v xml:space="preserve">Oxundasjön </v>
      </c>
      <c r="M4581" s="1" t="s">
        <v>286</v>
      </c>
      <c r="N4581" s="1">
        <v>5.5</v>
      </c>
      <c r="O4581" s="1">
        <v>5.5</v>
      </c>
      <c r="Q4581" s="1">
        <v>19.7</v>
      </c>
      <c r="R4581" s="1">
        <v>0.6</v>
      </c>
      <c r="S4581" s="1">
        <v>7</v>
      </c>
      <c r="V4581" s="1">
        <v>2.4933421487</v>
      </c>
      <c r="W4581" s="1">
        <v>224.5968</v>
      </c>
      <c r="X4581" s="1">
        <v>3.9056860846928765</v>
      </c>
      <c r="Y4581" s="1">
        <v>6.0999999999999999E-2</v>
      </c>
      <c r="Z4581" s="1">
        <v>60.98</v>
      </c>
      <c r="AA4581" s="1">
        <v>6.2</v>
      </c>
      <c r="AD4581" s="1">
        <v>10.119999999999999</v>
      </c>
      <c r="AE4581" s="1">
        <v>7.66</v>
      </c>
      <c r="AK4581" s="1">
        <v>92.51</v>
      </c>
      <c r="AL4581" s="1">
        <v>965.67</v>
      </c>
    </row>
    <row r="4582" spans="1:91" x14ac:dyDescent="0.3">
      <c r="A4582" s="1">
        <v>78220</v>
      </c>
      <c r="B4582" s="1" t="s">
        <v>288</v>
      </c>
      <c r="C4582" s="1" t="s">
        <v>289</v>
      </c>
      <c r="D4582" s="2">
        <f t="shared" ref="D4582:D4605" si="247">YEAR(G4582)</f>
        <v>2020</v>
      </c>
      <c r="E4582" s="2">
        <f t="shared" ref="E4582:E4605" si="248">MONTH(G4582)</f>
        <v>4</v>
      </c>
      <c r="G4582" s="4">
        <v>43943</v>
      </c>
      <c r="H4582" s="1">
        <v>6593563</v>
      </c>
      <c r="I4582" s="1">
        <v>669814</v>
      </c>
      <c r="J4582" s="1" t="s">
        <v>189</v>
      </c>
      <c r="K4582" s="1"/>
      <c r="L4582" s="1" t="str">
        <f t="shared" si="246"/>
        <v xml:space="preserve">Rösjön </v>
      </c>
      <c r="M4582" s="1" t="s">
        <v>285</v>
      </c>
      <c r="N4582" s="1">
        <v>0.5</v>
      </c>
      <c r="O4582" s="1">
        <v>0.5</v>
      </c>
      <c r="P4582" s="1">
        <v>3.5</v>
      </c>
      <c r="Q4582" s="1">
        <v>9</v>
      </c>
      <c r="R4582" s="1">
        <v>12.7</v>
      </c>
      <c r="S4582" s="1">
        <v>108</v>
      </c>
      <c r="W4582" s="1">
        <v>1.4213</v>
      </c>
      <c r="X4582" s="1">
        <v>5.1414006691493708E-2</v>
      </c>
      <c r="Y4582" s="1">
        <v>5.2999999999999999E-2</v>
      </c>
      <c r="Z4582" s="1">
        <v>0</v>
      </c>
      <c r="AA4582" s="1">
        <v>2.2000000000000002</v>
      </c>
      <c r="AD4582" s="1">
        <v>16.37</v>
      </c>
      <c r="AE4582" s="1">
        <v>8.34</v>
      </c>
      <c r="AI4582" s="1">
        <v>9.4990000000000006</v>
      </c>
      <c r="AJ4582" s="1">
        <v>9.3149999999999995</v>
      </c>
      <c r="AK4582" s="1">
        <v>17.66</v>
      </c>
      <c r="AL4582" s="1">
        <v>548.47</v>
      </c>
      <c r="AR4582" s="1">
        <v>34.4</v>
      </c>
      <c r="AS4582" s="1">
        <v>3.49E-2</v>
      </c>
      <c r="AT4582" s="1">
        <v>2.4700000000000002</v>
      </c>
      <c r="AU4582" s="1">
        <v>4.4800000000000004</v>
      </c>
      <c r="AW4582" s="1">
        <v>16.600000000000001</v>
      </c>
      <c r="AY4582" s="1">
        <v>1.95</v>
      </c>
      <c r="AZ4582" s="1">
        <v>37.9</v>
      </c>
      <c r="BA4582" s="1">
        <v>0.63300000000000001</v>
      </c>
      <c r="BB4582" s="1">
        <v>17.399999999999899</v>
      </c>
      <c r="BC4582" s="1">
        <v>2.3E-3</v>
      </c>
      <c r="BD4582" s="1">
        <v>4.39999999999999E-2</v>
      </c>
      <c r="BE4582" s="1">
        <v>7.44999999999999E-2</v>
      </c>
      <c r="BF4582" s="1">
        <v>0.96</v>
      </c>
      <c r="BG4582" s="1">
        <v>1E-3</v>
      </c>
      <c r="BH4582" s="1">
        <v>11.4</v>
      </c>
      <c r="BI4582" s="1">
        <v>0.65600000000000003</v>
      </c>
      <c r="BJ4582" s="1">
        <v>0.56999999999999895</v>
      </c>
      <c r="BK4582" s="1">
        <v>12.8</v>
      </c>
      <c r="BL4582" s="1">
        <v>9.3700000000000006E-2</v>
      </c>
      <c r="BM4582" s="1">
        <v>84</v>
      </c>
      <c r="BN4582" s="1">
        <v>0.29199999999999898</v>
      </c>
      <c r="BO4582" s="1">
        <v>0.80600000000000005</v>
      </c>
      <c r="BQ4582" s="1">
        <v>3.8</v>
      </c>
      <c r="BR4582" s="1">
        <v>1E-3</v>
      </c>
      <c r="BS4582" s="1">
        <v>2.7799999999999901E-2</v>
      </c>
      <c r="BT4582" s="1">
        <v>4.34999999999999E-2</v>
      </c>
      <c r="BU4582" s="1">
        <v>0.83699999999999897</v>
      </c>
      <c r="BV4582" s="1">
        <v>0.34699999999999898</v>
      </c>
      <c r="BW4582" s="1">
        <v>0.49</v>
      </c>
      <c r="BX4582" s="1">
        <v>5.0000000000000001E-3</v>
      </c>
      <c r="BY4582" s="1">
        <v>0.55400000000000005</v>
      </c>
      <c r="BZ4582" s="1">
        <v>33.6</v>
      </c>
      <c r="CA4582" s="1">
        <v>4.42</v>
      </c>
      <c r="CC4582" s="1">
        <v>7.7499999999999904E-3</v>
      </c>
      <c r="CD4582" s="1">
        <v>2.44</v>
      </c>
      <c r="CE4582" s="1">
        <v>16.5</v>
      </c>
      <c r="CF4582" s="1">
        <v>1.82</v>
      </c>
      <c r="CG4582" s="1">
        <v>0.65</v>
      </c>
      <c r="CH4582" s="1">
        <v>16</v>
      </c>
      <c r="CI4582" s="1">
        <v>1E-3</v>
      </c>
      <c r="CJ4582" s="1">
        <v>0.69899999999999896</v>
      </c>
      <c r="CK4582" s="1">
        <v>5.72</v>
      </c>
      <c r="CL4582" s="1">
        <v>0.22800000000000001</v>
      </c>
      <c r="CM4582" s="1">
        <v>82.8</v>
      </c>
    </row>
    <row r="4583" spans="1:91" x14ac:dyDescent="0.3">
      <c r="A4583" s="1">
        <v>78221</v>
      </c>
      <c r="B4583" s="1" t="s">
        <v>288</v>
      </c>
      <c r="C4583" s="1" t="s">
        <v>289</v>
      </c>
      <c r="D4583" s="2">
        <f t="shared" si="247"/>
        <v>2020</v>
      </c>
      <c r="E4583" s="2">
        <f t="shared" si="248"/>
        <v>4</v>
      </c>
      <c r="G4583" s="4">
        <v>43943</v>
      </c>
      <c r="H4583" s="1">
        <v>6593563</v>
      </c>
      <c r="I4583" s="1">
        <v>669814</v>
      </c>
      <c r="J4583" s="1" t="s">
        <v>189</v>
      </c>
      <c r="K4583" s="1"/>
      <c r="L4583" s="1" t="str">
        <f t="shared" si="246"/>
        <v xml:space="preserve">Rösjön </v>
      </c>
      <c r="M4583" s="1" t="s">
        <v>211</v>
      </c>
      <c r="N4583" s="1">
        <v>1</v>
      </c>
      <c r="O4583" s="1">
        <v>1</v>
      </c>
      <c r="Q4583" s="1">
        <v>9</v>
      </c>
      <c r="R4583" s="1">
        <v>12.7</v>
      </c>
      <c r="S4583" s="1">
        <v>108</v>
      </c>
    </row>
    <row r="4584" spans="1:91" x14ac:dyDescent="0.3">
      <c r="A4584" s="1">
        <v>78222</v>
      </c>
      <c r="B4584" s="1" t="s">
        <v>288</v>
      </c>
      <c r="C4584" s="1" t="s">
        <v>289</v>
      </c>
      <c r="D4584" s="2">
        <f t="shared" si="247"/>
        <v>2020</v>
      </c>
      <c r="E4584" s="2">
        <f t="shared" si="248"/>
        <v>4</v>
      </c>
      <c r="G4584" s="4">
        <v>43943</v>
      </c>
      <c r="H4584" s="1">
        <v>6593563</v>
      </c>
      <c r="I4584" s="1">
        <v>669814</v>
      </c>
      <c r="J4584" s="1" t="s">
        <v>189</v>
      </c>
      <c r="K4584" s="1"/>
      <c r="L4584" s="1" t="str">
        <f t="shared" si="246"/>
        <v xml:space="preserve">Rösjön </v>
      </c>
      <c r="M4584" s="1" t="s">
        <v>212</v>
      </c>
      <c r="N4584" s="1">
        <v>2</v>
      </c>
      <c r="O4584" s="1">
        <v>2</v>
      </c>
      <c r="Q4584" s="1">
        <v>8.6999999999999993</v>
      </c>
      <c r="R4584" s="1">
        <v>12.7</v>
      </c>
      <c r="S4584" s="1">
        <v>108</v>
      </c>
    </row>
    <row r="4585" spans="1:91" x14ac:dyDescent="0.3">
      <c r="A4585" s="1">
        <v>78223</v>
      </c>
      <c r="B4585" s="1" t="s">
        <v>288</v>
      </c>
      <c r="C4585" s="1" t="s">
        <v>289</v>
      </c>
      <c r="D4585" s="2">
        <f t="shared" si="247"/>
        <v>2020</v>
      </c>
      <c r="E4585" s="2">
        <f t="shared" si="248"/>
        <v>4</v>
      </c>
      <c r="G4585" s="4">
        <v>43943</v>
      </c>
      <c r="H4585" s="1">
        <v>6593563</v>
      </c>
      <c r="I4585" s="1">
        <v>669814</v>
      </c>
      <c r="J4585" s="1" t="s">
        <v>189</v>
      </c>
      <c r="K4585" s="1"/>
      <c r="L4585" s="1" t="str">
        <f t="shared" si="246"/>
        <v xml:space="preserve">Rösjön </v>
      </c>
      <c r="M4585" s="1" t="s">
        <v>213</v>
      </c>
      <c r="N4585" s="1">
        <v>3</v>
      </c>
      <c r="O4585" s="1">
        <v>3</v>
      </c>
      <c r="Q4585" s="1">
        <v>8.4</v>
      </c>
      <c r="R4585" s="1">
        <v>12.7</v>
      </c>
      <c r="S4585" s="1">
        <v>107</v>
      </c>
    </row>
    <row r="4586" spans="1:91" x14ac:dyDescent="0.3">
      <c r="A4586" s="1">
        <v>78224</v>
      </c>
      <c r="B4586" s="1" t="s">
        <v>288</v>
      </c>
      <c r="C4586" s="1" t="s">
        <v>289</v>
      </c>
      <c r="D4586" s="2">
        <f t="shared" si="247"/>
        <v>2020</v>
      </c>
      <c r="E4586" s="2">
        <f t="shared" si="248"/>
        <v>4</v>
      </c>
      <c r="G4586" s="4">
        <v>43943</v>
      </c>
      <c r="H4586" s="1">
        <v>6593563</v>
      </c>
      <c r="I4586" s="1">
        <v>669814</v>
      </c>
      <c r="J4586" s="1" t="s">
        <v>189</v>
      </c>
      <c r="K4586" s="1"/>
      <c r="L4586" s="1" t="str">
        <f t="shared" si="246"/>
        <v xml:space="preserve">Rösjön </v>
      </c>
      <c r="M4586" s="1" t="s">
        <v>214</v>
      </c>
      <c r="N4586" s="1">
        <v>4</v>
      </c>
      <c r="O4586" s="1">
        <v>4</v>
      </c>
      <c r="Q4586" s="1">
        <v>8</v>
      </c>
      <c r="R4586" s="1">
        <v>12.7</v>
      </c>
      <c r="S4586" s="1">
        <v>106</v>
      </c>
    </row>
    <row r="4587" spans="1:91" x14ac:dyDescent="0.3">
      <c r="A4587" s="1">
        <v>78225</v>
      </c>
      <c r="B4587" s="1" t="s">
        <v>288</v>
      </c>
      <c r="C4587" s="1" t="s">
        <v>289</v>
      </c>
      <c r="D4587" s="2">
        <f t="shared" si="247"/>
        <v>2020</v>
      </c>
      <c r="E4587" s="2">
        <f t="shared" si="248"/>
        <v>4</v>
      </c>
      <c r="G4587" s="4">
        <v>43943</v>
      </c>
      <c r="H4587" s="1">
        <v>6593563</v>
      </c>
      <c r="I4587" s="1">
        <v>669814</v>
      </c>
      <c r="J4587" s="1" t="s">
        <v>189</v>
      </c>
      <c r="K4587" s="1"/>
      <c r="L4587" s="1" t="str">
        <f t="shared" si="246"/>
        <v xml:space="preserve">Rösjön </v>
      </c>
      <c r="M4587" s="1" t="s">
        <v>217</v>
      </c>
      <c r="N4587" s="1">
        <v>5</v>
      </c>
      <c r="O4587" s="1">
        <v>5</v>
      </c>
      <c r="Q4587" s="1">
        <v>7.7</v>
      </c>
      <c r="R4587" s="1">
        <v>12.4</v>
      </c>
      <c r="S4587" s="1">
        <v>102</v>
      </c>
    </row>
    <row r="4588" spans="1:91" x14ac:dyDescent="0.3">
      <c r="A4588" s="1">
        <v>78226</v>
      </c>
      <c r="B4588" s="1" t="s">
        <v>288</v>
      </c>
      <c r="C4588" s="1" t="s">
        <v>289</v>
      </c>
      <c r="D4588" s="2">
        <f t="shared" si="247"/>
        <v>2020</v>
      </c>
      <c r="E4588" s="2">
        <f t="shared" si="248"/>
        <v>4</v>
      </c>
      <c r="G4588" s="4">
        <v>43943</v>
      </c>
      <c r="H4588" s="1">
        <v>6593563</v>
      </c>
      <c r="I4588" s="1">
        <v>669814</v>
      </c>
      <c r="J4588" s="1" t="s">
        <v>189</v>
      </c>
      <c r="K4588" s="1"/>
      <c r="L4588" s="1" t="str">
        <f t="shared" si="246"/>
        <v xml:space="preserve">Rösjön </v>
      </c>
      <c r="M4588" s="1" t="s">
        <v>218</v>
      </c>
      <c r="N4588" s="1">
        <v>6</v>
      </c>
      <c r="O4588" s="1">
        <v>6</v>
      </c>
      <c r="Q4588" s="1">
        <v>7.3</v>
      </c>
      <c r="R4588" s="1">
        <v>11.9</v>
      </c>
      <c r="S4588" s="1">
        <v>98</v>
      </c>
    </row>
    <row r="4589" spans="1:91" x14ac:dyDescent="0.3">
      <c r="A4589" s="1">
        <v>78227</v>
      </c>
      <c r="B4589" s="1" t="s">
        <v>288</v>
      </c>
      <c r="C4589" s="1" t="s">
        <v>289</v>
      </c>
      <c r="D4589" s="2">
        <f t="shared" si="247"/>
        <v>2020</v>
      </c>
      <c r="E4589" s="2">
        <f t="shared" si="248"/>
        <v>4</v>
      </c>
      <c r="G4589" s="4">
        <v>43943</v>
      </c>
      <c r="H4589" s="1">
        <v>6593563</v>
      </c>
      <c r="I4589" s="1">
        <v>669814</v>
      </c>
      <c r="J4589" s="1" t="s">
        <v>189</v>
      </c>
      <c r="K4589" s="1"/>
      <c r="L4589" s="1" t="str">
        <f t="shared" si="246"/>
        <v xml:space="preserve">Rösjön </v>
      </c>
      <c r="M4589" s="1" t="s">
        <v>286</v>
      </c>
      <c r="N4589" s="1">
        <v>7</v>
      </c>
      <c r="O4589" s="1">
        <v>7</v>
      </c>
      <c r="Q4589" s="1">
        <v>7.2</v>
      </c>
      <c r="R4589" s="1">
        <v>11.8</v>
      </c>
      <c r="S4589" s="1">
        <v>97</v>
      </c>
    </row>
    <row r="4590" spans="1:91" x14ac:dyDescent="0.3">
      <c r="A4590" s="1">
        <v>78228</v>
      </c>
      <c r="B4590" s="1" t="s">
        <v>288</v>
      </c>
      <c r="C4590" s="1" t="s">
        <v>289</v>
      </c>
      <c r="D4590" s="2">
        <f t="shared" si="247"/>
        <v>2020</v>
      </c>
      <c r="E4590" s="2">
        <f t="shared" si="248"/>
        <v>4</v>
      </c>
      <c r="G4590" s="4">
        <v>43943</v>
      </c>
      <c r="H4590" s="1">
        <v>6594775</v>
      </c>
      <c r="I4590" s="1">
        <v>668514</v>
      </c>
      <c r="J4590" s="1" t="s">
        <v>192</v>
      </c>
      <c r="K4590" s="1"/>
      <c r="L4590" s="1" t="str">
        <f t="shared" si="246"/>
        <v xml:space="preserve">Väsjön </v>
      </c>
      <c r="M4590" s="1" t="s">
        <v>285</v>
      </c>
      <c r="N4590" s="1">
        <v>0.5</v>
      </c>
      <c r="O4590" s="1">
        <v>0.5</v>
      </c>
      <c r="P4590" s="1">
        <v>3</v>
      </c>
      <c r="Q4590" s="1">
        <v>10.5</v>
      </c>
      <c r="R4590" s="1">
        <v>12.8</v>
      </c>
      <c r="S4590" s="1">
        <v>113</v>
      </c>
      <c r="W4590" s="1">
        <v>3.8923999999999999</v>
      </c>
      <c r="X4590" s="1">
        <v>0.1320654280741515</v>
      </c>
      <c r="Y4590" s="1">
        <v>7.1999999999999995E-2</v>
      </c>
      <c r="Z4590" s="1">
        <v>0</v>
      </c>
      <c r="AA4590" s="1">
        <v>1.56</v>
      </c>
      <c r="AD4590" s="1">
        <v>59.71</v>
      </c>
      <c r="AE4590" s="1">
        <v>8.26</v>
      </c>
      <c r="AI4590" s="1">
        <v>13.47</v>
      </c>
      <c r="AJ4590" s="1">
        <v>12.54</v>
      </c>
      <c r="AK4590" s="1">
        <v>17.5</v>
      </c>
      <c r="AL4590" s="1">
        <v>711.84</v>
      </c>
      <c r="AR4590" s="1">
        <v>66.599999999999895</v>
      </c>
      <c r="AS4590" s="1">
        <v>0.02</v>
      </c>
      <c r="AT4590" s="1">
        <v>6.35</v>
      </c>
      <c r="AU4590" s="1">
        <v>8.6300000000000008</v>
      </c>
      <c r="AW4590" s="1">
        <v>45.2</v>
      </c>
      <c r="AY4590" s="1">
        <v>0.80100000000000005</v>
      </c>
      <c r="AZ4590" s="1">
        <v>16.3</v>
      </c>
      <c r="BA4590" s="1">
        <v>0.66900000000000004</v>
      </c>
      <c r="BB4590" s="1">
        <v>35</v>
      </c>
      <c r="BC4590" s="1">
        <v>3.1800000000000001E-3</v>
      </c>
      <c r="BD4590" s="1">
        <v>6.4399999999999902E-2</v>
      </c>
      <c r="BE4590" s="1">
        <v>0.108</v>
      </c>
      <c r="BF4590" s="1">
        <v>1.57</v>
      </c>
      <c r="BG4590" s="1">
        <v>1E-3</v>
      </c>
      <c r="BH4590" s="1">
        <v>13.2</v>
      </c>
      <c r="BI4590" s="1">
        <v>3.02</v>
      </c>
      <c r="BJ4590" s="1">
        <v>0.98799999999999899</v>
      </c>
      <c r="BK4590" s="1">
        <v>12.4</v>
      </c>
      <c r="BL4590" s="1">
        <v>9.6100000000000005E-2</v>
      </c>
      <c r="BM4590" s="1">
        <v>176</v>
      </c>
      <c r="BN4590" s="1">
        <v>0.48099999999999898</v>
      </c>
      <c r="BO4590" s="1">
        <v>0.75700000000000001</v>
      </c>
      <c r="BQ4590" s="1">
        <v>7.73</v>
      </c>
      <c r="BR4590" s="1">
        <v>3.1700000000000001E-3</v>
      </c>
      <c r="BS4590" s="1">
        <v>6.5699999999999897E-2</v>
      </c>
      <c r="BT4590" s="1">
        <v>0.13100000000000001</v>
      </c>
      <c r="BU4590" s="1">
        <v>1.24</v>
      </c>
      <c r="BV4590" s="1">
        <v>0.55200000000000005</v>
      </c>
      <c r="BW4590" s="1">
        <v>0.85099999999999898</v>
      </c>
      <c r="BX4590" s="1">
        <v>5.0000000000000001E-3</v>
      </c>
      <c r="BY4590" s="1">
        <v>0.54200000000000004</v>
      </c>
      <c r="BZ4590" s="1">
        <v>65.599999999999895</v>
      </c>
      <c r="CA4590" s="1">
        <v>8.49</v>
      </c>
      <c r="CC4590" s="1">
        <v>7.2199999999999903E-3</v>
      </c>
      <c r="CD4590" s="1">
        <v>6.22</v>
      </c>
      <c r="CE4590" s="1">
        <v>44.7</v>
      </c>
      <c r="CF4590" s="1">
        <v>0.72099999999999898</v>
      </c>
      <c r="CG4590" s="1">
        <v>0.65400000000000003</v>
      </c>
      <c r="CH4590" s="1">
        <v>33</v>
      </c>
      <c r="CI4590" s="1">
        <v>1E-3</v>
      </c>
      <c r="CJ4590" s="1">
        <v>3.24</v>
      </c>
      <c r="CK4590" s="1">
        <v>6.26</v>
      </c>
      <c r="CL4590" s="1">
        <v>0.46200000000000002</v>
      </c>
      <c r="CM4590" s="1">
        <v>173</v>
      </c>
    </row>
    <row r="4591" spans="1:91" x14ac:dyDescent="0.3">
      <c r="A4591" s="1">
        <v>78229</v>
      </c>
      <c r="B4591" s="1" t="s">
        <v>288</v>
      </c>
      <c r="C4591" s="1" t="s">
        <v>289</v>
      </c>
      <c r="D4591" s="2">
        <f t="shared" si="247"/>
        <v>2020</v>
      </c>
      <c r="E4591" s="2">
        <f t="shared" si="248"/>
        <v>4</v>
      </c>
      <c r="G4591" s="4">
        <v>43943</v>
      </c>
      <c r="H4591" s="1">
        <v>6594775</v>
      </c>
      <c r="I4591" s="1">
        <v>668514</v>
      </c>
      <c r="J4591" s="1" t="s">
        <v>192</v>
      </c>
      <c r="K4591" s="1"/>
      <c r="L4591" s="1" t="str">
        <f t="shared" si="246"/>
        <v xml:space="preserve">Väsjön </v>
      </c>
      <c r="M4591" s="1" t="s">
        <v>211</v>
      </c>
      <c r="N4591" s="1">
        <v>1</v>
      </c>
      <c r="O4591" s="1">
        <v>1</v>
      </c>
      <c r="Q4591" s="1">
        <v>10.5</v>
      </c>
      <c r="R4591" s="1">
        <v>12.8</v>
      </c>
      <c r="S4591" s="1">
        <v>113</v>
      </c>
    </row>
    <row r="4592" spans="1:91" x14ac:dyDescent="0.3">
      <c r="A4592" s="1">
        <v>78230</v>
      </c>
      <c r="B4592" s="1" t="s">
        <v>288</v>
      </c>
      <c r="C4592" s="1" t="s">
        <v>289</v>
      </c>
      <c r="D4592" s="2">
        <f t="shared" si="247"/>
        <v>2020</v>
      </c>
      <c r="E4592" s="2">
        <f t="shared" si="248"/>
        <v>4</v>
      </c>
      <c r="G4592" s="4">
        <v>43943</v>
      </c>
      <c r="H4592" s="1">
        <v>6594775</v>
      </c>
      <c r="I4592" s="1">
        <v>668514</v>
      </c>
      <c r="J4592" s="1" t="s">
        <v>192</v>
      </c>
      <c r="K4592" s="1"/>
      <c r="L4592" s="1" t="str">
        <f t="shared" si="246"/>
        <v xml:space="preserve">Väsjön </v>
      </c>
      <c r="M4592" s="1" t="s">
        <v>212</v>
      </c>
      <c r="N4592" s="1">
        <v>2</v>
      </c>
      <c r="O4592" s="1">
        <v>2</v>
      </c>
      <c r="Q4592" s="1">
        <v>10.4</v>
      </c>
      <c r="R4592" s="1">
        <v>12.8</v>
      </c>
      <c r="S4592" s="1">
        <v>113</v>
      </c>
    </row>
    <row r="4593" spans="1:91" x14ac:dyDescent="0.3">
      <c r="A4593" s="1">
        <v>78231</v>
      </c>
      <c r="B4593" s="1" t="s">
        <v>288</v>
      </c>
      <c r="C4593" s="1" t="s">
        <v>289</v>
      </c>
      <c r="D4593" s="2">
        <f t="shared" si="247"/>
        <v>2020</v>
      </c>
      <c r="E4593" s="2">
        <f t="shared" si="248"/>
        <v>4</v>
      </c>
      <c r="G4593" s="4">
        <v>43943</v>
      </c>
      <c r="H4593" s="1">
        <v>6594775</v>
      </c>
      <c r="I4593" s="1">
        <v>668514</v>
      </c>
      <c r="J4593" s="1" t="s">
        <v>192</v>
      </c>
      <c r="K4593" s="1"/>
      <c r="L4593" s="1" t="str">
        <f t="shared" si="246"/>
        <v xml:space="preserve">Väsjön </v>
      </c>
      <c r="M4593" s="1" t="s">
        <v>286</v>
      </c>
      <c r="N4593" s="1">
        <v>2.5</v>
      </c>
      <c r="O4593" s="1">
        <v>2.5</v>
      </c>
      <c r="Q4593" s="1">
        <v>9</v>
      </c>
      <c r="R4593" s="1">
        <v>12.7</v>
      </c>
      <c r="S4593" s="1">
        <v>108</v>
      </c>
    </row>
    <row r="4594" spans="1:91" x14ac:dyDescent="0.3">
      <c r="A4594" s="1">
        <v>83743</v>
      </c>
      <c r="B4594" s="1" t="s">
        <v>288</v>
      </c>
      <c r="C4594" s="1" t="s">
        <v>289</v>
      </c>
      <c r="D4594" s="2">
        <f t="shared" si="247"/>
        <v>2020</v>
      </c>
      <c r="E4594" s="2">
        <f t="shared" si="248"/>
        <v>10</v>
      </c>
      <c r="G4594" s="4">
        <v>44125</v>
      </c>
      <c r="H4594" s="1">
        <v>6593563</v>
      </c>
      <c r="I4594" s="1">
        <v>669814</v>
      </c>
      <c r="J4594" s="1" t="s">
        <v>189</v>
      </c>
      <c r="K4594" s="1"/>
      <c r="L4594" s="1" t="str">
        <f t="shared" si="246"/>
        <v xml:space="preserve">Rösjön </v>
      </c>
      <c r="M4594" s="1" t="s">
        <v>285</v>
      </c>
      <c r="N4594" s="1">
        <v>0.5</v>
      </c>
      <c r="O4594" s="1">
        <v>0.5</v>
      </c>
      <c r="P4594" s="1">
        <v>4</v>
      </c>
      <c r="Q4594" s="1">
        <v>9.1999999999999993</v>
      </c>
      <c r="R4594" s="1">
        <v>10.4</v>
      </c>
      <c r="S4594" s="1">
        <v>91</v>
      </c>
      <c r="W4594" s="1">
        <v>0.1114</v>
      </c>
      <c r="X4594" s="1">
        <v>1.90823551171301E-3</v>
      </c>
      <c r="Y4594" s="1">
        <v>3.4000000000000002E-2</v>
      </c>
      <c r="Z4594" s="1">
        <v>0</v>
      </c>
      <c r="AA4594" s="1">
        <v>1.79</v>
      </c>
      <c r="AD4594" s="1">
        <v>0.37</v>
      </c>
      <c r="AE4594" s="1">
        <v>8</v>
      </c>
      <c r="AI4594" s="1">
        <v>9.8279999999999994</v>
      </c>
      <c r="AJ4594" s="1">
        <v>9.0370000000000008</v>
      </c>
      <c r="AK4594" s="1">
        <v>18.489999999999998</v>
      </c>
      <c r="AL4594" s="1">
        <v>584.98</v>
      </c>
      <c r="AR4594" s="1">
        <v>32.1</v>
      </c>
      <c r="AS4594" s="1">
        <v>2.75E-2</v>
      </c>
      <c r="AT4594" s="1">
        <v>2.56</v>
      </c>
      <c r="AU4594" s="1">
        <v>4.6900000000000004</v>
      </c>
      <c r="AW4594" s="1">
        <v>18</v>
      </c>
      <c r="AY4594" s="1">
        <v>0.14399999999999899</v>
      </c>
      <c r="AZ4594" s="1">
        <v>20.9</v>
      </c>
      <c r="BA4594" s="1">
        <v>0.89200000000000002</v>
      </c>
      <c r="BB4594" s="1">
        <v>18.399999999999899</v>
      </c>
      <c r="BC4594" s="1" t="s">
        <v>290</v>
      </c>
      <c r="BD4594" s="1">
        <v>2.3199999999999901E-2</v>
      </c>
      <c r="BE4594" s="1">
        <v>5.2999999999999901E-2</v>
      </c>
      <c r="BF4594" s="1">
        <v>0.61499999999999899</v>
      </c>
      <c r="BG4594" s="1">
        <v>1E-3</v>
      </c>
      <c r="BH4594" s="1">
        <v>10</v>
      </c>
      <c r="BI4594" s="1">
        <v>0.69299999999999895</v>
      </c>
      <c r="BJ4594" s="1">
        <v>0.40899999999999898</v>
      </c>
      <c r="BK4594" s="1">
        <v>12.2</v>
      </c>
      <c r="BL4594" s="1">
        <v>0.107</v>
      </c>
      <c r="BM4594" s="1">
        <v>85.2</v>
      </c>
      <c r="BN4594" s="1">
        <v>0.27200000000000002</v>
      </c>
      <c r="BO4594" s="1">
        <v>0.96299999999999897</v>
      </c>
      <c r="BQ4594" s="1">
        <v>3.06</v>
      </c>
      <c r="BR4594" s="1">
        <v>3.27999999999999E-3</v>
      </c>
      <c r="BS4594" s="1">
        <v>1.67E-2</v>
      </c>
      <c r="BT4594" s="1">
        <v>1.5100000000000001E-2</v>
      </c>
      <c r="BU4594" s="1">
        <v>0.64400000000000002</v>
      </c>
      <c r="BV4594" s="1">
        <v>0.39</v>
      </c>
      <c r="BW4594" s="1">
        <v>0.376</v>
      </c>
      <c r="BX4594" s="1">
        <v>1.7399999999999902E-2</v>
      </c>
      <c r="BY4594" s="1">
        <v>1.1299999999999899</v>
      </c>
      <c r="BZ4594" s="1">
        <v>32</v>
      </c>
      <c r="CA4594" s="1">
        <v>4.66</v>
      </c>
      <c r="CC4594" s="1">
        <v>6.8100000000000001E-3</v>
      </c>
      <c r="CD4594" s="1">
        <v>2.5499999999999901</v>
      </c>
      <c r="CE4594" s="1">
        <v>18</v>
      </c>
      <c r="CF4594" s="1">
        <v>7.2800000000000004E-2</v>
      </c>
      <c r="CG4594" s="1">
        <v>1.0900000000000001</v>
      </c>
      <c r="CH4594" s="1">
        <v>18.100000000000001</v>
      </c>
      <c r="CI4594" s="1">
        <v>1E-3</v>
      </c>
      <c r="CJ4594" s="1">
        <v>0.83299999999999896</v>
      </c>
      <c r="CK4594" s="1">
        <v>9.68</v>
      </c>
      <c r="CL4594" s="1">
        <v>0.26700000000000002</v>
      </c>
      <c r="CM4594" s="1">
        <v>85.1</v>
      </c>
    </row>
    <row r="4595" spans="1:91" x14ac:dyDescent="0.3">
      <c r="A4595" s="1">
        <v>83744</v>
      </c>
      <c r="B4595" s="1" t="s">
        <v>288</v>
      </c>
      <c r="C4595" s="1" t="s">
        <v>289</v>
      </c>
      <c r="D4595" s="2">
        <f t="shared" si="247"/>
        <v>2020</v>
      </c>
      <c r="E4595" s="2">
        <f t="shared" si="248"/>
        <v>10</v>
      </c>
      <c r="G4595" s="4">
        <v>44125</v>
      </c>
      <c r="H4595" s="1">
        <v>6593563</v>
      </c>
      <c r="I4595" s="1">
        <v>669814</v>
      </c>
      <c r="J4595" s="1" t="s">
        <v>189</v>
      </c>
      <c r="K4595" s="1"/>
      <c r="L4595" s="1" t="str">
        <f t="shared" si="246"/>
        <v xml:space="preserve">Rösjön </v>
      </c>
      <c r="M4595" s="1" t="s">
        <v>211</v>
      </c>
      <c r="N4595" s="1">
        <v>1</v>
      </c>
      <c r="O4595" s="1">
        <v>1</v>
      </c>
      <c r="Q4595" s="1">
        <v>9.1999999999999993</v>
      </c>
      <c r="R4595" s="1">
        <v>10.4</v>
      </c>
      <c r="S4595" s="1">
        <v>91</v>
      </c>
    </row>
    <row r="4596" spans="1:91" x14ac:dyDescent="0.3">
      <c r="A4596" s="1">
        <v>83745</v>
      </c>
      <c r="B4596" s="1" t="s">
        <v>288</v>
      </c>
      <c r="C4596" s="1" t="s">
        <v>289</v>
      </c>
      <c r="D4596" s="2">
        <f t="shared" si="247"/>
        <v>2020</v>
      </c>
      <c r="E4596" s="2">
        <f t="shared" si="248"/>
        <v>10</v>
      </c>
      <c r="G4596" s="4">
        <v>44125</v>
      </c>
      <c r="H4596" s="1">
        <v>6593563</v>
      </c>
      <c r="I4596" s="1">
        <v>669814</v>
      </c>
      <c r="J4596" s="1" t="s">
        <v>189</v>
      </c>
      <c r="K4596" s="1"/>
      <c r="L4596" s="1" t="str">
        <f t="shared" si="246"/>
        <v xml:space="preserve">Rösjön </v>
      </c>
      <c r="M4596" s="1" t="s">
        <v>212</v>
      </c>
      <c r="N4596" s="1">
        <v>2</v>
      </c>
      <c r="O4596" s="1">
        <v>2</v>
      </c>
      <c r="Q4596" s="1">
        <v>9.1999999999999993</v>
      </c>
      <c r="R4596" s="1">
        <v>10.4</v>
      </c>
      <c r="S4596" s="1">
        <v>91</v>
      </c>
    </row>
    <row r="4597" spans="1:91" x14ac:dyDescent="0.3">
      <c r="A4597" s="1">
        <v>83746</v>
      </c>
      <c r="B4597" s="1" t="s">
        <v>288</v>
      </c>
      <c r="C4597" s="1" t="s">
        <v>289</v>
      </c>
      <c r="D4597" s="2">
        <f t="shared" si="247"/>
        <v>2020</v>
      </c>
      <c r="E4597" s="2">
        <f t="shared" si="248"/>
        <v>10</v>
      </c>
      <c r="G4597" s="4">
        <v>44125</v>
      </c>
      <c r="H4597" s="1">
        <v>6593563</v>
      </c>
      <c r="I4597" s="1">
        <v>669814</v>
      </c>
      <c r="J4597" s="1" t="s">
        <v>189</v>
      </c>
      <c r="K4597" s="1"/>
      <c r="L4597" s="1" t="str">
        <f t="shared" si="246"/>
        <v xml:space="preserve">Rösjön </v>
      </c>
      <c r="M4597" s="1" t="s">
        <v>213</v>
      </c>
      <c r="N4597" s="1">
        <v>3</v>
      </c>
      <c r="O4597" s="1">
        <v>3</v>
      </c>
      <c r="Q4597" s="1">
        <v>9.1999999999999993</v>
      </c>
      <c r="R4597" s="1">
        <v>10.4</v>
      </c>
      <c r="S4597" s="1">
        <v>90</v>
      </c>
    </row>
    <row r="4598" spans="1:91" x14ac:dyDescent="0.3">
      <c r="A4598" s="1">
        <v>83747</v>
      </c>
      <c r="B4598" s="1" t="s">
        <v>288</v>
      </c>
      <c r="C4598" s="1" t="s">
        <v>289</v>
      </c>
      <c r="D4598" s="2">
        <f t="shared" si="247"/>
        <v>2020</v>
      </c>
      <c r="E4598" s="2">
        <f t="shared" si="248"/>
        <v>10</v>
      </c>
      <c r="G4598" s="4">
        <v>44125</v>
      </c>
      <c r="H4598" s="1">
        <v>6593563</v>
      </c>
      <c r="I4598" s="1">
        <v>669814</v>
      </c>
      <c r="J4598" s="1" t="s">
        <v>189</v>
      </c>
      <c r="K4598" s="1"/>
      <c r="L4598" s="1" t="str">
        <f t="shared" si="246"/>
        <v xml:space="preserve">Rösjön </v>
      </c>
      <c r="M4598" s="1" t="s">
        <v>214</v>
      </c>
      <c r="N4598" s="1">
        <v>4</v>
      </c>
      <c r="O4598" s="1">
        <v>4</v>
      </c>
      <c r="Q4598" s="1">
        <v>9.1999999999999993</v>
      </c>
      <c r="R4598" s="1">
        <v>10.4</v>
      </c>
      <c r="S4598" s="1">
        <v>90</v>
      </c>
    </row>
    <row r="4599" spans="1:91" x14ac:dyDescent="0.3">
      <c r="A4599" s="1">
        <v>83748</v>
      </c>
      <c r="B4599" s="1" t="s">
        <v>288</v>
      </c>
      <c r="C4599" s="1" t="s">
        <v>289</v>
      </c>
      <c r="D4599" s="2">
        <f t="shared" si="247"/>
        <v>2020</v>
      </c>
      <c r="E4599" s="2">
        <f t="shared" si="248"/>
        <v>10</v>
      </c>
      <c r="G4599" s="4">
        <v>44125</v>
      </c>
      <c r="H4599" s="1">
        <v>6593563</v>
      </c>
      <c r="I4599" s="1">
        <v>669814</v>
      </c>
      <c r="J4599" s="1" t="s">
        <v>189</v>
      </c>
      <c r="K4599" s="1"/>
      <c r="L4599" s="1" t="str">
        <f t="shared" si="246"/>
        <v xml:space="preserve">Rösjön </v>
      </c>
      <c r="M4599" s="1" t="s">
        <v>217</v>
      </c>
      <c r="N4599" s="1">
        <v>5</v>
      </c>
      <c r="O4599" s="1">
        <v>5</v>
      </c>
      <c r="Q4599" s="1">
        <v>9.1999999999999993</v>
      </c>
      <c r="R4599" s="1">
        <v>10.3</v>
      </c>
      <c r="S4599" s="1">
        <v>90</v>
      </c>
    </row>
    <row r="4600" spans="1:91" x14ac:dyDescent="0.3">
      <c r="A4600" s="1">
        <v>83749</v>
      </c>
      <c r="B4600" s="1" t="s">
        <v>288</v>
      </c>
      <c r="C4600" s="1" t="s">
        <v>289</v>
      </c>
      <c r="D4600" s="2">
        <f t="shared" si="247"/>
        <v>2020</v>
      </c>
      <c r="E4600" s="2">
        <f t="shared" si="248"/>
        <v>10</v>
      </c>
      <c r="G4600" s="4">
        <v>44125</v>
      </c>
      <c r="H4600" s="1">
        <v>6593563</v>
      </c>
      <c r="I4600" s="1">
        <v>669814</v>
      </c>
      <c r="J4600" s="1" t="s">
        <v>189</v>
      </c>
      <c r="K4600" s="1"/>
      <c r="L4600" s="1" t="str">
        <f t="shared" si="246"/>
        <v xml:space="preserve">Rösjön </v>
      </c>
      <c r="M4600" s="1" t="s">
        <v>218</v>
      </c>
      <c r="N4600" s="1">
        <v>6</v>
      </c>
      <c r="O4600" s="1">
        <v>6</v>
      </c>
      <c r="Q4600" s="1">
        <v>9.1999999999999993</v>
      </c>
      <c r="R4600" s="1">
        <v>10.3</v>
      </c>
      <c r="S4600" s="1">
        <v>90</v>
      </c>
    </row>
    <row r="4601" spans="1:91" x14ac:dyDescent="0.3">
      <c r="A4601" s="1">
        <v>83750</v>
      </c>
      <c r="B4601" s="1" t="s">
        <v>288</v>
      </c>
      <c r="C4601" s="1" t="s">
        <v>289</v>
      </c>
      <c r="D4601" s="2">
        <f t="shared" si="247"/>
        <v>2020</v>
      </c>
      <c r="E4601" s="2">
        <f t="shared" si="248"/>
        <v>10</v>
      </c>
      <c r="G4601" s="4">
        <v>44125</v>
      </c>
      <c r="H4601" s="1">
        <v>6593563</v>
      </c>
      <c r="I4601" s="1">
        <v>669814</v>
      </c>
      <c r="J4601" s="1" t="s">
        <v>189</v>
      </c>
      <c r="K4601" s="1"/>
      <c r="L4601" s="1" t="str">
        <f t="shared" si="246"/>
        <v xml:space="preserve">Rösjön </v>
      </c>
      <c r="M4601" s="1" t="s">
        <v>286</v>
      </c>
      <c r="N4601" s="1">
        <v>7</v>
      </c>
      <c r="O4601" s="1">
        <v>7</v>
      </c>
      <c r="Q4601" s="1">
        <v>9.1999999999999993</v>
      </c>
      <c r="R4601" s="1">
        <v>10.3</v>
      </c>
      <c r="S4601" s="1">
        <v>89</v>
      </c>
    </row>
    <row r="4602" spans="1:91" x14ac:dyDescent="0.3">
      <c r="A4602" s="1">
        <v>83751</v>
      </c>
      <c r="B4602" s="1" t="s">
        <v>288</v>
      </c>
      <c r="C4602" s="1" t="s">
        <v>289</v>
      </c>
      <c r="D4602" s="2">
        <f t="shared" si="247"/>
        <v>2020</v>
      </c>
      <c r="E4602" s="2">
        <f t="shared" si="248"/>
        <v>10</v>
      </c>
      <c r="G4602" s="4">
        <v>44125</v>
      </c>
      <c r="H4602" s="1">
        <v>6594775</v>
      </c>
      <c r="I4602" s="1">
        <v>668514</v>
      </c>
      <c r="J4602" s="1" t="s">
        <v>192</v>
      </c>
      <c r="K4602" s="1"/>
      <c r="L4602" s="1" t="str">
        <f t="shared" si="246"/>
        <v xml:space="preserve">Väsjön </v>
      </c>
      <c r="M4602" s="1" t="s">
        <v>285</v>
      </c>
      <c r="N4602" s="1">
        <v>0.5</v>
      </c>
      <c r="O4602" s="1">
        <v>0.5</v>
      </c>
      <c r="P4602" s="1">
        <v>3</v>
      </c>
      <c r="Q4602" s="1">
        <v>7.2</v>
      </c>
      <c r="R4602" s="1">
        <v>10.1</v>
      </c>
      <c r="S4602" s="1">
        <v>83</v>
      </c>
      <c r="W4602" s="1">
        <v>0.77969999999999995</v>
      </c>
      <c r="X4602" s="1">
        <v>1.2794328341430719E-2</v>
      </c>
      <c r="Y4602" s="1">
        <v>5.7000000000000002E-2</v>
      </c>
      <c r="Z4602" s="1">
        <v>0</v>
      </c>
      <c r="AA4602" s="1">
        <v>1.59</v>
      </c>
      <c r="AD4602" s="1">
        <v>0.14000000000000001</v>
      </c>
      <c r="AE4602" s="1">
        <v>8.0500000000000007</v>
      </c>
      <c r="AI4602" s="1">
        <v>12.82</v>
      </c>
      <c r="AJ4602" s="1">
        <v>12.46</v>
      </c>
      <c r="AK4602" s="1">
        <v>14.98</v>
      </c>
      <c r="AL4602" s="1">
        <v>689.98</v>
      </c>
      <c r="AR4602" s="1">
        <v>62.7</v>
      </c>
      <c r="AS4602" s="1">
        <v>1.9599999999999899E-2</v>
      </c>
      <c r="AT4602" s="1">
        <v>6.85</v>
      </c>
      <c r="AU4602" s="1">
        <v>9.2899999999999903</v>
      </c>
      <c r="AW4602" s="1">
        <v>47.8</v>
      </c>
      <c r="AY4602" s="1">
        <v>0.624</v>
      </c>
      <c r="AZ4602" s="1">
        <v>15.1</v>
      </c>
      <c r="BA4602" s="1">
        <v>0.94599999999999895</v>
      </c>
      <c r="BB4602" s="1">
        <v>36.299999999999898</v>
      </c>
      <c r="BC4602" s="1">
        <v>6.4200000000000004E-3</v>
      </c>
      <c r="BD4602" s="1">
        <v>4.5400000000000003E-2</v>
      </c>
      <c r="BE4602" s="1">
        <v>5.8799999999999901E-2</v>
      </c>
      <c r="BF4602" s="1">
        <v>0.34100000000000003</v>
      </c>
      <c r="BG4602" s="1">
        <v>1E-3</v>
      </c>
      <c r="BH4602" s="1">
        <v>7.75</v>
      </c>
      <c r="BI4602" s="1">
        <v>2.83</v>
      </c>
      <c r="BJ4602" s="1">
        <v>0.60199999999999898</v>
      </c>
      <c r="BK4602" s="1">
        <v>12.2</v>
      </c>
      <c r="BL4602" s="1">
        <v>4.8399999999999901E-2</v>
      </c>
      <c r="BM4602" s="1">
        <v>189</v>
      </c>
      <c r="BN4602" s="1">
        <v>0.38600000000000001</v>
      </c>
      <c r="BO4602" s="1">
        <v>0.40200000000000002</v>
      </c>
      <c r="BQ4602" s="1">
        <v>0.98</v>
      </c>
      <c r="BR4602" s="1">
        <v>5.5199999999999902E-3</v>
      </c>
      <c r="BS4602" s="1">
        <v>2.9600000000000001E-2</v>
      </c>
      <c r="BT4602" s="1">
        <v>3.0200000000000001E-2</v>
      </c>
      <c r="BU4602" s="1">
        <v>0.313</v>
      </c>
      <c r="BV4602" s="1">
        <v>0.38700000000000001</v>
      </c>
      <c r="BW4602" s="1">
        <v>0.51500000000000001</v>
      </c>
      <c r="BX4602" s="1">
        <v>5.0000000000000001E-3</v>
      </c>
      <c r="BY4602" s="1">
        <v>1.63</v>
      </c>
      <c r="BZ4602" s="1">
        <v>63.8</v>
      </c>
      <c r="CA4602" s="1">
        <v>9.4600000000000009</v>
      </c>
      <c r="CC4602" s="1">
        <v>4.0400000000000002E-3</v>
      </c>
      <c r="CD4602" s="1">
        <v>6.95</v>
      </c>
      <c r="CE4602" s="1">
        <v>48.3</v>
      </c>
      <c r="CF4602" s="1">
        <v>0.61199999999999899</v>
      </c>
      <c r="CG4602" s="1">
        <v>0.86699999999999899</v>
      </c>
      <c r="CH4602" s="1">
        <v>35.299999999999898</v>
      </c>
      <c r="CI4602" s="1">
        <v>1E-3</v>
      </c>
      <c r="CJ4602" s="1">
        <v>2.96</v>
      </c>
      <c r="CK4602" s="1">
        <v>8.16</v>
      </c>
      <c r="CL4602" s="1">
        <v>0.436</v>
      </c>
      <c r="CM4602" s="1">
        <v>192</v>
      </c>
    </row>
    <row r="4603" spans="1:91" x14ac:dyDescent="0.3">
      <c r="A4603" s="1">
        <v>83752</v>
      </c>
      <c r="B4603" s="1" t="s">
        <v>288</v>
      </c>
      <c r="C4603" s="1" t="s">
        <v>289</v>
      </c>
      <c r="D4603" s="2">
        <f t="shared" si="247"/>
        <v>2020</v>
      </c>
      <c r="E4603" s="2">
        <f t="shared" si="248"/>
        <v>10</v>
      </c>
      <c r="G4603" s="4">
        <v>44125</v>
      </c>
      <c r="H4603" s="1">
        <v>6594775</v>
      </c>
      <c r="I4603" s="1">
        <v>668514</v>
      </c>
      <c r="J4603" s="1" t="s">
        <v>192</v>
      </c>
      <c r="K4603" s="1"/>
      <c r="L4603" s="1" t="str">
        <f t="shared" si="246"/>
        <v xml:space="preserve">Väsjön </v>
      </c>
      <c r="M4603" s="1" t="s">
        <v>211</v>
      </c>
      <c r="N4603" s="1">
        <v>1</v>
      </c>
      <c r="O4603" s="1">
        <v>1</v>
      </c>
      <c r="Q4603" s="1">
        <v>7.2</v>
      </c>
      <c r="R4603" s="1">
        <v>10.1</v>
      </c>
      <c r="S4603" s="1">
        <v>83</v>
      </c>
    </row>
    <row r="4604" spans="1:91" x14ac:dyDescent="0.3">
      <c r="A4604" s="1">
        <v>83753</v>
      </c>
      <c r="B4604" s="1" t="s">
        <v>288</v>
      </c>
      <c r="C4604" s="1" t="s">
        <v>289</v>
      </c>
      <c r="D4604" s="2">
        <f t="shared" si="247"/>
        <v>2020</v>
      </c>
      <c r="E4604" s="2">
        <f t="shared" si="248"/>
        <v>10</v>
      </c>
      <c r="G4604" s="4">
        <v>44125</v>
      </c>
      <c r="H4604" s="1">
        <v>6594775</v>
      </c>
      <c r="I4604" s="1">
        <v>668514</v>
      </c>
      <c r="J4604" s="1" t="s">
        <v>192</v>
      </c>
      <c r="K4604" s="1"/>
      <c r="L4604" s="1" t="str">
        <f t="shared" si="246"/>
        <v xml:space="preserve">Väsjön </v>
      </c>
      <c r="M4604" s="1" t="s">
        <v>212</v>
      </c>
      <c r="N4604" s="1">
        <v>2</v>
      </c>
      <c r="O4604" s="1">
        <v>2</v>
      </c>
      <c r="Q4604" s="1">
        <v>7.1</v>
      </c>
      <c r="R4604" s="1">
        <v>9.9</v>
      </c>
      <c r="S4604" s="1">
        <v>82</v>
      </c>
    </row>
    <row r="4605" spans="1:91" x14ac:dyDescent="0.3">
      <c r="A4605" s="1">
        <v>83754</v>
      </c>
      <c r="B4605" s="1" t="s">
        <v>288</v>
      </c>
      <c r="C4605" s="1" t="s">
        <v>289</v>
      </c>
      <c r="D4605" s="2">
        <f t="shared" si="247"/>
        <v>2020</v>
      </c>
      <c r="E4605" s="2">
        <f t="shared" si="248"/>
        <v>10</v>
      </c>
      <c r="G4605" s="4">
        <v>44125</v>
      </c>
      <c r="H4605" s="1">
        <v>6594775</v>
      </c>
      <c r="I4605" s="1">
        <v>668514</v>
      </c>
      <c r="J4605" s="1" t="s">
        <v>192</v>
      </c>
      <c r="K4605" s="1"/>
      <c r="L4605" s="1" t="str">
        <f t="shared" si="246"/>
        <v xml:space="preserve">Väsjön </v>
      </c>
      <c r="M4605" s="1" t="s">
        <v>286</v>
      </c>
      <c r="N4605" s="1">
        <v>2.5</v>
      </c>
      <c r="O4605" s="1">
        <v>2.5</v>
      </c>
      <c r="Q4605" s="1">
        <v>7</v>
      </c>
      <c r="R4605" s="1">
        <v>9.9</v>
      </c>
      <c r="S4605" s="1">
        <v>82</v>
      </c>
    </row>
    <row r="4606" spans="1:91" x14ac:dyDescent="0.3">
      <c r="A4606" s="1">
        <v>77082</v>
      </c>
      <c r="B4606" s="1" t="s">
        <v>291</v>
      </c>
      <c r="C4606" s="1" t="s">
        <v>209</v>
      </c>
      <c r="D4606" s="2">
        <f t="shared" ref="D4606:D4669" si="249">YEAR(G4606)</f>
        <v>2020</v>
      </c>
      <c r="E4606" s="2">
        <f t="shared" ref="E4606:E4669" si="250">MONTH(G4606)</f>
        <v>2</v>
      </c>
      <c r="G4606" s="4">
        <v>43874</v>
      </c>
      <c r="H4606" s="1">
        <v>6600738</v>
      </c>
      <c r="I4606" s="1">
        <v>672261</v>
      </c>
      <c r="J4606" s="1" t="s">
        <v>191</v>
      </c>
      <c r="K4606" s="1" t="s">
        <v>210</v>
      </c>
      <c r="L4606" s="1" t="str">
        <f t="shared" ref="L4606:L4669" si="251">CONCATENATE(J4606," ",K4606)</f>
        <v>Vallentunasjön Va2</v>
      </c>
      <c r="M4606" s="1" t="s">
        <v>285</v>
      </c>
      <c r="N4606" s="1">
        <v>0.5</v>
      </c>
      <c r="O4606" s="1">
        <v>0.5</v>
      </c>
      <c r="P4606" s="1">
        <v>1.1000000000000001</v>
      </c>
      <c r="Q4606" s="1">
        <v>2</v>
      </c>
      <c r="R4606" s="1">
        <v>13.4</v>
      </c>
      <c r="S4606" s="1">
        <v>98</v>
      </c>
    </row>
    <row r="4607" spans="1:91" x14ac:dyDescent="0.3">
      <c r="A4607" s="1">
        <v>77083</v>
      </c>
      <c r="B4607" s="1" t="s">
        <v>291</v>
      </c>
      <c r="C4607" s="1" t="s">
        <v>209</v>
      </c>
      <c r="D4607" s="2">
        <f t="shared" si="249"/>
        <v>2020</v>
      </c>
      <c r="E4607" s="2">
        <f t="shared" si="250"/>
        <v>2</v>
      </c>
      <c r="G4607" s="4">
        <v>43874</v>
      </c>
      <c r="H4607" s="1">
        <v>6600738</v>
      </c>
      <c r="I4607" s="1">
        <v>672261</v>
      </c>
      <c r="J4607" s="1" t="s">
        <v>191</v>
      </c>
      <c r="K4607" s="1" t="s">
        <v>210</v>
      </c>
      <c r="L4607" s="1" t="str">
        <f t="shared" si="251"/>
        <v>Vallentunasjön Va2</v>
      </c>
      <c r="M4607" s="1" t="s">
        <v>211</v>
      </c>
      <c r="N4607" s="1">
        <v>1</v>
      </c>
      <c r="O4607" s="1">
        <v>1</v>
      </c>
      <c r="Q4607" s="1">
        <v>2</v>
      </c>
      <c r="R4607" s="1">
        <v>13.4</v>
      </c>
      <c r="S4607" s="1">
        <v>98</v>
      </c>
    </row>
    <row r="4608" spans="1:91" x14ac:dyDescent="0.3">
      <c r="A4608" s="1">
        <v>77084</v>
      </c>
      <c r="B4608" s="1" t="s">
        <v>291</v>
      </c>
      <c r="C4608" s="1" t="s">
        <v>209</v>
      </c>
      <c r="D4608" s="2">
        <f t="shared" si="249"/>
        <v>2020</v>
      </c>
      <c r="E4608" s="2">
        <f t="shared" si="250"/>
        <v>2</v>
      </c>
      <c r="G4608" s="4">
        <v>43874</v>
      </c>
      <c r="H4608" s="1">
        <v>6600738</v>
      </c>
      <c r="I4608" s="1">
        <v>672261</v>
      </c>
      <c r="J4608" s="1" t="s">
        <v>191</v>
      </c>
      <c r="K4608" s="1" t="s">
        <v>210</v>
      </c>
      <c r="L4608" s="1" t="str">
        <f t="shared" si="251"/>
        <v>Vallentunasjön Va2</v>
      </c>
      <c r="M4608" s="1" t="s">
        <v>212</v>
      </c>
      <c r="N4608" s="1">
        <v>2</v>
      </c>
      <c r="O4608" s="1">
        <v>2</v>
      </c>
      <c r="Q4608" s="1">
        <v>2</v>
      </c>
      <c r="R4608" s="1">
        <v>13.4</v>
      </c>
      <c r="S4608" s="1">
        <v>98</v>
      </c>
    </row>
    <row r="4609" spans="1:38" x14ac:dyDescent="0.3">
      <c r="A4609" s="1">
        <v>77085</v>
      </c>
      <c r="B4609" s="1" t="s">
        <v>291</v>
      </c>
      <c r="C4609" s="1" t="s">
        <v>209</v>
      </c>
      <c r="D4609" s="2">
        <f t="shared" si="249"/>
        <v>2020</v>
      </c>
      <c r="E4609" s="2">
        <f t="shared" si="250"/>
        <v>2</v>
      </c>
      <c r="G4609" s="4">
        <v>43874</v>
      </c>
      <c r="H4609" s="1">
        <v>6600738</v>
      </c>
      <c r="I4609" s="1">
        <v>672261</v>
      </c>
      <c r="J4609" s="1" t="s">
        <v>191</v>
      </c>
      <c r="K4609" s="1" t="s">
        <v>210</v>
      </c>
      <c r="L4609" s="1" t="str">
        <f t="shared" si="251"/>
        <v>Vallentunasjön Va2</v>
      </c>
      <c r="M4609" s="1" t="s">
        <v>213</v>
      </c>
      <c r="N4609" s="1">
        <v>3</v>
      </c>
      <c r="O4609" s="1">
        <v>3</v>
      </c>
      <c r="Q4609" s="1">
        <v>2.1</v>
      </c>
      <c r="R4609" s="1">
        <v>13.3</v>
      </c>
      <c r="S4609" s="1">
        <v>98</v>
      </c>
    </row>
    <row r="4610" spans="1:38" x14ac:dyDescent="0.3">
      <c r="A4610" s="1">
        <v>77086</v>
      </c>
      <c r="B4610" s="1" t="s">
        <v>291</v>
      </c>
      <c r="C4610" s="1" t="s">
        <v>209</v>
      </c>
      <c r="D4610" s="2">
        <f t="shared" si="249"/>
        <v>2020</v>
      </c>
      <c r="E4610" s="2">
        <f t="shared" si="250"/>
        <v>2</v>
      </c>
      <c r="G4610" s="4">
        <v>43874</v>
      </c>
      <c r="H4610" s="1">
        <v>6600738</v>
      </c>
      <c r="I4610" s="1">
        <v>672261</v>
      </c>
      <c r="J4610" s="1" t="s">
        <v>191</v>
      </c>
      <c r="K4610" s="1" t="s">
        <v>210</v>
      </c>
      <c r="L4610" s="1" t="str">
        <f t="shared" si="251"/>
        <v>Vallentunasjön Va2</v>
      </c>
      <c r="M4610" s="1" t="s">
        <v>214</v>
      </c>
      <c r="N4610" s="1">
        <v>4</v>
      </c>
      <c r="O4610" s="1">
        <v>4</v>
      </c>
      <c r="Q4610" s="1">
        <v>2.1</v>
      </c>
      <c r="R4610" s="1">
        <v>13.3</v>
      </c>
      <c r="S4610" s="1">
        <v>98</v>
      </c>
    </row>
    <row r="4611" spans="1:38" x14ac:dyDescent="0.3">
      <c r="A4611" s="1">
        <v>77087</v>
      </c>
      <c r="B4611" s="1" t="s">
        <v>291</v>
      </c>
      <c r="C4611" s="1" t="s">
        <v>209</v>
      </c>
      <c r="D4611" s="2">
        <f t="shared" si="249"/>
        <v>2020</v>
      </c>
      <c r="E4611" s="2">
        <f t="shared" si="250"/>
        <v>2</v>
      </c>
      <c r="G4611" s="4">
        <v>43874</v>
      </c>
      <c r="H4611" s="1">
        <v>6600738</v>
      </c>
      <c r="I4611" s="1">
        <v>672261</v>
      </c>
      <c r="J4611" s="1" t="s">
        <v>191</v>
      </c>
      <c r="K4611" s="1" t="s">
        <v>210</v>
      </c>
      <c r="L4611" s="1" t="str">
        <f t="shared" si="251"/>
        <v>Vallentunasjön Va2</v>
      </c>
      <c r="M4611" s="1" t="s">
        <v>286</v>
      </c>
      <c r="N4611" s="1">
        <v>4.5</v>
      </c>
      <c r="O4611" s="1">
        <v>4.5</v>
      </c>
      <c r="Q4611" s="1">
        <v>2.1</v>
      </c>
      <c r="R4611" s="1">
        <v>13.2</v>
      </c>
      <c r="S4611" s="1">
        <v>97</v>
      </c>
    </row>
    <row r="4612" spans="1:38" x14ac:dyDescent="0.3">
      <c r="A4612" s="1">
        <v>77088</v>
      </c>
      <c r="B4612" s="1" t="s">
        <v>291</v>
      </c>
      <c r="C4612" s="1" t="s">
        <v>209</v>
      </c>
      <c r="D4612" s="2">
        <f t="shared" si="249"/>
        <v>2020</v>
      </c>
      <c r="E4612" s="2">
        <f t="shared" si="250"/>
        <v>2</v>
      </c>
      <c r="G4612" s="4">
        <v>43874</v>
      </c>
      <c r="J4612" s="1" t="s">
        <v>191</v>
      </c>
      <c r="K4612" s="1" t="s">
        <v>206</v>
      </c>
      <c r="L4612" s="1" t="str">
        <f t="shared" si="251"/>
        <v>Vallentunasjön Blandprov</v>
      </c>
      <c r="M4612" s="1" t="s">
        <v>285</v>
      </c>
      <c r="N4612" s="1">
        <v>0</v>
      </c>
      <c r="O4612" s="1">
        <v>4</v>
      </c>
      <c r="W4612" s="1">
        <v>596.13750000000005</v>
      </c>
      <c r="X4612" s="1">
        <v>6.2470527604013668</v>
      </c>
      <c r="Y4612" s="1">
        <v>6.3E-2</v>
      </c>
      <c r="Z4612" s="1">
        <v>1.23</v>
      </c>
      <c r="AA4612" s="1">
        <v>6.8</v>
      </c>
      <c r="AB4612" s="1">
        <v>26.678699999999999</v>
      </c>
      <c r="AD4612" s="1">
        <v>323.64999999999998</v>
      </c>
      <c r="AE4612" s="1">
        <v>7.99</v>
      </c>
      <c r="AG4612" s="1">
        <v>12</v>
      </c>
      <c r="AK4612" s="1">
        <v>44.75</v>
      </c>
      <c r="AL4612" s="1">
        <v>1819.26</v>
      </c>
    </row>
    <row r="4613" spans="1:38" x14ac:dyDescent="0.3">
      <c r="A4613" s="1">
        <v>78748</v>
      </c>
      <c r="B4613" s="1" t="s">
        <v>291</v>
      </c>
      <c r="C4613" s="1" t="s">
        <v>209</v>
      </c>
      <c r="D4613" s="2">
        <f t="shared" si="249"/>
        <v>2020</v>
      </c>
      <c r="E4613" s="2">
        <f t="shared" si="250"/>
        <v>5</v>
      </c>
      <c r="G4613" s="4">
        <v>43963</v>
      </c>
      <c r="H4613" s="1">
        <v>6600738</v>
      </c>
      <c r="I4613" s="1">
        <v>672261</v>
      </c>
      <c r="J4613" s="1" t="s">
        <v>191</v>
      </c>
      <c r="K4613" s="1" t="s">
        <v>210</v>
      </c>
      <c r="L4613" s="1" t="str">
        <f t="shared" si="251"/>
        <v>Vallentunasjön Va2</v>
      </c>
      <c r="M4613" s="1" t="s">
        <v>285</v>
      </c>
      <c r="N4613" s="1">
        <v>0.5</v>
      </c>
      <c r="O4613" s="1">
        <v>0.5</v>
      </c>
      <c r="P4613" s="1">
        <v>0.7</v>
      </c>
      <c r="Q4613" s="1">
        <v>11.6</v>
      </c>
      <c r="R4613" s="1">
        <v>11.5</v>
      </c>
      <c r="S4613" s="1">
        <v>106</v>
      </c>
    </row>
    <row r="4614" spans="1:38" x14ac:dyDescent="0.3">
      <c r="A4614" s="1">
        <v>78749</v>
      </c>
      <c r="B4614" s="1" t="s">
        <v>291</v>
      </c>
      <c r="C4614" s="1" t="s">
        <v>209</v>
      </c>
      <c r="D4614" s="2">
        <f t="shared" si="249"/>
        <v>2020</v>
      </c>
      <c r="E4614" s="2">
        <f t="shared" si="250"/>
        <v>5</v>
      </c>
      <c r="G4614" s="4">
        <v>43963</v>
      </c>
      <c r="H4614" s="1">
        <v>6600738</v>
      </c>
      <c r="I4614" s="1">
        <v>672261</v>
      </c>
      <c r="J4614" s="1" t="s">
        <v>191</v>
      </c>
      <c r="K4614" s="1" t="s">
        <v>210</v>
      </c>
      <c r="L4614" s="1" t="str">
        <f t="shared" si="251"/>
        <v>Vallentunasjön Va2</v>
      </c>
      <c r="M4614" s="1" t="s">
        <v>211</v>
      </c>
      <c r="N4614" s="1">
        <v>1</v>
      </c>
      <c r="O4614" s="1">
        <v>1</v>
      </c>
      <c r="Q4614" s="1">
        <v>11.5</v>
      </c>
      <c r="R4614" s="1">
        <v>11.4</v>
      </c>
      <c r="S4614" s="1">
        <v>105</v>
      </c>
    </row>
    <row r="4615" spans="1:38" x14ac:dyDescent="0.3">
      <c r="A4615" s="1">
        <v>78750</v>
      </c>
      <c r="B4615" s="1" t="s">
        <v>291</v>
      </c>
      <c r="C4615" s="1" t="s">
        <v>209</v>
      </c>
      <c r="D4615" s="2">
        <f t="shared" si="249"/>
        <v>2020</v>
      </c>
      <c r="E4615" s="2">
        <f t="shared" si="250"/>
        <v>5</v>
      </c>
      <c r="G4615" s="4">
        <v>43963</v>
      </c>
      <c r="H4615" s="1">
        <v>6600738</v>
      </c>
      <c r="I4615" s="1">
        <v>672261</v>
      </c>
      <c r="J4615" s="1" t="s">
        <v>191</v>
      </c>
      <c r="K4615" s="1" t="s">
        <v>210</v>
      </c>
      <c r="L4615" s="1" t="str">
        <f t="shared" si="251"/>
        <v>Vallentunasjön Va2</v>
      </c>
      <c r="M4615" s="1" t="s">
        <v>212</v>
      </c>
      <c r="N4615" s="1">
        <v>2</v>
      </c>
      <c r="O4615" s="1">
        <v>2</v>
      </c>
      <c r="Q4615" s="1">
        <v>11.4</v>
      </c>
      <c r="R4615" s="1">
        <v>11.2</v>
      </c>
      <c r="S4615" s="1">
        <v>103</v>
      </c>
    </row>
    <row r="4616" spans="1:38" x14ac:dyDescent="0.3">
      <c r="A4616" s="1">
        <v>78751</v>
      </c>
      <c r="B4616" s="1" t="s">
        <v>291</v>
      </c>
      <c r="C4616" s="1" t="s">
        <v>209</v>
      </c>
      <c r="D4616" s="2">
        <f t="shared" si="249"/>
        <v>2020</v>
      </c>
      <c r="E4616" s="2">
        <f t="shared" si="250"/>
        <v>5</v>
      </c>
      <c r="G4616" s="4">
        <v>43963</v>
      </c>
      <c r="H4616" s="1">
        <v>6600738</v>
      </c>
      <c r="I4616" s="1">
        <v>672261</v>
      </c>
      <c r="J4616" s="1" t="s">
        <v>191</v>
      </c>
      <c r="K4616" s="1" t="s">
        <v>210</v>
      </c>
      <c r="L4616" s="1" t="str">
        <f t="shared" si="251"/>
        <v>Vallentunasjön Va2</v>
      </c>
      <c r="M4616" s="1" t="s">
        <v>213</v>
      </c>
      <c r="N4616" s="1">
        <v>3</v>
      </c>
      <c r="O4616" s="1">
        <v>3</v>
      </c>
      <c r="Q4616" s="1">
        <v>11.1</v>
      </c>
      <c r="R4616" s="1">
        <v>11.1</v>
      </c>
      <c r="S4616" s="1">
        <v>102</v>
      </c>
    </row>
    <row r="4617" spans="1:38" x14ac:dyDescent="0.3">
      <c r="A4617" s="1">
        <v>78752</v>
      </c>
      <c r="B4617" s="1" t="s">
        <v>291</v>
      </c>
      <c r="C4617" s="1" t="s">
        <v>209</v>
      </c>
      <c r="D4617" s="2">
        <f t="shared" si="249"/>
        <v>2020</v>
      </c>
      <c r="E4617" s="2">
        <f t="shared" si="250"/>
        <v>5</v>
      </c>
      <c r="G4617" s="4">
        <v>43963</v>
      </c>
      <c r="H4617" s="1">
        <v>6600738</v>
      </c>
      <c r="I4617" s="1">
        <v>672261</v>
      </c>
      <c r="J4617" s="1" t="s">
        <v>191</v>
      </c>
      <c r="K4617" s="1" t="s">
        <v>210</v>
      </c>
      <c r="L4617" s="1" t="str">
        <f t="shared" si="251"/>
        <v>Vallentunasjön Va2</v>
      </c>
      <c r="M4617" s="1" t="s">
        <v>214</v>
      </c>
      <c r="N4617" s="1">
        <v>4</v>
      </c>
      <c r="O4617" s="1">
        <v>4</v>
      </c>
      <c r="Q4617" s="1">
        <v>11.1</v>
      </c>
      <c r="R4617" s="1">
        <v>10.8</v>
      </c>
      <c r="S4617" s="1">
        <v>99</v>
      </c>
    </row>
    <row r="4618" spans="1:38" x14ac:dyDescent="0.3">
      <c r="A4618" s="1">
        <v>78753</v>
      </c>
      <c r="B4618" s="1" t="s">
        <v>291</v>
      </c>
      <c r="C4618" s="1" t="s">
        <v>209</v>
      </c>
      <c r="D4618" s="2">
        <f t="shared" si="249"/>
        <v>2020</v>
      </c>
      <c r="E4618" s="2">
        <f t="shared" si="250"/>
        <v>5</v>
      </c>
      <c r="G4618" s="4">
        <v>43963</v>
      </c>
      <c r="H4618" s="1">
        <v>6600738</v>
      </c>
      <c r="I4618" s="1">
        <v>672261</v>
      </c>
      <c r="J4618" s="1" t="s">
        <v>191</v>
      </c>
      <c r="K4618" s="1" t="s">
        <v>210</v>
      </c>
      <c r="L4618" s="1" t="str">
        <f t="shared" si="251"/>
        <v>Vallentunasjön Va2</v>
      </c>
      <c r="M4618" s="1" t="s">
        <v>286</v>
      </c>
      <c r="N4618" s="1">
        <v>4.5</v>
      </c>
      <c r="O4618" s="1">
        <v>4.5</v>
      </c>
      <c r="Q4618" s="1">
        <v>11.1</v>
      </c>
      <c r="R4618" s="1">
        <v>10.5</v>
      </c>
      <c r="S4618" s="1">
        <v>96</v>
      </c>
    </row>
    <row r="4619" spans="1:38" x14ac:dyDescent="0.3">
      <c r="A4619" s="1">
        <v>78754</v>
      </c>
      <c r="B4619" s="1" t="s">
        <v>291</v>
      </c>
      <c r="C4619" s="1" t="s">
        <v>209</v>
      </c>
      <c r="D4619" s="2">
        <f t="shared" si="249"/>
        <v>2020</v>
      </c>
      <c r="E4619" s="2">
        <f t="shared" si="250"/>
        <v>5</v>
      </c>
      <c r="G4619" s="4">
        <v>43963</v>
      </c>
      <c r="J4619" s="1" t="s">
        <v>191</v>
      </c>
      <c r="K4619" s="1" t="s">
        <v>206</v>
      </c>
      <c r="L4619" s="1" t="str">
        <f t="shared" si="251"/>
        <v>Vallentunasjön Blandprov</v>
      </c>
      <c r="M4619" s="1" t="s">
        <v>285</v>
      </c>
      <c r="N4619" s="1">
        <v>0</v>
      </c>
      <c r="O4619" s="1">
        <v>4</v>
      </c>
      <c r="W4619" s="1">
        <v>8.0381999999999998</v>
      </c>
      <c r="X4619" s="1">
        <v>0.26087503091131059</v>
      </c>
      <c r="Y4619" s="1">
        <v>4.5999999999999999E-2</v>
      </c>
      <c r="Z4619" s="1">
        <v>2.36</v>
      </c>
      <c r="AA4619" s="1">
        <v>16</v>
      </c>
      <c r="AB4619" s="1">
        <v>53.020657894999999</v>
      </c>
      <c r="AD4619" s="1">
        <v>0</v>
      </c>
      <c r="AE4619" s="1">
        <v>8.61</v>
      </c>
      <c r="AG4619" s="1">
        <v>28</v>
      </c>
      <c r="AK4619" s="1">
        <v>65.13</v>
      </c>
      <c r="AL4619" s="1">
        <v>1525.86</v>
      </c>
    </row>
    <row r="4620" spans="1:38" x14ac:dyDescent="0.3">
      <c r="A4620" s="1">
        <v>80788</v>
      </c>
      <c r="B4620" s="1" t="s">
        <v>291</v>
      </c>
      <c r="C4620" s="1" t="s">
        <v>209</v>
      </c>
      <c r="D4620" s="2">
        <f t="shared" si="249"/>
        <v>2020</v>
      </c>
      <c r="E4620" s="2">
        <f t="shared" si="250"/>
        <v>7</v>
      </c>
      <c r="G4620" s="4">
        <v>44027</v>
      </c>
      <c r="H4620" s="1">
        <v>6600738</v>
      </c>
      <c r="I4620" s="1">
        <v>672261</v>
      </c>
      <c r="J4620" s="1" t="s">
        <v>191</v>
      </c>
      <c r="K4620" s="1" t="s">
        <v>210</v>
      </c>
      <c r="L4620" s="1" t="str">
        <f t="shared" si="251"/>
        <v>Vallentunasjön Va2</v>
      </c>
      <c r="M4620" s="1" t="s">
        <v>285</v>
      </c>
      <c r="N4620" s="1">
        <v>0.5</v>
      </c>
      <c r="O4620" s="1">
        <v>0.5</v>
      </c>
      <c r="P4620" s="1">
        <v>0.9</v>
      </c>
      <c r="Q4620" s="1">
        <v>19.600000000000001</v>
      </c>
      <c r="R4620" s="1">
        <v>13.1</v>
      </c>
      <c r="S4620" s="1">
        <v>143</v>
      </c>
    </row>
    <row r="4621" spans="1:38" x14ac:dyDescent="0.3">
      <c r="A4621" s="1">
        <v>80789</v>
      </c>
      <c r="B4621" s="1" t="s">
        <v>291</v>
      </c>
      <c r="C4621" s="1" t="s">
        <v>209</v>
      </c>
      <c r="D4621" s="2">
        <f t="shared" si="249"/>
        <v>2020</v>
      </c>
      <c r="E4621" s="2">
        <f t="shared" si="250"/>
        <v>7</v>
      </c>
      <c r="G4621" s="4">
        <v>44027</v>
      </c>
      <c r="H4621" s="1">
        <v>6600738</v>
      </c>
      <c r="I4621" s="1">
        <v>672261</v>
      </c>
      <c r="J4621" s="1" t="s">
        <v>191</v>
      </c>
      <c r="K4621" s="1" t="s">
        <v>210</v>
      </c>
      <c r="L4621" s="1" t="str">
        <f t="shared" si="251"/>
        <v>Vallentunasjön Va2</v>
      </c>
      <c r="M4621" s="1" t="s">
        <v>211</v>
      </c>
      <c r="N4621" s="1">
        <v>1</v>
      </c>
      <c r="O4621" s="1">
        <v>1</v>
      </c>
      <c r="Q4621" s="1">
        <v>19.5</v>
      </c>
      <c r="R4621" s="1">
        <v>13</v>
      </c>
      <c r="S4621" s="1">
        <v>142</v>
      </c>
    </row>
    <row r="4622" spans="1:38" x14ac:dyDescent="0.3">
      <c r="A4622" s="1">
        <v>80790</v>
      </c>
      <c r="B4622" s="1" t="s">
        <v>291</v>
      </c>
      <c r="C4622" s="1" t="s">
        <v>209</v>
      </c>
      <c r="D4622" s="2">
        <f t="shared" si="249"/>
        <v>2020</v>
      </c>
      <c r="E4622" s="2">
        <f t="shared" si="250"/>
        <v>7</v>
      </c>
      <c r="G4622" s="4">
        <v>44027</v>
      </c>
      <c r="H4622" s="1">
        <v>6600738</v>
      </c>
      <c r="I4622" s="1">
        <v>672261</v>
      </c>
      <c r="J4622" s="1" t="s">
        <v>191</v>
      </c>
      <c r="K4622" s="1" t="s">
        <v>210</v>
      </c>
      <c r="L4622" s="1" t="str">
        <f t="shared" si="251"/>
        <v>Vallentunasjön Va2</v>
      </c>
      <c r="M4622" s="1" t="s">
        <v>212</v>
      </c>
      <c r="N4622" s="1">
        <v>2</v>
      </c>
      <c r="O4622" s="1">
        <v>2</v>
      </c>
      <c r="Q4622" s="1">
        <v>19.399999999999999</v>
      </c>
      <c r="R4622" s="1">
        <v>12.7</v>
      </c>
      <c r="S4622" s="1">
        <v>138</v>
      </c>
    </row>
    <row r="4623" spans="1:38" x14ac:dyDescent="0.3">
      <c r="A4623" s="1">
        <v>80791</v>
      </c>
      <c r="B4623" s="1" t="s">
        <v>291</v>
      </c>
      <c r="C4623" s="1" t="s">
        <v>209</v>
      </c>
      <c r="D4623" s="2">
        <f t="shared" si="249"/>
        <v>2020</v>
      </c>
      <c r="E4623" s="2">
        <f t="shared" si="250"/>
        <v>7</v>
      </c>
      <c r="G4623" s="4">
        <v>44027</v>
      </c>
      <c r="H4623" s="1">
        <v>6600738</v>
      </c>
      <c r="I4623" s="1">
        <v>672261</v>
      </c>
      <c r="J4623" s="1" t="s">
        <v>191</v>
      </c>
      <c r="K4623" s="1" t="s">
        <v>210</v>
      </c>
      <c r="L4623" s="1" t="str">
        <f t="shared" si="251"/>
        <v>Vallentunasjön Va2</v>
      </c>
      <c r="M4623" s="1" t="s">
        <v>213</v>
      </c>
      <c r="N4623" s="1">
        <v>3</v>
      </c>
      <c r="O4623" s="1">
        <v>3</v>
      </c>
      <c r="Q4623" s="1">
        <v>19.3</v>
      </c>
      <c r="R4623" s="1">
        <v>12.4</v>
      </c>
      <c r="S4623" s="1">
        <v>135</v>
      </c>
    </row>
    <row r="4624" spans="1:38" x14ac:dyDescent="0.3">
      <c r="A4624" s="1">
        <v>80792</v>
      </c>
      <c r="B4624" s="1" t="s">
        <v>291</v>
      </c>
      <c r="C4624" s="1" t="s">
        <v>209</v>
      </c>
      <c r="D4624" s="2">
        <f t="shared" si="249"/>
        <v>2020</v>
      </c>
      <c r="E4624" s="2">
        <f t="shared" si="250"/>
        <v>7</v>
      </c>
      <c r="G4624" s="4">
        <v>44027</v>
      </c>
      <c r="H4624" s="1">
        <v>6600738</v>
      </c>
      <c r="I4624" s="1">
        <v>672261</v>
      </c>
      <c r="J4624" s="1" t="s">
        <v>191</v>
      </c>
      <c r="K4624" s="1" t="s">
        <v>210</v>
      </c>
      <c r="L4624" s="1" t="str">
        <f t="shared" si="251"/>
        <v>Vallentunasjön Va2</v>
      </c>
      <c r="M4624" s="1" t="s">
        <v>286</v>
      </c>
      <c r="N4624" s="1">
        <v>4</v>
      </c>
      <c r="O4624" s="1">
        <v>4</v>
      </c>
      <c r="Q4624" s="1">
        <v>19.2</v>
      </c>
      <c r="R4624" s="1">
        <v>11.2</v>
      </c>
      <c r="S4624" s="1">
        <v>121</v>
      </c>
    </row>
    <row r="4625" spans="1:38" x14ac:dyDescent="0.3">
      <c r="A4625" s="1">
        <v>80793</v>
      </c>
      <c r="B4625" s="1" t="s">
        <v>291</v>
      </c>
      <c r="C4625" s="1" t="s">
        <v>209</v>
      </c>
      <c r="D4625" s="2">
        <f t="shared" si="249"/>
        <v>2020</v>
      </c>
      <c r="E4625" s="2">
        <f t="shared" si="250"/>
        <v>7</v>
      </c>
      <c r="G4625" s="4">
        <v>44027</v>
      </c>
      <c r="H4625" s="1">
        <v>6600738</v>
      </c>
      <c r="I4625" s="1">
        <v>672261</v>
      </c>
      <c r="J4625" s="1" t="s">
        <v>191</v>
      </c>
      <c r="K4625" s="1" t="s">
        <v>210</v>
      </c>
      <c r="L4625" s="1" t="str">
        <f t="shared" si="251"/>
        <v>Vallentunasjön Va2</v>
      </c>
      <c r="M4625" s="1" t="s">
        <v>286</v>
      </c>
      <c r="N4625" s="1">
        <v>4.5</v>
      </c>
      <c r="O4625" s="1">
        <v>4.5</v>
      </c>
    </row>
    <row r="4626" spans="1:38" x14ac:dyDescent="0.3">
      <c r="A4626" s="1">
        <v>80794</v>
      </c>
      <c r="B4626" s="1" t="s">
        <v>291</v>
      </c>
      <c r="C4626" s="1" t="s">
        <v>209</v>
      </c>
      <c r="D4626" s="2">
        <f t="shared" si="249"/>
        <v>2020</v>
      </c>
      <c r="E4626" s="2">
        <f t="shared" si="250"/>
        <v>7</v>
      </c>
      <c r="G4626" s="4">
        <v>44027</v>
      </c>
      <c r="J4626" s="1" t="s">
        <v>191</v>
      </c>
      <c r="K4626" s="1" t="s">
        <v>206</v>
      </c>
      <c r="L4626" s="1" t="str">
        <f t="shared" si="251"/>
        <v>Vallentunasjön Blandprov</v>
      </c>
      <c r="M4626" s="1" t="s">
        <v>285</v>
      </c>
      <c r="N4626" s="1">
        <v>0</v>
      </c>
      <c r="O4626" s="1">
        <v>4</v>
      </c>
      <c r="W4626" s="1">
        <v>4</v>
      </c>
      <c r="X4626" s="1">
        <v>0.15852588229962089</v>
      </c>
      <c r="Y4626" s="1">
        <v>4.2999999999999997E-2</v>
      </c>
      <c r="Z4626" s="1">
        <v>2</v>
      </c>
      <c r="AA4626" s="1">
        <v>15</v>
      </c>
      <c r="AB4626" s="1">
        <v>38.6</v>
      </c>
      <c r="AD4626" s="1">
        <v>5</v>
      </c>
      <c r="AE4626" s="1">
        <v>8.6999999999999993</v>
      </c>
      <c r="AG4626" s="1">
        <v>25</v>
      </c>
      <c r="AK4626" s="1">
        <v>53</v>
      </c>
      <c r="AL4626" s="1">
        <v>1300</v>
      </c>
    </row>
    <row r="4627" spans="1:38" x14ac:dyDescent="0.3">
      <c r="A4627" s="1">
        <v>82151</v>
      </c>
      <c r="B4627" s="1" t="s">
        <v>291</v>
      </c>
      <c r="C4627" s="1" t="s">
        <v>209</v>
      </c>
      <c r="D4627" s="2">
        <f t="shared" si="249"/>
        <v>2020</v>
      </c>
      <c r="E4627" s="2">
        <f t="shared" si="250"/>
        <v>8</v>
      </c>
      <c r="G4627" s="4">
        <v>44060</v>
      </c>
      <c r="H4627" s="1">
        <v>6600738</v>
      </c>
      <c r="I4627" s="1">
        <v>672261</v>
      </c>
      <c r="J4627" s="1" t="s">
        <v>191</v>
      </c>
      <c r="K4627" s="1" t="s">
        <v>210</v>
      </c>
      <c r="L4627" s="1" t="str">
        <f t="shared" si="251"/>
        <v>Vallentunasjön Va2</v>
      </c>
      <c r="M4627" s="1" t="s">
        <v>285</v>
      </c>
      <c r="N4627" s="1">
        <v>0.5</v>
      </c>
      <c r="O4627" s="1">
        <v>0.5</v>
      </c>
      <c r="P4627" s="1">
        <v>1.4</v>
      </c>
      <c r="Q4627" s="1">
        <v>26.4</v>
      </c>
      <c r="R4627" s="1">
        <v>10.5</v>
      </c>
      <c r="S4627" s="1">
        <v>130</v>
      </c>
    </row>
    <row r="4628" spans="1:38" x14ac:dyDescent="0.3">
      <c r="A4628" s="1">
        <v>82152</v>
      </c>
      <c r="B4628" s="1" t="s">
        <v>291</v>
      </c>
      <c r="C4628" s="1" t="s">
        <v>209</v>
      </c>
      <c r="D4628" s="2">
        <f t="shared" si="249"/>
        <v>2020</v>
      </c>
      <c r="E4628" s="2">
        <f t="shared" si="250"/>
        <v>8</v>
      </c>
      <c r="G4628" s="4">
        <v>44060</v>
      </c>
      <c r="H4628" s="1">
        <v>6600738</v>
      </c>
      <c r="I4628" s="1">
        <v>672261</v>
      </c>
      <c r="J4628" s="1" t="s">
        <v>191</v>
      </c>
      <c r="K4628" s="1" t="s">
        <v>210</v>
      </c>
      <c r="L4628" s="1" t="str">
        <f t="shared" si="251"/>
        <v>Vallentunasjön Va2</v>
      </c>
      <c r="M4628" s="1" t="s">
        <v>211</v>
      </c>
      <c r="N4628" s="1">
        <v>1</v>
      </c>
      <c r="O4628" s="1">
        <v>1</v>
      </c>
      <c r="Q4628" s="1">
        <v>24.6</v>
      </c>
      <c r="R4628" s="1">
        <v>11.1</v>
      </c>
      <c r="S4628" s="1">
        <v>133</v>
      </c>
    </row>
    <row r="4629" spans="1:38" x14ac:dyDescent="0.3">
      <c r="A4629" s="1">
        <v>82153</v>
      </c>
      <c r="B4629" s="1" t="s">
        <v>291</v>
      </c>
      <c r="C4629" s="1" t="s">
        <v>209</v>
      </c>
      <c r="D4629" s="2">
        <f t="shared" si="249"/>
        <v>2020</v>
      </c>
      <c r="E4629" s="2">
        <f t="shared" si="250"/>
        <v>8</v>
      </c>
      <c r="G4629" s="4">
        <v>44060</v>
      </c>
      <c r="H4629" s="1">
        <v>6600738</v>
      </c>
      <c r="I4629" s="1">
        <v>672261</v>
      </c>
      <c r="J4629" s="1" t="s">
        <v>191</v>
      </c>
      <c r="K4629" s="1" t="s">
        <v>210</v>
      </c>
      <c r="L4629" s="1" t="str">
        <f t="shared" si="251"/>
        <v>Vallentunasjön Va2</v>
      </c>
      <c r="M4629" s="1" t="s">
        <v>212</v>
      </c>
      <c r="N4629" s="1">
        <v>2</v>
      </c>
      <c r="O4629" s="1">
        <v>2</v>
      </c>
      <c r="Q4629" s="1">
        <v>22.7</v>
      </c>
      <c r="R4629" s="1">
        <v>8.6999999999999993</v>
      </c>
      <c r="S4629" s="1">
        <v>101</v>
      </c>
    </row>
    <row r="4630" spans="1:38" x14ac:dyDescent="0.3">
      <c r="A4630" s="1">
        <v>82154</v>
      </c>
      <c r="B4630" s="1" t="s">
        <v>291</v>
      </c>
      <c r="C4630" s="1" t="s">
        <v>209</v>
      </c>
      <c r="D4630" s="2">
        <f t="shared" si="249"/>
        <v>2020</v>
      </c>
      <c r="E4630" s="2">
        <f t="shared" si="250"/>
        <v>8</v>
      </c>
      <c r="G4630" s="4">
        <v>44060</v>
      </c>
      <c r="H4630" s="1">
        <v>6600738</v>
      </c>
      <c r="I4630" s="1">
        <v>672261</v>
      </c>
      <c r="J4630" s="1" t="s">
        <v>191</v>
      </c>
      <c r="K4630" s="1" t="s">
        <v>210</v>
      </c>
      <c r="L4630" s="1" t="str">
        <f t="shared" si="251"/>
        <v>Vallentunasjön Va2</v>
      </c>
      <c r="M4630" s="1" t="s">
        <v>213</v>
      </c>
      <c r="N4630" s="1">
        <v>3</v>
      </c>
      <c r="O4630" s="1">
        <v>3</v>
      </c>
      <c r="Q4630" s="1">
        <v>22.3</v>
      </c>
      <c r="R4630" s="1">
        <v>6</v>
      </c>
      <c r="S4630" s="1">
        <v>69</v>
      </c>
    </row>
    <row r="4631" spans="1:38" x14ac:dyDescent="0.3">
      <c r="A4631" s="1">
        <v>82155</v>
      </c>
      <c r="B4631" s="1" t="s">
        <v>291</v>
      </c>
      <c r="C4631" s="1" t="s">
        <v>209</v>
      </c>
      <c r="D4631" s="2">
        <f t="shared" si="249"/>
        <v>2020</v>
      </c>
      <c r="E4631" s="2">
        <f t="shared" si="250"/>
        <v>8</v>
      </c>
      <c r="G4631" s="4">
        <v>44060</v>
      </c>
      <c r="H4631" s="1">
        <v>6600738</v>
      </c>
      <c r="I4631" s="1">
        <v>672261</v>
      </c>
      <c r="J4631" s="1" t="s">
        <v>191</v>
      </c>
      <c r="K4631" s="1" t="s">
        <v>210</v>
      </c>
      <c r="L4631" s="1" t="str">
        <f t="shared" si="251"/>
        <v>Vallentunasjön Va2</v>
      </c>
      <c r="M4631" s="1" t="s">
        <v>214</v>
      </c>
      <c r="N4631" s="1">
        <v>4</v>
      </c>
      <c r="O4631" s="1">
        <v>4</v>
      </c>
      <c r="Q4631" s="1">
        <v>21.7</v>
      </c>
      <c r="R4631" s="1">
        <v>0.1</v>
      </c>
      <c r="S4631" s="1">
        <v>1</v>
      </c>
    </row>
    <row r="4632" spans="1:38" x14ac:dyDescent="0.3">
      <c r="A4632" s="1">
        <v>82156</v>
      </c>
      <c r="B4632" s="1" t="s">
        <v>291</v>
      </c>
      <c r="C4632" s="1" t="s">
        <v>209</v>
      </c>
      <c r="D4632" s="2">
        <f t="shared" si="249"/>
        <v>2020</v>
      </c>
      <c r="E4632" s="2">
        <f t="shared" si="250"/>
        <v>8</v>
      </c>
      <c r="G4632" s="4">
        <v>44060</v>
      </c>
      <c r="H4632" s="1">
        <v>6600738</v>
      </c>
      <c r="I4632" s="1">
        <v>672261</v>
      </c>
      <c r="J4632" s="1" t="s">
        <v>191</v>
      </c>
      <c r="K4632" s="1" t="s">
        <v>210</v>
      </c>
      <c r="L4632" s="1" t="str">
        <f t="shared" si="251"/>
        <v>Vallentunasjön Va2</v>
      </c>
      <c r="M4632" s="1" t="s">
        <v>286</v>
      </c>
      <c r="N4632" s="1">
        <v>4.5</v>
      </c>
      <c r="O4632" s="1">
        <v>4.5</v>
      </c>
      <c r="Q4632" s="1">
        <v>21.4</v>
      </c>
      <c r="R4632" s="1">
        <v>0.1</v>
      </c>
      <c r="S4632" s="1">
        <v>1</v>
      </c>
    </row>
    <row r="4633" spans="1:38" x14ac:dyDescent="0.3">
      <c r="A4633" s="1">
        <v>82157</v>
      </c>
      <c r="B4633" s="1" t="s">
        <v>291</v>
      </c>
      <c r="C4633" s="1" t="s">
        <v>209</v>
      </c>
      <c r="D4633" s="2">
        <f t="shared" si="249"/>
        <v>2020</v>
      </c>
      <c r="E4633" s="2">
        <f t="shared" si="250"/>
        <v>8</v>
      </c>
      <c r="G4633" s="4">
        <v>44060</v>
      </c>
      <c r="J4633" s="1" t="s">
        <v>191</v>
      </c>
      <c r="K4633" s="1" t="s">
        <v>206</v>
      </c>
      <c r="L4633" s="1" t="str">
        <f t="shared" si="251"/>
        <v>Vallentunasjön Blandprov</v>
      </c>
      <c r="M4633" s="1" t="s">
        <v>285</v>
      </c>
      <c r="N4633" s="1">
        <v>0</v>
      </c>
      <c r="O4633" s="1">
        <v>4</v>
      </c>
      <c r="W4633" s="1">
        <v>6.4215999999999998</v>
      </c>
      <c r="X4633" s="1">
        <v>0.13612576028813522</v>
      </c>
      <c r="Y4633" s="1">
        <v>4.2999999999999997E-2</v>
      </c>
      <c r="Z4633" s="1">
        <v>0</v>
      </c>
      <c r="AA4633" s="1">
        <v>9.6</v>
      </c>
      <c r="AB4633" s="1">
        <v>23.511240000000001</v>
      </c>
      <c r="AD4633" s="1">
        <v>0</v>
      </c>
      <c r="AE4633" s="1">
        <v>8.42</v>
      </c>
      <c r="AG4633" s="1">
        <v>13.2</v>
      </c>
      <c r="AK4633" s="1">
        <v>44.08</v>
      </c>
      <c r="AL4633" s="1">
        <v>1133.0899999999999</v>
      </c>
    </row>
    <row r="4634" spans="1:38" x14ac:dyDescent="0.3">
      <c r="A4634" s="1">
        <v>82891</v>
      </c>
      <c r="B4634" s="1" t="s">
        <v>291</v>
      </c>
      <c r="C4634" s="1" t="s">
        <v>209</v>
      </c>
      <c r="D4634" s="2">
        <f t="shared" si="249"/>
        <v>2020</v>
      </c>
      <c r="E4634" s="2">
        <f t="shared" si="250"/>
        <v>9</v>
      </c>
      <c r="G4634" s="4">
        <v>44095</v>
      </c>
      <c r="H4634" s="1">
        <v>6600738</v>
      </c>
      <c r="I4634" s="1">
        <v>672261</v>
      </c>
      <c r="J4634" s="1" t="s">
        <v>191</v>
      </c>
      <c r="K4634" s="1" t="s">
        <v>210</v>
      </c>
      <c r="L4634" s="1" t="str">
        <f t="shared" si="251"/>
        <v>Vallentunasjön Va2</v>
      </c>
      <c r="M4634" s="1" t="s">
        <v>285</v>
      </c>
      <c r="N4634" s="1">
        <v>0.5</v>
      </c>
      <c r="O4634" s="1">
        <v>0.5</v>
      </c>
      <c r="P4634" s="1">
        <v>1.3</v>
      </c>
      <c r="Q4634" s="1">
        <v>13.3</v>
      </c>
      <c r="R4634" s="1">
        <v>10.7</v>
      </c>
      <c r="S4634" s="1">
        <v>103</v>
      </c>
    </row>
    <row r="4635" spans="1:38" x14ac:dyDescent="0.3">
      <c r="A4635" s="1">
        <v>82892</v>
      </c>
      <c r="B4635" s="1" t="s">
        <v>291</v>
      </c>
      <c r="C4635" s="1" t="s">
        <v>209</v>
      </c>
      <c r="D4635" s="2">
        <f t="shared" si="249"/>
        <v>2020</v>
      </c>
      <c r="E4635" s="2">
        <f t="shared" si="250"/>
        <v>9</v>
      </c>
      <c r="G4635" s="4">
        <v>44095</v>
      </c>
      <c r="H4635" s="1">
        <v>6600738</v>
      </c>
      <c r="I4635" s="1">
        <v>672261</v>
      </c>
      <c r="J4635" s="1" t="s">
        <v>191</v>
      </c>
      <c r="K4635" s="1" t="s">
        <v>210</v>
      </c>
      <c r="L4635" s="1" t="str">
        <f t="shared" si="251"/>
        <v>Vallentunasjön Va2</v>
      </c>
      <c r="M4635" s="1" t="s">
        <v>211</v>
      </c>
      <c r="N4635" s="1">
        <v>1</v>
      </c>
      <c r="O4635" s="1">
        <v>1</v>
      </c>
      <c r="Q4635" s="1">
        <v>13.2</v>
      </c>
      <c r="R4635" s="1">
        <v>10.7</v>
      </c>
      <c r="S4635" s="1">
        <v>102</v>
      </c>
    </row>
    <row r="4636" spans="1:38" x14ac:dyDescent="0.3">
      <c r="A4636" s="1">
        <v>82893</v>
      </c>
      <c r="B4636" s="1" t="s">
        <v>291</v>
      </c>
      <c r="C4636" s="1" t="s">
        <v>209</v>
      </c>
      <c r="D4636" s="2">
        <f t="shared" si="249"/>
        <v>2020</v>
      </c>
      <c r="E4636" s="2">
        <f t="shared" si="250"/>
        <v>9</v>
      </c>
      <c r="G4636" s="4">
        <v>44095</v>
      </c>
      <c r="H4636" s="1">
        <v>6600738</v>
      </c>
      <c r="I4636" s="1">
        <v>672261</v>
      </c>
      <c r="J4636" s="1" t="s">
        <v>191</v>
      </c>
      <c r="K4636" s="1" t="s">
        <v>210</v>
      </c>
      <c r="L4636" s="1" t="str">
        <f t="shared" si="251"/>
        <v>Vallentunasjön Va2</v>
      </c>
      <c r="M4636" s="1" t="s">
        <v>212</v>
      </c>
      <c r="N4636" s="1">
        <v>2</v>
      </c>
      <c r="O4636" s="1">
        <v>2</v>
      </c>
      <c r="Q4636" s="1">
        <v>13.2</v>
      </c>
      <c r="R4636" s="1">
        <v>10.7</v>
      </c>
      <c r="S4636" s="1">
        <v>102</v>
      </c>
    </row>
    <row r="4637" spans="1:38" x14ac:dyDescent="0.3">
      <c r="A4637" s="1">
        <v>82894</v>
      </c>
      <c r="B4637" s="1" t="s">
        <v>291</v>
      </c>
      <c r="C4637" s="1" t="s">
        <v>209</v>
      </c>
      <c r="D4637" s="2">
        <f t="shared" si="249"/>
        <v>2020</v>
      </c>
      <c r="E4637" s="2">
        <f t="shared" si="250"/>
        <v>9</v>
      </c>
      <c r="G4637" s="4">
        <v>44095</v>
      </c>
      <c r="H4637" s="1">
        <v>6600738</v>
      </c>
      <c r="I4637" s="1">
        <v>672261</v>
      </c>
      <c r="J4637" s="1" t="s">
        <v>191</v>
      </c>
      <c r="K4637" s="1" t="s">
        <v>210</v>
      </c>
      <c r="L4637" s="1" t="str">
        <f t="shared" si="251"/>
        <v>Vallentunasjön Va2</v>
      </c>
      <c r="M4637" s="1" t="s">
        <v>213</v>
      </c>
      <c r="N4637" s="1">
        <v>3</v>
      </c>
      <c r="O4637" s="1">
        <v>3</v>
      </c>
      <c r="Q4637" s="1">
        <v>13.2</v>
      </c>
      <c r="R4637" s="1">
        <v>10.6</v>
      </c>
      <c r="S4637" s="1">
        <v>102</v>
      </c>
    </row>
    <row r="4638" spans="1:38" x14ac:dyDescent="0.3">
      <c r="A4638" s="1">
        <v>82895</v>
      </c>
      <c r="B4638" s="1" t="s">
        <v>291</v>
      </c>
      <c r="C4638" s="1" t="s">
        <v>209</v>
      </c>
      <c r="D4638" s="2">
        <f t="shared" si="249"/>
        <v>2020</v>
      </c>
      <c r="E4638" s="2">
        <f t="shared" si="250"/>
        <v>9</v>
      </c>
      <c r="G4638" s="4">
        <v>44095</v>
      </c>
      <c r="H4638" s="1">
        <v>6600738</v>
      </c>
      <c r="I4638" s="1">
        <v>672261</v>
      </c>
      <c r="J4638" s="1" t="s">
        <v>191</v>
      </c>
      <c r="K4638" s="1" t="s">
        <v>210</v>
      </c>
      <c r="L4638" s="1" t="str">
        <f t="shared" si="251"/>
        <v>Vallentunasjön Va2</v>
      </c>
      <c r="M4638" s="1" t="s">
        <v>286</v>
      </c>
      <c r="N4638" s="1">
        <v>4</v>
      </c>
      <c r="O4638" s="1">
        <v>4</v>
      </c>
      <c r="Q4638" s="1">
        <v>13.2</v>
      </c>
      <c r="R4638" s="1">
        <v>10.6</v>
      </c>
      <c r="S4638" s="1">
        <v>102</v>
      </c>
    </row>
    <row r="4639" spans="1:38" x14ac:dyDescent="0.3">
      <c r="A4639" s="1">
        <v>82896</v>
      </c>
      <c r="B4639" s="1" t="s">
        <v>291</v>
      </c>
      <c r="C4639" s="1" t="s">
        <v>209</v>
      </c>
      <c r="D4639" s="2">
        <f t="shared" si="249"/>
        <v>2020</v>
      </c>
      <c r="E4639" s="2">
        <f t="shared" si="250"/>
        <v>9</v>
      </c>
      <c r="G4639" s="4">
        <v>44095</v>
      </c>
      <c r="H4639" s="1">
        <v>6600738</v>
      </c>
      <c r="I4639" s="1">
        <v>672261</v>
      </c>
      <c r="J4639" s="1" t="s">
        <v>191</v>
      </c>
      <c r="K4639" s="1" t="s">
        <v>210</v>
      </c>
      <c r="L4639" s="1" t="str">
        <f t="shared" si="251"/>
        <v>Vallentunasjön Va2</v>
      </c>
      <c r="M4639" s="1" t="s">
        <v>286</v>
      </c>
      <c r="N4639" s="1">
        <v>4.5</v>
      </c>
      <c r="O4639" s="1">
        <v>4.5</v>
      </c>
    </row>
    <row r="4640" spans="1:38" x14ac:dyDescent="0.3">
      <c r="A4640" s="1">
        <v>82897</v>
      </c>
      <c r="B4640" s="1" t="s">
        <v>291</v>
      </c>
      <c r="C4640" s="1" t="s">
        <v>209</v>
      </c>
      <c r="D4640" s="2">
        <f t="shared" si="249"/>
        <v>2020</v>
      </c>
      <c r="E4640" s="2">
        <f t="shared" si="250"/>
        <v>9</v>
      </c>
      <c r="G4640" s="4">
        <v>44095</v>
      </c>
      <c r="J4640" s="1" t="s">
        <v>191</v>
      </c>
      <c r="K4640" s="1" t="s">
        <v>206</v>
      </c>
      <c r="L4640" s="1" t="str">
        <f t="shared" si="251"/>
        <v>Vallentunasjön Blandprov</v>
      </c>
      <c r="M4640" s="1" t="s">
        <v>285</v>
      </c>
      <c r="N4640" s="1">
        <v>0</v>
      </c>
      <c r="O4640" s="1">
        <v>4</v>
      </c>
      <c r="W4640" s="1">
        <v>3.3142999999999998</v>
      </c>
      <c r="X4640" s="1">
        <v>5.8646280528662019E-2</v>
      </c>
      <c r="Y4640" s="1">
        <v>3.2000000000000001E-2</v>
      </c>
      <c r="Z4640" s="1">
        <v>0</v>
      </c>
      <c r="AA4640" s="1">
        <v>10.666666666999999</v>
      </c>
      <c r="AB4640" s="1">
        <v>38.0169</v>
      </c>
      <c r="AD4640" s="1">
        <v>1.19</v>
      </c>
      <c r="AE4640" s="1">
        <v>8.34</v>
      </c>
      <c r="AG4640" s="1">
        <v>15</v>
      </c>
      <c r="AK4640" s="1">
        <v>44.725000000000001</v>
      </c>
      <c r="AL4640" s="1">
        <v>1182.97</v>
      </c>
    </row>
    <row r="4641" spans="1:38" x14ac:dyDescent="0.3">
      <c r="A4641" s="1">
        <v>83653</v>
      </c>
      <c r="B4641" s="1" t="s">
        <v>291</v>
      </c>
      <c r="C4641" s="1" t="s">
        <v>209</v>
      </c>
      <c r="D4641" s="2">
        <f t="shared" si="249"/>
        <v>2020</v>
      </c>
      <c r="E4641" s="2">
        <f t="shared" si="250"/>
        <v>10</v>
      </c>
      <c r="G4641" s="4">
        <v>44124</v>
      </c>
      <c r="H4641" s="1">
        <v>6600738</v>
      </c>
      <c r="I4641" s="1">
        <v>672261</v>
      </c>
      <c r="J4641" s="1" t="s">
        <v>191</v>
      </c>
      <c r="K4641" s="1" t="s">
        <v>210</v>
      </c>
      <c r="L4641" s="1" t="str">
        <f t="shared" si="251"/>
        <v>Vallentunasjön Va2</v>
      </c>
      <c r="M4641" s="1" t="s">
        <v>285</v>
      </c>
      <c r="N4641" s="1">
        <v>0.5</v>
      </c>
      <c r="O4641" s="1">
        <v>0.5</v>
      </c>
      <c r="P4641" s="1">
        <v>1.4</v>
      </c>
      <c r="Q4641" s="1">
        <v>7.2</v>
      </c>
      <c r="R4641" s="1">
        <v>11.4</v>
      </c>
      <c r="S4641" s="1">
        <v>95</v>
      </c>
    </row>
    <row r="4642" spans="1:38" x14ac:dyDescent="0.3">
      <c r="A4642" s="1">
        <v>83654</v>
      </c>
      <c r="B4642" s="1" t="s">
        <v>291</v>
      </c>
      <c r="C4642" s="1" t="s">
        <v>209</v>
      </c>
      <c r="D4642" s="2">
        <f t="shared" si="249"/>
        <v>2020</v>
      </c>
      <c r="E4642" s="2">
        <f t="shared" si="250"/>
        <v>10</v>
      </c>
      <c r="G4642" s="4">
        <v>44124</v>
      </c>
      <c r="H4642" s="1">
        <v>6600738</v>
      </c>
      <c r="I4642" s="1">
        <v>672261</v>
      </c>
      <c r="J4642" s="1" t="s">
        <v>191</v>
      </c>
      <c r="K4642" s="1" t="s">
        <v>210</v>
      </c>
      <c r="L4642" s="1" t="str">
        <f t="shared" si="251"/>
        <v>Vallentunasjön Va2</v>
      </c>
      <c r="M4642" s="1" t="s">
        <v>211</v>
      </c>
      <c r="N4642" s="1">
        <v>1</v>
      </c>
      <c r="O4642" s="1">
        <v>1</v>
      </c>
      <c r="Q4642" s="1">
        <v>7.2</v>
      </c>
      <c r="R4642" s="1">
        <v>11.4</v>
      </c>
      <c r="S4642" s="1">
        <v>95</v>
      </c>
    </row>
    <row r="4643" spans="1:38" x14ac:dyDescent="0.3">
      <c r="A4643" s="1">
        <v>83655</v>
      </c>
      <c r="B4643" s="1" t="s">
        <v>291</v>
      </c>
      <c r="C4643" s="1" t="s">
        <v>209</v>
      </c>
      <c r="D4643" s="2">
        <f t="shared" si="249"/>
        <v>2020</v>
      </c>
      <c r="E4643" s="2">
        <f t="shared" si="250"/>
        <v>10</v>
      </c>
      <c r="G4643" s="4">
        <v>44124</v>
      </c>
      <c r="H4643" s="1">
        <v>6600738</v>
      </c>
      <c r="I4643" s="1">
        <v>672261</v>
      </c>
      <c r="J4643" s="1" t="s">
        <v>191</v>
      </c>
      <c r="K4643" s="1" t="s">
        <v>210</v>
      </c>
      <c r="L4643" s="1" t="str">
        <f t="shared" si="251"/>
        <v>Vallentunasjön Va2</v>
      </c>
      <c r="M4643" s="1" t="s">
        <v>212</v>
      </c>
      <c r="N4643" s="1">
        <v>2</v>
      </c>
      <c r="O4643" s="1">
        <v>2</v>
      </c>
      <c r="Q4643" s="1">
        <v>7.2</v>
      </c>
      <c r="R4643" s="1">
        <v>11.4</v>
      </c>
      <c r="S4643" s="1">
        <v>95</v>
      </c>
    </row>
    <row r="4644" spans="1:38" x14ac:dyDescent="0.3">
      <c r="A4644" s="1">
        <v>83656</v>
      </c>
      <c r="B4644" s="1" t="s">
        <v>291</v>
      </c>
      <c r="C4644" s="1" t="s">
        <v>209</v>
      </c>
      <c r="D4644" s="2">
        <f t="shared" si="249"/>
        <v>2020</v>
      </c>
      <c r="E4644" s="2">
        <f t="shared" si="250"/>
        <v>10</v>
      </c>
      <c r="G4644" s="4">
        <v>44124</v>
      </c>
      <c r="H4644" s="1">
        <v>6600738</v>
      </c>
      <c r="I4644" s="1">
        <v>672261</v>
      </c>
      <c r="J4644" s="1" t="s">
        <v>191</v>
      </c>
      <c r="K4644" s="1" t="s">
        <v>210</v>
      </c>
      <c r="L4644" s="1" t="str">
        <f t="shared" si="251"/>
        <v>Vallentunasjön Va2</v>
      </c>
      <c r="M4644" s="1" t="s">
        <v>213</v>
      </c>
      <c r="N4644" s="1">
        <v>3</v>
      </c>
      <c r="O4644" s="1">
        <v>3</v>
      </c>
      <c r="Q4644" s="1">
        <v>7.2</v>
      </c>
      <c r="R4644" s="1">
        <v>11.1</v>
      </c>
      <c r="S4644" s="1">
        <v>92</v>
      </c>
    </row>
    <row r="4645" spans="1:38" x14ac:dyDescent="0.3">
      <c r="A4645" s="1">
        <v>83657</v>
      </c>
      <c r="B4645" s="1" t="s">
        <v>291</v>
      </c>
      <c r="C4645" s="1" t="s">
        <v>209</v>
      </c>
      <c r="D4645" s="2">
        <f t="shared" si="249"/>
        <v>2020</v>
      </c>
      <c r="E4645" s="2">
        <f t="shared" si="250"/>
        <v>10</v>
      </c>
      <c r="G4645" s="4">
        <v>44124</v>
      </c>
      <c r="H4645" s="1">
        <v>6600738</v>
      </c>
      <c r="I4645" s="1">
        <v>672261</v>
      </c>
      <c r="J4645" s="1" t="s">
        <v>191</v>
      </c>
      <c r="K4645" s="1" t="s">
        <v>210</v>
      </c>
      <c r="L4645" s="1" t="str">
        <f t="shared" si="251"/>
        <v>Vallentunasjön Va2</v>
      </c>
      <c r="M4645" s="1" t="s">
        <v>286</v>
      </c>
      <c r="N4645" s="1">
        <v>4</v>
      </c>
      <c r="O4645" s="1">
        <v>4</v>
      </c>
      <c r="Q4645" s="1">
        <v>7.2</v>
      </c>
      <c r="R4645" s="1">
        <v>10.7</v>
      </c>
      <c r="S4645" s="1">
        <v>89</v>
      </c>
    </row>
    <row r="4646" spans="1:38" x14ac:dyDescent="0.3">
      <c r="A4646" s="1">
        <v>83658</v>
      </c>
      <c r="B4646" s="1" t="s">
        <v>291</v>
      </c>
      <c r="C4646" s="1" t="s">
        <v>209</v>
      </c>
      <c r="D4646" s="2">
        <f t="shared" si="249"/>
        <v>2020</v>
      </c>
      <c r="E4646" s="2">
        <f t="shared" si="250"/>
        <v>10</v>
      </c>
      <c r="G4646" s="4">
        <v>44124</v>
      </c>
      <c r="H4646" s="1">
        <v>6600738</v>
      </c>
      <c r="I4646" s="1">
        <v>672261</v>
      </c>
      <c r="J4646" s="1" t="s">
        <v>191</v>
      </c>
      <c r="K4646" s="1" t="s">
        <v>210</v>
      </c>
      <c r="L4646" s="1" t="str">
        <f t="shared" si="251"/>
        <v>Vallentunasjön Va2</v>
      </c>
      <c r="M4646" s="1" t="s">
        <v>286</v>
      </c>
      <c r="N4646" s="1">
        <v>4.5</v>
      </c>
      <c r="O4646" s="1">
        <v>4.5</v>
      </c>
      <c r="Q4646" s="1">
        <v>7.2</v>
      </c>
    </row>
    <row r="4647" spans="1:38" x14ac:dyDescent="0.3">
      <c r="A4647" s="1">
        <v>83659</v>
      </c>
      <c r="B4647" s="1" t="s">
        <v>291</v>
      </c>
      <c r="C4647" s="1" t="s">
        <v>209</v>
      </c>
      <c r="D4647" s="2">
        <f t="shared" si="249"/>
        <v>2020</v>
      </c>
      <c r="E4647" s="2">
        <f t="shared" si="250"/>
        <v>10</v>
      </c>
      <c r="G4647" s="4">
        <v>44124</v>
      </c>
      <c r="J4647" s="1" t="s">
        <v>191</v>
      </c>
      <c r="K4647" s="1" t="s">
        <v>210</v>
      </c>
      <c r="L4647" s="1" t="str">
        <f t="shared" si="251"/>
        <v>Vallentunasjön Va2</v>
      </c>
      <c r="M4647" s="1" t="s">
        <v>285</v>
      </c>
      <c r="N4647" s="1">
        <v>0</v>
      </c>
      <c r="O4647" s="1">
        <v>4</v>
      </c>
      <c r="W4647" s="1">
        <v>39.371499999999997</v>
      </c>
      <c r="X4647" s="1">
        <v>0.53074984580397644</v>
      </c>
      <c r="Y4647" s="1">
        <v>0.05</v>
      </c>
      <c r="Z4647" s="1">
        <v>0</v>
      </c>
      <c r="AA4647" s="1">
        <v>8.8000000000000007</v>
      </c>
      <c r="AB4647" s="1">
        <v>13.617000000000001</v>
      </c>
      <c r="AD4647" s="1">
        <v>8.5500000000000007</v>
      </c>
      <c r="AE4647" s="1">
        <v>8.2200000000000006</v>
      </c>
      <c r="AG4647" s="1">
        <v>15.2</v>
      </c>
      <c r="AK4647" s="1">
        <v>40.869999999999997</v>
      </c>
      <c r="AL4647" s="1">
        <v>1184.9000000000001</v>
      </c>
    </row>
    <row r="4648" spans="1:38" x14ac:dyDescent="0.3">
      <c r="A4648" s="1">
        <v>84789</v>
      </c>
      <c r="B4648" s="1" t="s">
        <v>291</v>
      </c>
      <c r="C4648" s="1" t="s">
        <v>209</v>
      </c>
      <c r="D4648" s="2">
        <f t="shared" si="249"/>
        <v>2020</v>
      </c>
      <c r="E4648" s="2">
        <f t="shared" si="250"/>
        <v>12</v>
      </c>
      <c r="G4648" s="4">
        <v>44179</v>
      </c>
      <c r="H4648" s="1">
        <v>6600738</v>
      </c>
      <c r="I4648" s="1">
        <v>672261</v>
      </c>
      <c r="J4648" s="1" t="s">
        <v>191</v>
      </c>
      <c r="K4648" s="1" t="s">
        <v>210</v>
      </c>
      <c r="L4648" s="1" t="str">
        <f t="shared" si="251"/>
        <v>Vallentunasjön Va2</v>
      </c>
      <c r="M4648" s="1" t="s">
        <v>285</v>
      </c>
      <c r="N4648" s="1">
        <v>0.5</v>
      </c>
      <c r="O4648" s="1">
        <v>0.5</v>
      </c>
      <c r="P4648" s="1">
        <v>2.2999999999999998</v>
      </c>
      <c r="Q4648" s="1">
        <v>2.9</v>
      </c>
      <c r="R4648" s="1">
        <v>11</v>
      </c>
      <c r="S4648" s="1">
        <v>81</v>
      </c>
    </row>
    <row r="4649" spans="1:38" x14ac:dyDescent="0.3">
      <c r="A4649" s="1">
        <v>84790</v>
      </c>
      <c r="B4649" s="1" t="s">
        <v>291</v>
      </c>
      <c r="C4649" s="1" t="s">
        <v>209</v>
      </c>
      <c r="D4649" s="2">
        <f t="shared" si="249"/>
        <v>2020</v>
      </c>
      <c r="E4649" s="2">
        <f t="shared" si="250"/>
        <v>12</v>
      </c>
      <c r="G4649" s="4">
        <v>44179</v>
      </c>
      <c r="H4649" s="1">
        <v>6600738</v>
      </c>
      <c r="I4649" s="1">
        <v>672261</v>
      </c>
      <c r="J4649" s="1" t="s">
        <v>191</v>
      </c>
      <c r="K4649" s="1" t="s">
        <v>210</v>
      </c>
      <c r="L4649" s="1" t="str">
        <f t="shared" si="251"/>
        <v>Vallentunasjön Va2</v>
      </c>
      <c r="M4649" s="1" t="s">
        <v>211</v>
      </c>
      <c r="N4649" s="1">
        <v>1</v>
      </c>
      <c r="O4649" s="1">
        <v>1</v>
      </c>
      <c r="Q4649" s="1">
        <v>2.9</v>
      </c>
      <c r="R4649" s="1">
        <v>11</v>
      </c>
      <c r="S4649" s="1">
        <v>81</v>
      </c>
    </row>
    <row r="4650" spans="1:38" x14ac:dyDescent="0.3">
      <c r="A4650" s="1">
        <v>84791</v>
      </c>
      <c r="B4650" s="1" t="s">
        <v>291</v>
      </c>
      <c r="C4650" s="1" t="s">
        <v>209</v>
      </c>
      <c r="D4650" s="2">
        <f t="shared" si="249"/>
        <v>2020</v>
      </c>
      <c r="E4650" s="2">
        <f t="shared" si="250"/>
        <v>12</v>
      </c>
      <c r="G4650" s="4">
        <v>44179</v>
      </c>
      <c r="H4650" s="1">
        <v>6600738</v>
      </c>
      <c r="I4650" s="1">
        <v>672261</v>
      </c>
      <c r="J4650" s="1" t="s">
        <v>191</v>
      </c>
      <c r="K4650" s="1" t="s">
        <v>210</v>
      </c>
      <c r="L4650" s="1" t="str">
        <f t="shared" si="251"/>
        <v>Vallentunasjön Va2</v>
      </c>
      <c r="M4650" s="1" t="s">
        <v>212</v>
      </c>
      <c r="N4650" s="1">
        <v>2</v>
      </c>
      <c r="O4650" s="1">
        <v>2</v>
      </c>
      <c r="Q4650" s="1">
        <v>3</v>
      </c>
      <c r="R4650" s="1">
        <v>10.9</v>
      </c>
      <c r="S4650" s="1">
        <v>81</v>
      </c>
    </row>
    <row r="4651" spans="1:38" x14ac:dyDescent="0.3">
      <c r="A4651" s="1">
        <v>84792</v>
      </c>
      <c r="B4651" s="1" t="s">
        <v>291</v>
      </c>
      <c r="C4651" s="1" t="s">
        <v>209</v>
      </c>
      <c r="D4651" s="2">
        <f t="shared" si="249"/>
        <v>2020</v>
      </c>
      <c r="E4651" s="2">
        <f t="shared" si="250"/>
        <v>12</v>
      </c>
      <c r="G4651" s="4">
        <v>44179</v>
      </c>
      <c r="H4651" s="1">
        <v>6600738</v>
      </c>
      <c r="I4651" s="1">
        <v>672261</v>
      </c>
      <c r="J4651" s="1" t="s">
        <v>191</v>
      </c>
      <c r="K4651" s="1" t="s">
        <v>210</v>
      </c>
      <c r="L4651" s="1" t="str">
        <f t="shared" si="251"/>
        <v>Vallentunasjön Va2</v>
      </c>
      <c r="M4651" s="1" t="s">
        <v>213</v>
      </c>
      <c r="N4651" s="1">
        <v>3</v>
      </c>
      <c r="O4651" s="1">
        <v>3</v>
      </c>
      <c r="Q4651" s="1">
        <v>3</v>
      </c>
      <c r="R4651" s="1">
        <v>10.9</v>
      </c>
      <c r="S4651" s="1">
        <v>81</v>
      </c>
    </row>
    <row r="4652" spans="1:38" x14ac:dyDescent="0.3">
      <c r="A4652" s="1">
        <v>84793</v>
      </c>
      <c r="B4652" s="1" t="s">
        <v>291</v>
      </c>
      <c r="C4652" s="1" t="s">
        <v>209</v>
      </c>
      <c r="D4652" s="2">
        <f t="shared" si="249"/>
        <v>2020</v>
      </c>
      <c r="E4652" s="2">
        <f t="shared" si="250"/>
        <v>12</v>
      </c>
      <c r="G4652" s="4">
        <v>44179</v>
      </c>
      <c r="H4652" s="1">
        <v>6600738</v>
      </c>
      <c r="I4652" s="1">
        <v>672261</v>
      </c>
      <c r="J4652" s="1" t="s">
        <v>191</v>
      </c>
      <c r="K4652" s="1" t="s">
        <v>210</v>
      </c>
      <c r="L4652" s="1" t="str">
        <f t="shared" si="251"/>
        <v>Vallentunasjön Va2</v>
      </c>
      <c r="M4652" s="1" t="s">
        <v>214</v>
      </c>
      <c r="N4652" s="1">
        <v>4</v>
      </c>
      <c r="O4652" s="1">
        <v>4</v>
      </c>
      <c r="Q4652" s="1">
        <v>3</v>
      </c>
      <c r="R4652" s="1">
        <v>10.8</v>
      </c>
      <c r="S4652" s="1">
        <v>80</v>
      </c>
    </row>
    <row r="4653" spans="1:38" x14ac:dyDescent="0.3">
      <c r="A4653" s="1">
        <v>84794</v>
      </c>
      <c r="B4653" s="1" t="s">
        <v>291</v>
      </c>
      <c r="C4653" s="1" t="s">
        <v>209</v>
      </c>
      <c r="D4653" s="2">
        <f t="shared" si="249"/>
        <v>2020</v>
      </c>
      <c r="E4653" s="2">
        <f t="shared" si="250"/>
        <v>12</v>
      </c>
      <c r="G4653" s="4">
        <v>44179</v>
      </c>
      <c r="H4653" s="1">
        <v>6600738</v>
      </c>
      <c r="I4653" s="1">
        <v>672261</v>
      </c>
      <c r="J4653" s="1" t="s">
        <v>191</v>
      </c>
      <c r="K4653" s="1" t="s">
        <v>210</v>
      </c>
      <c r="L4653" s="1" t="str">
        <f t="shared" si="251"/>
        <v>Vallentunasjön Va2</v>
      </c>
      <c r="M4653" s="1" t="s">
        <v>286</v>
      </c>
      <c r="N4653" s="1">
        <v>4.5</v>
      </c>
      <c r="O4653" s="1">
        <v>4.5</v>
      </c>
      <c r="Q4653" s="1">
        <v>3.1</v>
      </c>
      <c r="R4653" s="1">
        <v>10.5</v>
      </c>
      <c r="S4653" s="1">
        <v>78</v>
      </c>
    </row>
    <row r="4654" spans="1:38" x14ac:dyDescent="0.3">
      <c r="A4654" s="1">
        <v>84795</v>
      </c>
      <c r="B4654" s="1" t="s">
        <v>291</v>
      </c>
      <c r="C4654" s="1" t="s">
        <v>209</v>
      </c>
      <c r="D4654" s="2">
        <f t="shared" si="249"/>
        <v>2020</v>
      </c>
      <c r="E4654" s="2">
        <f t="shared" si="250"/>
        <v>12</v>
      </c>
      <c r="G4654" s="4">
        <v>44179</v>
      </c>
      <c r="J4654" s="1" t="s">
        <v>191</v>
      </c>
      <c r="K4654" s="12" t="s">
        <v>206</v>
      </c>
      <c r="L4654" s="1" t="str">
        <f t="shared" si="251"/>
        <v>Vallentunasjön Blandprov</v>
      </c>
      <c r="M4654" s="1" t="s">
        <v>285</v>
      </c>
      <c r="N4654" s="1">
        <v>0</v>
      </c>
      <c r="O4654" s="1">
        <v>4</v>
      </c>
      <c r="W4654" s="1">
        <v>376.69630000000001</v>
      </c>
      <c r="X4654" s="1">
        <v>2.744215581462742</v>
      </c>
      <c r="Y4654" s="1">
        <v>4.1000000000000002E-2</v>
      </c>
      <c r="Z4654" s="1">
        <v>1.72</v>
      </c>
      <c r="AA4654" s="1">
        <v>1.2</v>
      </c>
      <c r="AB4654" s="1">
        <v>18.984960000000001</v>
      </c>
      <c r="AD4654" s="1">
        <v>65.28</v>
      </c>
      <c r="AE4654" s="1">
        <v>7.95</v>
      </c>
      <c r="AG4654" s="1">
        <v>5.2</v>
      </c>
      <c r="AK4654" s="1">
        <v>23.73</v>
      </c>
      <c r="AL4654" s="1">
        <v>1250.98</v>
      </c>
    </row>
    <row r="4655" spans="1:38" x14ac:dyDescent="0.3">
      <c r="A4655" s="1">
        <v>85983</v>
      </c>
      <c r="B4655" s="1" t="s">
        <v>292</v>
      </c>
      <c r="C4655" s="1" t="s">
        <v>209</v>
      </c>
      <c r="D4655" s="2">
        <f t="shared" si="249"/>
        <v>2021</v>
      </c>
      <c r="E4655" s="2">
        <f t="shared" si="250"/>
        <v>3</v>
      </c>
      <c r="G4655" s="4">
        <v>44263</v>
      </c>
      <c r="H4655" s="1">
        <v>6600738</v>
      </c>
      <c r="I4655" s="1">
        <v>672261</v>
      </c>
      <c r="J4655" s="1" t="s">
        <v>191</v>
      </c>
      <c r="K4655" s="1" t="s">
        <v>210</v>
      </c>
      <c r="L4655" s="1" t="str">
        <f t="shared" si="251"/>
        <v>Vallentunasjön Va2</v>
      </c>
      <c r="M4655" s="1" t="s">
        <v>285</v>
      </c>
      <c r="N4655" s="1">
        <v>0.5</v>
      </c>
      <c r="O4655" s="1">
        <v>0.5</v>
      </c>
      <c r="P4655" s="1">
        <v>2.5</v>
      </c>
      <c r="Q4655" s="1">
        <v>1.9</v>
      </c>
      <c r="R4655" s="1">
        <v>12.3</v>
      </c>
      <c r="S4655" s="1">
        <v>89</v>
      </c>
    </row>
    <row r="4656" spans="1:38" x14ac:dyDescent="0.3">
      <c r="A4656" s="1">
        <v>85984</v>
      </c>
      <c r="B4656" s="1" t="s">
        <v>292</v>
      </c>
      <c r="C4656" s="1" t="s">
        <v>209</v>
      </c>
      <c r="D4656" s="2">
        <f t="shared" si="249"/>
        <v>2021</v>
      </c>
      <c r="E4656" s="2">
        <f t="shared" si="250"/>
        <v>3</v>
      </c>
      <c r="G4656" s="4">
        <v>44263</v>
      </c>
      <c r="H4656" s="1">
        <v>6600738</v>
      </c>
      <c r="I4656" s="1">
        <v>672261</v>
      </c>
      <c r="J4656" s="1" t="s">
        <v>191</v>
      </c>
      <c r="K4656" s="1" t="s">
        <v>210</v>
      </c>
      <c r="L4656" s="1" t="str">
        <f t="shared" si="251"/>
        <v>Vallentunasjön Va2</v>
      </c>
      <c r="M4656" s="1" t="s">
        <v>211</v>
      </c>
      <c r="N4656" s="1">
        <v>1</v>
      </c>
      <c r="O4656" s="1">
        <v>1</v>
      </c>
      <c r="Q4656" s="1">
        <v>1.8</v>
      </c>
      <c r="R4656" s="1">
        <v>12.3</v>
      </c>
      <c r="S4656" s="1">
        <v>89</v>
      </c>
    </row>
    <row r="4657" spans="1:38" x14ac:dyDescent="0.3">
      <c r="A4657" s="1">
        <v>85985</v>
      </c>
      <c r="B4657" s="1" t="s">
        <v>292</v>
      </c>
      <c r="C4657" s="1" t="s">
        <v>209</v>
      </c>
      <c r="D4657" s="2">
        <f t="shared" si="249"/>
        <v>2021</v>
      </c>
      <c r="E4657" s="2">
        <f t="shared" si="250"/>
        <v>3</v>
      </c>
      <c r="G4657" s="4">
        <v>44263</v>
      </c>
      <c r="H4657" s="1">
        <v>6600738</v>
      </c>
      <c r="I4657" s="1">
        <v>672261</v>
      </c>
      <c r="J4657" s="1" t="s">
        <v>191</v>
      </c>
      <c r="K4657" s="1" t="s">
        <v>210</v>
      </c>
      <c r="L4657" s="1" t="str">
        <f t="shared" si="251"/>
        <v>Vallentunasjön Va2</v>
      </c>
      <c r="M4657" s="1" t="s">
        <v>212</v>
      </c>
      <c r="N4657" s="1">
        <v>2</v>
      </c>
      <c r="O4657" s="1">
        <v>2</v>
      </c>
      <c r="Q4657" s="1">
        <v>1.8</v>
      </c>
      <c r="R4657" s="1">
        <v>12.3</v>
      </c>
      <c r="S4657" s="1">
        <v>89</v>
      </c>
    </row>
    <row r="4658" spans="1:38" x14ac:dyDescent="0.3">
      <c r="A4658" s="1">
        <v>85986</v>
      </c>
      <c r="B4658" s="1" t="s">
        <v>292</v>
      </c>
      <c r="C4658" s="1" t="s">
        <v>209</v>
      </c>
      <c r="D4658" s="2">
        <f t="shared" si="249"/>
        <v>2021</v>
      </c>
      <c r="E4658" s="2">
        <f t="shared" si="250"/>
        <v>3</v>
      </c>
      <c r="G4658" s="4">
        <v>44263</v>
      </c>
      <c r="H4658" s="1">
        <v>6600738</v>
      </c>
      <c r="I4658" s="1">
        <v>672261</v>
      </c>
      <c r="J4658" s="1" t="s">
        <v>191</v>
      </c>
      <c r="K4658" s="1" t="s">
        <v>210</v>
      </c>
      <c r="L4658" s="1" t="str">
        <f t="shared" si="251"/>
        <v>Vallentunasjön Va2</v>
      </c>
      <c r="M4658" s="1" t="s">
        <v>213</v>
      </c>
      <c r="N4658" s="1">
        <v>3</v>
      </c>
      <c r="O4658" s="1">
        <v>3</v>
      </c>
      <c r="Q4658" s="1">
        <v>1.8</v>
      </c>
      <c r="R4658" s="1">
        <v>12.3</v>
      </c>
      <c r="S4658" s="1">
        <v>89</v>
      </c>
    </row>
    <row r="4659" spans="1:38" x14ac:dyDescent="0.3">
      <c r="A4659" s="1">
        <v>85987</v>
      </c>
      <c r="B4659" s="1" t="s">
        <v>292</v>
      </c>
      <c r="C4659" s="1" t="s">
        <v>209</v>
      </c>
      <c r="D4659" s="2">
        <f t="shared" si="249"/>
        <v>2021</v>
      </c>
      <c r="E4659" s="2">
        <f t="shared" si="250"/>
        <v>3</v>
      </c>
      <c r="G4659" s="4">
        <v>44263</v>
      </c>
      <c r="H4659" s="1">
        <v>6600738</v>
      </c>
      <c r="I4659" s="1">
        <v>672261</v>
      </c>
      <c r="J4659" s="1" t="s">
        <v>191</v>
      </c>
      <c r="K4659" s="1" t="s">
        <v>210</v>
      </c>
      <c r="L4659" s="1" t="str">
        <f t="shared" si="251"/>
        <v>Vallentunasjön Va2</v>
      </c>
      <c r="M4659" s="1" t="s">
        <v>214</v>
      </c>
      <c r="N4659" s="1">
        <v>4</v>
      </c>
      <c r="O4659" s="1">
        <v>4</v>
      </c>
      <c r="Q4659" s="1">
        <v>1.8</v>
      </c>
      <c r="R4659" s="1">
        <v>12.3</v>
      </c>
      <c r="S4659" s="1">
        <v>88</v>
      </c>
    </row>
    <row r="4660" spans="1:38" x14ac:dyDescent="0.3">
      <c r="A4660" s="1">
        <v>85988</v>
      </c>
      <c r="B4660" s="1" t="s">
        <v>292</v>
      </c>
      <c r="C4660" s="1" t="s">
        <v>209</v>
      </c>
      <c r="D4660" s="2">
        <f t="shared" si="249"/>
        <v>2021</v>
      </c>
      <c r="E4660" s="2">
        <f t="shared" si="250"/>
        <v>3</v>
      </c>
      <c r="G4660" s="4">
        <v>44263</v>
      </c>
      <c r="H4660" s="1">
        <v>6600738</v>
      </c>
      <c r="I4660" s="1">
        <v>672261</v>
      </c>
      <c r="J4660" s="1" t="s">
        <v>191</v>
      </c>
      <c r="K4660" s="1" t="s">
        <v>210</v>
      </c>
      <c r="L4660" s="1" t="str">
        <f t="shared" si="251"/>
        <v>Vallentunasjön Va2</v>
      </c>
      <c r="M4660" s="1" t="s">
        <v>286</v>
      </c>
      <c r="N4660" s="1">
        <v>4.5</v>
      </c>
      <c r="O4660" s="1">
        <v>4.5</v>
      </c>
      <c r="Q4660" s="1">
        <v>1.8</v>
      </c>
      <c r="R4660" s="1">
        <v>12.3</v>
      </c>
      <c r="S4660" s="1">
        <v>88</v>
      </c>
    </row>
    <row r="4661" spans="1:38" x14ac:dyDescent="0.3">
      <c r="A4661" s="1">
        <v>86282</v>
      </c>
      <c r="B4661" s="1" t="s">
        <v>292</v>
      </c>
      <c r="C4661" s="1" t="s">
        <v>209</v>
      </c>
      <c r="D4661" s="2">
        <f t="shared" si="249"/>
        <v>2021</v>
      </c>
      <c r="E4661" s="2">
        <f t="shared" si="250"/>
        <v>3</v>
      </c>
      <c r="G4661" s="4">
        <v>44263</v>
      </c>
      <c r="H4661" s="1">
        <v>6600620</v>
      </c>
      <c r="I4661" s="1">
        <v>671930</v>
      </c>
      <c r="J4661" s="1" t="s">
        <v>191</v>
      </c>
      <c r="K4661" s="12" t="s">
        <v>206</v>
      </c>
      <c r="L4661" s="1" t="str">
        <f t="shared" si="251"/>
        <v>Vallentunasjön Blandprov</v>
      </c>
      <c r="M4661" s="1" t="s">
        <v>285</v>
      </c>
      <c r="N4661" s="1">
        <v>4</v>
      </c>
      <c r="O4661" s="1">
        <v>0</v>
      </c>
      <c r="W4661" s="1">
        <v>585.12210000000005</v>
      </c>
      <c r="X4661" s="1">
        <v>2.8886797562562023</v>
      </c>
      <c r="Y4661" s="1">
        <v>5.8999999999999997E-2</v>
      </c>
      <c r="Z4661" s="1">
        <v>1.05</v>
      </c>
      <c r="AB4661" s="1">
        <v>7.9524900000000001</v>
      </c>
      <c r="AD4661" s="1">
        <v>287.68</v>
      </c>
      <c r="AE4661" s="1">
        <v>7.78</v>
      </c>
      <c r="AG4661" s="1">
        <v>4.5999999999999996</v>
      </c>
      <c r="AK4661" s="1">
        <v>27.23</v>
      </c>
      <c r="AL4661" s="1">
        <v>1596.15</v>
      </c>
    </row>
    <row r="4662" spans="1:38" x14ac:dyDescent="0.3">
      <c r="A4662" s="1">
        <v>87588</v>
      </c>
      <c r="B4662" s="1" t="s">
        <v>292</v>
      </c>
      <c r="C4662" s="1" t="s">
        <v>209</v>
      </c>
      <c r="D4662" s="2">
        <f t="shared" si="249"/>
        <v>2021</v>
      </c>
      <c r="E4662" s="2">
        <f t="shared" si="250"/>
        <v>5</v>
      </c>
      <c r="G4662" s="4">
        <v>44326</v>
      </c>
      <c r="H4662" s="1">
        <v>6600738</v>
      </c>
      <c r="I4662" s="1">
        <v>672261</v>
      </c>
      <c r="J4662" s="1" t="s">
        <v>191</v>
      </c>
      <c r="K4662" s="1" t="s">
        <v>210</v>
      </c>
      <c r="L4662" s="1" t="str">
        <f t="shared" si="251"/>
        <v>Vallentunasjön Va2</v>
      </c>
      <c r="M4662" s="1" t="s">
        <v>285</v>
      </c>
      <c r="N4662" s="1">
        <v>0.5</v>
      </c>
      <c r="O4662" s="1">
        <v>0.5</v>
      </c>
      <c r="P4662" s="1">
        <v>1.6</v>
      </c>
      <c r="Q4662" s="1">
        <v>12.4</v>
      </c>
      <c r="R4662" s="1">
        <v>13.2</v>
      </c>
      <c r="S4662" s="1">
        <v>124</v>
      </c>
    </row>
    <row r="4663" spans="1:38" x14ac:dyDescent="0.3">
      <c r="A4663" s="1">
        <v>87589</v>
      </c>
      <c r="B4663" s="1" t="s">
        <v>292</v>
      </c>
      <c r="C4663" s="1" t="s">
        <v>209</v>
      </c>
      <c r="D4663" s="2">
        <f t="shared" si="249"/>
        <v>2021</v>
      </c>
      <c r="E4663" s="2">
        <f t="shared" si="250"/>
        <v>5</v>
      </c>
      <c r="G4663" s="4">
        <v>44326</v>
      </c>
      <c r="H4663" s="1">
        <v>6600738</v>
      </c>
      <c r="I4663" s="1">
        <v>672261</v>
      </c>
      <c r="J4663" s="1" t="s">
        <v>191</v>
      </c>
      <c r="K4663" s="1" t="s">
        <v>210</v>
      </c>
      <c r="L4663" s="1" t="str">
        <f t="shared" si="251"/>
        <v>Vallentunasjön Va2</v>
      </c>
      <c r="M4663" s="1" t="s">
        <v>211</v>
      </c>
      <c r="N4663" s="1">
        <v>1</v>
      </c>
      <c r="O4663" s="1">
        <v>1</v>
      </c>
      <c r="Q4663" s="1">
        <v>9.3000000000000007</v>
      </c>
      <c r="R4663" s="1">
        <v>13.7</v>
      </c>
      <c r="S4663" s="1">
        <v>119</v>
      </c>
    </row>
    <row r="4664" spans="1:38" x14ac:dyDescent="0.3">
      <c r="A4664" s="1">
        <v>87590</v>
      </c>
      <c r="B4664" s="1" t="s">
        <v>292</v>
      </c>
      <c r="C4664" s="1" t="s">
        <v>209</v>
      </c>
      <c r="D4664" s="2">
        <f t="shared" si="249"/>
        <v>2021</v>
      </c>
      <c r="E4664" s="2">
        <f t="shared" si="250"/>
        <v>5</v>
      </c>
      <c r="G4664" s="4">
        <v>44326</v>
      </c>
      <c r="H4664" s="1">
        <v>6600738</v>
      </c>
      <c r="I4664" s="1">
        <v>672261</v>
      </c>
      <c r="J4664" s="1" t="s">
        <v>191</v>
      </c>
      <c r="K4664" s="1" t="s">
        <v>210</v>
      </c>
      <c r="L4664" s="1" t="str">
        <f t="shared" si="251"/>
        <v>Vallentunasjön Va2</v>
      </c>
      <c r="M4664" s="1" t="s">
        <v>212</v>
      </c>
      <c r="N4664" s="1">
        <v>2</v>
      </c>
      <c r="O4664" s="1">
        <v>2</v>
      </c>
      <c r="Q4664" s="1">
        <v>9</v>
      </c>
      <c r="R4664" s="1">
        <v>13.2</v>
      </c>
      <c r="S4664" s="1">
        <v>114</v>
      </c>
    </row>
    <row r="4665" spans="1:38" x14ac:dyDescent="0.3">
      <c r="A4665" s="1">
        <v>87591</v>
      </c>
      <c r="B4665" s="1" t="s">
        <v>292</v>
      </c>
      <c r="C4665" s="1" t="s">
        <v>209</v>
      </c>
      <c r="D4665" s="2">
        <f t="shared" si="249"/>
        <v>2021</v>
      </c>
      <c r="E4665" s="2">
        <f t="shared" si="250"/>
        <v>5</v>
      </c>
      <c r="G4665" s="4">
        <v>44326</v>
      </c>
      <c r="H4665" s="1">
        <v>6600738</v>
      </c>
      <c r="I4665" s="1">
        <v>672261</v>
      </c>
      <c r="J4665" s="1" t="s">
        <v>191</v>
      </c>
      <c r="K4665" s="1" t="s">
        <v>210</v>
      </c>
      <c r="L4665" s="1" t="str">
        <f t="shared" si="251"/>
        <v>Vallentunasjön Va2</v>
      </c>
      <c r="M4665" s="1" t="s">
        <v>213</v>
      </c>
      <c r="N4665" s="1">
        <v>3</v>
      </c>
      <c r="O4665" s="1">
        <v>3</v>
      </c>
      <c r="Q4665" s="1">
        <v>9</v>
      </c>
      <c r="R4665" s="1">
        <v>13.1</v>
      </c>
      <c r="S4665" s="1">
        <v>113</v>
      </c>
    </row>
    <row r="4666" spans="1:38" x14ac:dyDescent="0.3">
      <c r="A4666" s="1">
        <v>87592</v>
      </c>
      <c r="B4666" s="1" t="s">
        <v>292</v>
      </c>
      <c r="C4666" s="1" t="s">
        <v>209</v>
      </c>
      <c r="D4666" s="2">
        <f t="shared" si="249"/>
        <v>2021</v>
      </c>
      <c r="E4666" s="2">
        <f t="shared" si="250"/>
        <v>5</v>
      </c>
      <c r="G4666" s="4">
        <v>44326</v>
      </c>
      <c r="H4666" s="1">
        <v>6600738</v>
      </c>
      <c r="I4666" s="1">
        <v>672261</v>
      </c>
      <c r="J4666" s="1" t="s">
        <v>191</v>
      </c>
      <c r="K4666" s="1" t="s">
        <v>210</v>
      </c>
      <c r="L4666" s="1" t="str">
        <f t="shared" si="251"/>
        <v>Vallentunasjön Va2</v>
      </c>
      <c r="M4666" s="1" t="s">
        <v>214</v>
      </c>
      <c r="N4666" s="1">
        <v>4</v>
      </c>
      <c r="O4666" s="1">
        <v>4</v>
      </c>
      <c r="Q4666" s="1">
        <v>8.9</v>
      </c>
      <c r="R4666" s="1">
        <v>12.6</v>
      </c>
      <c r="S4666" s="1">
        <v>109</v>
      </c>
    </row>
    <row r="4667" spans="1:38" x14ac:dyDescent="0.3">
      <c r="A4667" s="1">
        <v>87593</v>
      </c>
      <c r="B4667" s="1" t="s">
        <v>292</v>
      </c>
      <c r="C4667" s="1" t="s">
        <v>209</v>
      </c>
      <c r="D4667" s="2">
        <f t="shared" si="249"/>
        <v>2021</v>
      </c>
      <c r="E4667" s="2">
        <f t="shared" si="250"/>
        <v>5</v>
      </c>
      <c r="G4667" s="4">
        <v>44326</v>
      </c>
      <c r="H4667" s="1">
        <v>6600738</v>
      </c>
      <c r="I4667" s="1">
        <v>672261</v>
      </c>
      <c r="J4667" s="1" t="s">
        <v>191</v>
      </c>
      <c r="K4667" s="1" t="s">
        <v>210</v>
      </c>
      <c r="L4667" s="1" t="str">
        <f t="shared" si="251"/>
        <v>Vallentunasjön Va2</v>
      </c>
      <c r="M4667" s="1" t="s">
        <v>286</v>
      </c>
      <c r="N4667" s="1">
        <v>4.5</v>
      </c>
      <c r="O4667" s="1">
        <v>4.5</v>
      </c>
      <c r="Q4667" s="1">
        <v>8.8000000000000007</v>
      </c>
      <c r="R4667" s="1">
        <v>11.6</v>
      </c>
      <c r="S4667" s="1">
        <v>100</v>
      </c>
    </row>
    <row r="4668" spans="1:38" x14ac:dyDescent="0.3">
      <c r="A4668" s="1">
        <v>87594</v>
      </c>
      <c r="B4668" s="1" t="s">
        <v>292</v>
      </c>
      <c r="C4668" s="1" t="s">
        <v>209</v>
      </c>
      <c r="D4668" s="2">
        <f t="shared" si="249"/>
        <v>2021</v>
      </c>
      <c r="E4668" s="2">
        <f t="shared" si="250"/>
        <v>5</v>
      </c>
      <c r="G4668" s="4">
        <v>44326</v>
      </c>
      <c r="H4668" s="1">
        <v>6600620</v>
      </c>
      <c r="I4668" s="1">
        <v>671930</v>
      </c>
      <c r="J4668" s="1" t="s">
        <v>191</v>
      </c>
      <c r="K4668" s="12" t="s">
        <v>206</v>
      </c>
      <c r="L4668" s="1" t="str">
        <f t="shared" si="251"/>
        <v>Vallentunasjön Blandprov</v>
      </c>
      <c r="M4668" s="1" t="s">
        <v>285</v>
      </c>
      <c r="N4668" s="1">
        <v>4</v>
      </c>
      <c r="O4668" s="1">
        <v>0</v>
      </c>
      <c r="W4668" s="1">
        <v>6.3780999999999999</v>
      </c>
      <c r="X4668" s="1">
        <v>0.16928215771638941</v>
      </c>
      <c r="Y4668" s="1">
        <v>4.3999999999999997E-2</v>
      </c>
      <c r="Z4668" s="1">
        <v>0</v>
      </c>
      <c r="AB4668" s="1">
        <v>31.319279999999999</v>
      </c>
      <c r="AD4668" s="1">
        <v>0.95</v>
      </c>
      <c r="AE4668" s="1">
        <v>8.52</v>
      </c>
      <c r="AG4668" s="1">
        <v>12.8</v>
      </c>
      <c r="AK4668" s="1">
        <v>38.494999999999997</v>
      </c>
      <c r="AL4668" s="1">
        <v>996.82</v>
      </c>
    </row>
    <row r="4669" spans="1:38" x14ac:dyDescent="0.3">
      <c r="A4669" s="1">
        <v>89016</v>
      </c>
      <c r="B4669" s="1" t="s">
        <v>292</v>
      </c>
      <c r="C4669" s="1" t="s">
        <v>209</v>
      </c>
      <c r="D4669" s="2">
        <f t="shared" si="249"/>
        <v>2021</v>
      </c>
      <c r="E4669" s="2">
        <f t="shared" si="250"/>
        <v>7</v>
      </c>
      <c r="G4669" s="4">
        <v>44384</v>
      </c>
      <c r="H4669" s="1">
        <v>6600738</v>
      </c>
      <c r="I4669" s="1">
        <v>672261</v>
      </c>
      <c r="J4669" s="1" t="s">
        <v>191</v>
      </c>
      <c r="K4669" s="1" t="s">
        <v>210</v>
      </c>
      <c r="L4669" s="1" t="str">
        <f t="shared" si="251"/>
        <v>Vallentunasjön Va2</v>
      </c>
      <c r="M4669" s="1" t="s">
        <v>285</v>
      </c>
      <c r="N4669" s="1">
        <v>0.5</v>
      </c>
      <c r="O4669" s="1">
        <v>0.5</v>
      </c>
      <c r="P4669" s="1">
        <v>1</v>
      </c>
      <c r="Q4669" s="1">
        <v>23.5</v>
      </c>
      <c r="R4669" s="1">
        <v>7.9</v>
      </c>
      <c r="S4669" s="1">
        <v>93</v>
      </c>
    </row>
    <row r="4670" spans="1:38" x14ac:dyDescent="0.3">
      <c r="A4670" s="1">
        <v>89017</v>
      </c>
      <c r="B4670" s="1" t="s">
        <v>292</v>
      </c>
      <c r="C4670" s="1" t="s">
        <v>209</v>
      </c>
      <c r="D4670" s="2">
        <f t="shared" ref="D4670:D4733" si="252">YEAR(G4670)</f>
        <v>2021</v>
      </c>
      <c r="E4670" s="2">
        <f t="shared" ref="E4670:E4733" si="253">MONTH(G4670)</f>
        <v>7</v>
      </c>
      <c r="G4670" s="4">
        <v>44384</v>
      </c>
      <c r="H4670" s="1">
        <v>6600738</v>
      </c>
      <c r="I4670" s="1">
        <v>672261</v>
      </c>
      <c r="J4670" s="1" t="s">
        <v>191</v>
      </c>
      <c r="K4670" s="1" t="s">
        <v>210</v>
      </c>
      <c r="L4670" s="1" t="str">
        <f t="shared" ref="L4670:L4733" si="254">CONCATENATE(J4670," ",K4670)</f>
        <v>Vallentunasjön Va2</v>
      </c>
      <c r="M4670" s="1" t="s">
        <v>211</v>
      </c>
      <c r="N4670" s="1">
        <v>1</v>
      </c>
      <c r="O4670" s="1">
        <v>1</v>
      </c>
      <c r="Q4670" s="1">
        <v>23.6</v>
      </c>
      <c r="R4670" s="1">
        <v>7.9</v>
      </c>
      <c r="S4670" s="1">
        <v>93</v>
      </c>
    </row>
    <row r="4671" spans="1:38" x14ac:dyDescent="0.3">
      <c r="A4671" s="1">
        <v>89018</v>
      </c>
      <c r="B4671" s="1" t="s">
        <v>292</v>
      </c>
      <c r="C4671" s="1" t="s">
        <v>209</v>
      </c>
      <c r="D4671" s="2">
        <f t="shared" si="252"/>
        <v>2021</v>
      </c>
      <c r="E4671" s="2">
        <f t="shared" si="253"/>
        <v>7</v>
      </c>
      <c r="G4671" s="4">
        <v>44384</v>
      </c>
      <c r="H4671" s="1">
        <v>6600738</v>
      </c>
      <c r="I4671" s="1">
        <v>672261</v>
      </c>
      <c r="J4671" s="1" t="s">
        <v>191</v>
      </c>
      <c r="K4671" s="1" t="s">
        <v>210</v>
      </c>
      <c r="L4671" s="1" t="str">
        <f t="shared" si="254"/>
        <v>Vallentunasjön Va2</v>
      </c>
      <c r="M4671" s="1" t="s">
        <v>212</v>
      </c>
      <c r="N4671" s="1">
        <v>2</v>
      </c>
      <c r="O4671" s="1">
        <v>2</v>
      </c>
      <c r="Q4671" s="1">
        <v>23.5</v>
      </c>
      <c r="R4671" s="1">
        <v>7.8</v>
      </c>
      <c r="S4671" s="1">
        <v>92</v>
      </c>
    </row>
    <row r="4672" spans="1:38" x14ac:dyDescent="0.3">
      <c r="A4672" s="1">
        <v>89019</v>
      </c>
      <c r="B4672" s="1" t="s">
        <v>292</v>
      </c>
      <c r="C4672" s="1" t="s">
        <v>209</v>
      </c>
      <c r="D4672" s="2">
        <f t="shared" si="252"/>
        <v>2021</v>
      </c>
      <c r="E4672" s="2">
        <f t="shared" si="253"/>
        <v>7</v>
      </c>
      <c r="G4672" s="4">
        <v>44384</v>
      </c>
      <c r="H4672" s="1">
        <v>6600738</v>
      </c>
      <c r="I4672" s="1">
        <v>672261</v>
      </c>
      <c r="J4672" s="1" t="s">
        <v>191</v>
      </c>
      <c r="K4672" s="1" t="s">
        <v>210</v>
      </c>
      <c r="L4672" s="1" t="str">
        <f t="shared" si="254"/>
        <v>Vallentunasjön Va2</v>
      </c>
      <c r="M4672" s="1" t="s">
        <v>213</v>
      </c>
      <c r="N4672" s="1">
        <v>3</v>
      </c>
      <c r="O4672" s="1">
        <v>3</v>
      </c>
      <c r="Q4672" s="1">
        <v>23.5</v>
      </c>
      <c r="R4672" s="1">
        <v>7.8</v>
      </c>
      <c r="S4672" s="1">
        <v>92</v>
      </c>
    </row>
    <row r="4673" spans="1:38" x14ac:dyDescent="0.3">
      <c r="A4673" s="1">
        <v>89020</v>
      </c>
      <c r="B4673" s="1" t="s">
        <v>292</v>
      </c>
      <c r="C4673" s="1" t="s">
        <v>209</v>
      </c>
      <c r="D4673" s="2">
        <f t="shared" si="252"/>
        <v>2021</v>
      </c>
      <c r="E4673" s="2">
        <f t="shared" si="253"/>
        <v>7</v>
      </c>
      <c r="G4673" s="4">
        <v>44384</v>
      </c>
      <c r="H4673" s="1">
        <v>6600738</v>
      </c>
      <c r="I4673" s="1">
        <v>672261</v>
      </c>
      <c r="J4673" s="1" t="s">
        <v>191</v>
      </c>
      <c r="K4673" s="1" t="s">
        <v>210</v>
      </c>
      <c r="L4673" s="1" t="str">
        <f t="shared" si="254"/>
        <v>Vallentunasjön Va2</v>
      </c>
      <c r="M4673" s="1" t="s">
        <v>214</v>
      </c>
      <c r="N4673" s="1">
        <v>4</v>
      </c>
      <c r="O4673" s="1">
        <v>4</v>
      </c>
      <c r="Q4673" s="1">
        <v>23.4</v>
      </c>
      <c r="R4673" s="1">
        <v>7.5</v>
      </c>
      <c r="S4673" s="1">
        <v>88</v>
      </c>
    </row>
    <row r="4674" spans="1:38" x14ac:dyDescent="0.3">
      <c r="A4674" s="1">
        <v>89021</v>
      </c>
      <c r="B4674" s="1" t="s">
        <v>292</v>
      </c>
      <c r="C4674" s="1" t="s">
        <v>209</v>
      </c>
      <c r="D4674" s="2">
        <f t="shared" si="252"/>
        <v>2021</v>
      </c>
      <c r="E4674" s="2">
        <f t="shared" si="253"/>
        <v>7</v>
      </c>
      <c r="G4674" s="4">
        <v>44384</v>
      </c>
      <c r="H4674" s="1">
        <v>6600738</v>
      </c>
      <c r="I4674" s="1">
        <v>672261</v>
      </c>
      <c r="J4674" s="1" t="s">
        <v>191</v>
      </c>
      <c r="K4674" s="1" t="s">
        <v>210</v>
      </c>
      <c r="L4674" s="1" t="str">
        <f t="shared" si="254"/>
        <v>Vallentunasjön Va2</v>
      </c>
      <c r="M4674" s="1" t="s">
        <v>286</v>
      </c>
      <c r="N4674" s="1">
        <v>4.5</v>
      </c>
      <c r="O4674" s="1">
        <v>4.5</v>
      </c>
      <c r="Q4674" s="1">
        <v>22</v>
      </c>
      <c r="R4674" s="1">
        <v>0</v>
      </c>
      <c r="S4674" s="1">
        <v>0</v>
      </c>
    </row>
    <row r="4675" spans="1:38" x14ac:dyDescent="0.3">
      <c r="A4675" s="1">
        <v>89022</v>
      </c>
      <c r="B4675" s="1" t="s">
        <v>292</v>
      </c>
      <c r="C4675" s="1" t="s">
        <v>209</v>
      </c>
      <c r="D4675" s="2">
        <f t="shared" si="252"/>
        <v>2021</v>
      </c>
      <c r="E4675" s="2">
        <f t="shared" si="253"/>
        <v>7</v>
      </c>
      <c r="G4675" s="4">
        <v>44384</v>
      </c>
      <c r="H4675" s="1">
        <v>6600620</v>
      </c>
      <c r="I4675" s="1">
        <v>671930</v>
      </c>
      <c r="J4675" s="1" t="s">
        <v>191</v>
      </c>
      <c r="K4675" s="12" t="s">
        <v>206</v>
      </c>
      <c r="L4675" s="1" t="str">
        <f t="shared" si="254"/>
        <v>Vallentunasjön Blandprov</v>
      </c>
      <c r="M4675" s="1" t="s">
        <v>285</v>
      </c>
      <c r="N4675" s="1">
        <v>4</v>
      </c>
      <c r="O4675" s="1">
        <v>0</v>
      </c>
      <c r="W4675" s="1">
        <v>4.6269</v>
      </c>
      <c r="X4675" s="1">
        <v>5.5671788157003403E-2</v>
      </c>
      <c r="Y4675" s="1">
        <v>4.3999999999999997E-2</v>
      </c>
      <c r="Z4675" s="1">
        <v>0</v>
      </c>
      <c r="AB4675" s="1">
        <v>19.047599999999999</v>
      </c>
      <c r="AD4675" s="1">
        <v>0.36</v>
      </c>
      <c r="AE4675" s="1">
        <v>8.17</v>
      </c>
      <c r="AG4675" s="1">
        <v>11.2</v>
      </c>
      <c r="AK4675" s="1">
        <v>37.22</v>
      </c>
      <c r="AL4675" s="1">
        <v>851.64</v>
      </c>
    </row>
    <row r="4676" spans="1:38" x14ac:dyDescent="0.3">
      <c r="A4676" s="1">
        <v>89419</v>
      </c>
      <c r="B4676" s="1" t="s">
        <v>292</v>
      </c>
      <c r="C4676" s="1" t="s">
        <v>209</v>
      </c>
      <c r="D4676" s="2">
        <f t="shared" si="252"/>
        <v>2021</v>
      </c>
      <c r="E4676" s="2">
        <f t="shared" si="253"/>
        <v>8</v>
      </c>
      <c r="G4676" s="4">
        <v>44410</v>
      </c>
      <c r="H4676" s="1">
        <v>6600738</v>
      </c>
      <c r="I4676" s="1">
        <v>672261</v>
      </c>
      <c r="J4676" s="1" t="s">
        <v>191</v>
      </c>
      <c r="K4676" s="1" t="s">
        <v>210</v>
      </c>
      <c r="L4676" s="1" t="str">
        <f t="shared" si="254"/>
        <v>Vallentunasjön Va2</v>
      </c>
      <c r="M4676" s="1" t="s">
        <v>285</v>
      </c>
      <c r="N4676" s="1">
        <v>0.5</v>
      </c>
      <c r="O4676" s="1">
        <v>0.5</v>
      </c>
      <c r="P4676" s="1">
        <v>1</v>
      </c>
      <c r="Q4676" s="1">
        <v>19.7</v>
      </c>
      <c r="R4676" s="1">
        <v>9.4</v>
      </c>
      <c r="S4676" s="1">
        <v>103</v>
      </c>
    </row>
    <row r="4677" spans="1:38" x14ac:dyDescent="0.3">
      <c r="A4677" s="1">
        <v>89420</v>
      </c>
      <c r="B4677" s="1" t="s">
        <v>292</v>
      </c>
      <c r="C4677" s="1" t="s">
        <v>209</v>
      </c>
      <c r="D4677" s="2">
        <f t="shared" si="252"/>
        <v>2021</v>
      </c>
      <c r="E4677" s="2">
        <f t="shared" si="253"/>
        <v>8</v>
      </c>
      <c r="G4677" s="4">
        <v>44410</v>
      </c>
      <c r="H4677" s="1">
        <v>6600738</v>
      </c>
      <c r="I4677" s="1">
        <v>672261</v>
      </c>
      <c r="J4677" s="1" t="s">
        <v>191</v>
      </c>
      <c r="K4677" s="1" t="s">
        <v>210</v>
      </c>
      <c r="L4677" s="1" t="str">
        <f t="shared" si="254"/>
        <v>Vallentunasjön Va2</v>
      </c>
      <c r="M4677" s="1" t="s">
        <v>211</v>
      </c>
      <c r="N4677" s="1">
        <v>1</v>
      </c>
      <c r="O4677" s="1">
        <v>1</v>
      </c>
      <c r="Q4677" s="1">
        <v>19.7</v>
      </c>
      <c r="R4677" s="1">
        <v>9.3000000000000007</v>
      </c>
      <c r="S4677" s="1">
        <v>102</v>
      </c>
    </row>
    <row r="4678" spans="1:38" x14ac:dyDescent="0.3">
      <c r="A4678" s="1">
        <v>89421</v>
      </c>
      <c r="B4678" s="1" t="s">
        <v>292</v>
      </c>
      <c r="C4678" s="1" t="s">
        <v>209</v>
      </c>
      <c r="D4678" s="2">
        <f t="shared" si="252"/>
        <v>2021</v>
      </c>
      <c r="E4678" s="2">
        <f t="shared" si="253"/>
        <v>8</v>
      </c>
      <c r="G4678" s="4">
        <v>44410</v>
      </c>
      <c r="H4678" s="1">
        <v>6600738</v>
      </c>
      <c r="I4678" s="1">
        <v>672261</v>
      </c>
      <c r="J4678" s="1" t="s">
        <v>191</v>
      </c>
      <c r="K4678" s="1" t="s">
        <v>210</v>
      </c>
      <c r="L4678" s="1" t="str">
        <f t="shared" si="254"/>
        <v>Vallentunasjön Va2</v>
      </c>
      <c r="M4678" s="1" t="s">
        <v>212</v>
      </c>
      <c r="N4678" s="1">
        <v>2</v>
      </c>
      <c r="O4678" s="1">
        <v>2</v>
      </c>
      <c r="Q4678" s="1">
        <v>19.7</v>
      </c>
      <c r="R4678" s="1">
        <v>9.3000000000000007</v>
      </c>
      <c r="S4678" s="1">
        <v>102</v>
      </c>
    </row>
    <row r="4679" spans="1:38" x14ac:dyDescent="0.3">
      <c r="A4679" s="1">
        <v>89422</v>
      </c>
      <c r="B4679" s="1" t="s">
        <v>292</v>
      </c>
      <c r="C4679" s="1" t="s">
        <v>209</v>
      </c>
      <c r="D4679" s="2">
        <f t="shared" si="252"/>
        <v>2021</v>
      </c>
      <c r="E4679" s="2">
        <f t="shared" si="253"/>
        <v>8</v>
      </c>
      <c r="G4679" s="4">
        <v>44410</v>
      </c>
      <c r="H4679" s="1">
        <v>6600738</v>
      </c>
      <c r="I4679" s="1">
        <v>672261</v>
      </c>
      <c r="J4679" s="1" t="s">
        <v>191</v>
      </c>
      <c r="K4679" s="1" t="s">
        <v>210</v>
      </c>
      <c r="L4679" s="1" t="str">
        <f t="shared" si="254"/>
        <v>Vallentunasjön Va2</v>
      </c>
      <c r="M4679" s="1" t="s">
        <v>213</v>
      </c>
      <c r="N4679" s="1">
        <v>3</v>
      </c>
      <c r="O4679" s="1">
        <v>3</v>
      </c>
      <c r="Q4679" s="1">
        <v>19.7</v>
      </c>
      <c r="R4679" s="1">
        <v>9.3000000000000007</v>
      </c>
      <c r="S4679" s="1">
        <v>102</v>
      </c>
    </row>
    <row r="4680" spans="1:38" x14ac:dyDescent="0.3">
      <c r="A4680" s="1">
        <v>89423</v>
      </c>
      <c r="B4680" s="1" t="s">
        <v>292</v>
      </c>
      <c r="C4680" s="1" t="s">
        <v>209</v>
      </c>
      <c r="D4680" s="2">
        <f t="shared" si="252"/>
        <v>2021</v>
      </c>
      <c r="E4680" s="2">
        <f t="shared" si="253"/>
        <v>8</v>
      </c>
      <c r="G4680" s="4">
        <v>44410</v>
      </c>
      <c r="H4680" s="1">
        <v>6600738</v>
      </c>
      <c r="I4680" s="1">
        <v>672261</v>
      </c>
      <c r="J4680" s="1" t="s">
        <v>191</v>
      </c>
      <c r="K4680" s="1" t="s">
        <v>210</v>
      </c>
      <c r="L4680" s="1" t="str">
        <f t="shared" si="254"/>
        <v>Vallentunasjön Va2</v>
      </c>
      <c r="M4680" s="1" t="s">
        <v>214</v>
      </c>
      <c r="N4680" s="1">
        <v>4</v>
      </c>
      <c r="O4680" s="1">
        <v>4</v>
      </c>
      <c r="Q4680" s="1">
        <v>19.7</v>
      </c>
      <c r="R4680" s="1">
        <v>9.3000000000000007</v>
      </c>
      <c r="S4680" s="1">
        <v>102</v>
      </c>
    </row>
    <row r="4681" spans="1:38" x14ac:dyDescent="0.3">
      <c r="A4681" s="1">
        <v>89424</v>
      </c>
      <c r="B4681" s="1" t="s">
        <v>292</v>
      </c>
      <c r="C4681" s="1" t="s">
        <v>209</v>
      </c>
      <c r="D4681" s="2">
        <f t="shared" si="252"/>
        <v>2021</v>
      </c>
      <c r="E4681" s="2">
        <f t="shared" si="253"/>
        <v>8</v>
      </c>
      <c r="G4681" s="4">
        <v>44410</v>
      </c>
      <c r="H4681" s="1">
        <v>6600738</v>
      </c>
      <c r="I4681" s="1">
        <v>672261</v>
      </c>
      <c r="J4681" s="1" t="s">
        <v>191</v>
      </c>
      <c r="K4681" s="1" t="s">
        <v>210</v>
      </c>
      <c r="L4681" s="1" t="str">
        <f t="shared" si="254"/>
        <v>Vallentunasjön Va2</v>
      </c>
      <c r="M4681" s="1" t="s">
        <v>286</v>
      </c>
      <c r="N4681" s="1">
        <v>4.5</v>
      </c>
      <c r="O4681" s="1">
        <v>4.5</v>
      </c>
      <c r="Q4681" s="1">
        <v>19.7</v>
      </c>
      <c r="R4681" s="1">
        <v>9.3000000000000007</v>
      </c>
      <c r="S4681" s="1">
        <v>102</v>
      </c>
    </row>
    <row r="4682" spans="1:38" x14ac:dyDescent="0.3">
      <c r="A4682" s="1">
        <v>89425</v>
      </c>
      <c r="B4682" s="1" t="s">
        <v>292</v>
      </c>
      <c r="C4682" s="1" t="s">
        <v>209</v>
      </c>
      <c r="D4682" s="2">
        <f t="shared" si="252"/>
        <v>2021</v>
      </c>
      <c r="E4682" s="2">
        <f t="shared" si="253"/>
        <v>8</v>
      </c>
      <c r="G4682" s="4">
        <v>44410</v>
      </c>
      <c r="H4682" s="1">
        <v>6600620</v>
      </c>
      <c r="I4682" s="1">
        <v>671930</v>
      </c>
      <c r="J4682" s="1" t="s">
        <v>191</v>
      </c>
      <c r="K4682" s="12" t="s">
        <v>206</v>
      </c>
      <c r="L4682" s="1" t="str">
        <f t="shared" si="254"/>
        <v>Vallentunasjön Blandprov</v>
      </c>
      <c r="M4682" s="1" t="s">
        <v>285</v>
      </c>
      <c r="N4682" s="1">
        <v>4</v>
      </c>
      <c r="O4682" s="1">
        <v>0</v>
      </c>
      <c r="W4682" s="1">
        <v>7.7374999999999998</v>
      </c>
      <c r="X4682" s="1">
        <v>0.1222604075961069</v>
      </c>
      <c r="Y4682" s="1">
        <v>3.5999999999999997E-2</v>
      </c>
      <c r="Z4682" s="1">
        <v>2.87</v>
      </c>
      <c r="AB4682" s="1">
        <v>25.994025000000001</v>
      </c>
      <c r="AD4682" s="1">
        <v>0</v>
      </c>
      <c r="AE4682" s="1">
        <v>8.2899999999999991</v>
      </c>
      <c r="AG4682" s="1">
        <v>16.5</v>
      </c>
      <c r="AK4682" s="1">
        <v>55.042499999999997</v>
      </c>
      <c r="AL4682" s="1">
        <v>1133.92</v>
      </c>
    </row>
    <row r="4683" spans="1:38" x14ac:dyDescent="0.3">
      <c r="A4683" s="1">
        <v>90561</v>
      </c>
      <c r="B4683" s="1" t="s">
        <v>292</v>
      </c>
      <c r="C4683" s="1" t="s">
        <v>209</v>
      </c>
      <c r="D4683" s="2">
        <f t="shared" si="252"/>
        <v>2021</v>
      </c>
      <c r="E4683" s="2">
        <f t="shared" si="253"/>
        <v>9</v>
      </c>
      <c r="G4683" s="4">
        <v>44452</v>
      </c>
      <c r="H4683" s="1">
        <v>6600738</v>
      </c>
      <c r="I4683" s="1">
        <v>672261</v>
      </c>
      <c r="J4683" s="1" t="s">
        <v>191</v>
      </c>
      <c r="K4683" s="1" t="s">
        <v>210</v>
      </c>
      <c r="L4683" s="1" t="str">
        <f t="shared" si="254"/>
        <v>Vallentunasjön Va2</v>
      </c>
      <c r="M4683" s="1" t="s">
        <v>285</v>
      </c>
      <c r="N4683" s="1">
        <v>0.5</v>
      </c>
      <c r="O4683" s="1">
        <v>0.5</v>
      </c>
      <c r="P4683" s="1">
        <v>0.7</v>
      </c>
      <c r="Q4683" s="1">
        <v>16.399999999999999</v>
      </c>
      <c r="R4683" s="1">
        <v>9.9</v>
      </c>
      <c r="S4683" s="1">
        <v>102</v>
      </c>
    </row>
    <row r="4684" spans="1:38" x14ac:dyDescent="0.3">
      <c r="A4684" s="1">
        <v>90562</v>
      </c>
      <c r="B4684" s="1" t="s">
        <v>292</v>
      </c>
      <c r="C4684" s="1" t="s">
        <v>209</v>
      </c>
      <c r="D4684" s="2">
        <f t="shared" si="252"/>
        <v>2021</v>
      </c>
      <c r="E4684" s="2">
        <f t="shared" si="253"/>
        <v>9</v>
      </c>
      <c r="G4684" s="4">
        <v>44452</v>
      </c>
      <c r="H4684" s="1">
        <v>6600738</v>
      </c>
      <c r="I4684" s="1">
        <v>672261</v>
      </c>
      <c r="J4684" s="1" t="s">
        <v>191</v>
      </c>
      <c r="K4684" s="1" t="s">
        <v>210</v>
      </c>
      <c r="L4684" s="1" t="str">
        <f t="shared" si="254"/>
        <v>Vallentunasjön Va2</v>
      </c>
      <c r="M4684" s="1" t="s">
        <v>211</v>
      </c>
      <c r="N4684" s="1">
        <v>1</v>
      </c>
      <c r="O4684" s="1">
        <v>1</v>
      </c>
      <c r="Q4684" s="1">
        <v>16.399999999999999</v>
      </c>
      <c r="R4684" s="1">
        <v>9.9</v>
      </c>
      <c r="S4684" s="1">
        <v>102</v>
      </c>
    </row>
    <row r="4685" spans="1:38" x14ac:dyDescent="0.3">
      <c r="A4685" s="1">
        <v>90563</v>
      </c>
      <c r="B4685" s="1" t="s">
        <v>292</v>
      </c>
      <c r="C4685" s="1" t="s">
        <v>209</v>
      </c>
      <c r="D4685" s="2">
        <f t="shared" si="252"/>
        <v>2021</v>
      </c>
      <c r="E4685" s="2">
        <f t="shared" si="253"/>
        <v>9</v>
      </c>
      <c r="G4685" s="4">
        <v>44452</v>
      </c>
      <c r="H4685" s="1">
        <v>6600738</v>
      </c>
      <c r="I4685" s="1">
        <v>672261</v>
      </c>
      <c r="J4685" s="1" t="s">
        <v>191</v>
      </c>
      <c r="K4685" s="1" t="s">
        <v>210</v>
      </c>
      <c r="L4685" s="1" t="str">
        <f t="shared" si="254"/>
        <v>Vallentunasjön Va2</v>
      </c>
      <c r="M4685" s="1" t="s">
        <v>212</v>
      </c>
      <c r="N4685" s="1">
        <v>2</v>
      </c>
      <c r="O4685" s="1">
        <v>2</v>
      </c>
      <c r="Q4685" s="1">
        <v>16.399999999999999</v>
      </c>
      <c r="R4685" s="1">
        <v>9.9</v>
      </c>
      <c r="S4685" s="1">
        <v>102</v>
      </c>
    </row>
    <row r="4686" spans="1:38" x14ac:dyDescent="0.3">
      <c r="A4686" s="1">
        <v>90564</v>
      </c>
      <c r="B4686" s="1" t="s">
        <v>292</v>
      </c>
      <c r="C4686" s="1" t="s">
        <v>209</v>
      </c>
      <c r="D4686" s="2">
        <f t="shared" si="252"/>
        <v>2021</v>
      </c>
      <c r="E4686" s="2">
        <f t="shared" si="253"/>
        <v>9</v>
      </c>
      <c r="G4686" s="4">
        <v>44452</v>
      </c>
      <c r="H4686" s="1">
        <v>6600738</v>
      </c>
      <c r="I4686" s="1">
        <v>672261</v>
      </c>
      <c r="J4686" s="1" t="s">
        <v>191</v>
      </c>
      <c r="K4686" s="1" t="s">
        <v>210</v>
      </c>
      <c r="L4686" s="1" t="str">
        <f t="shared" si="254"/>
        <v>Vallentunasjön Va2</v>
      </c>
      <c r="M4686" s="1" t="s">
        <v>213</v>
      </c>
      <c r="N4686" s="1">
        <v>3</v>
      </c>
      <c r="O4686" s="1">
        <v>3</v>
      </c>
      <c r="Q4686" s="1">
        <v>16.399999999999999</v>
      </c>
      <c r="R4686" s="1">
        <v>9.9</v>
      </c>
      <c r="S4686" s="1">
        <v>101</v>
      </c>
    </row>
    <row r="4687" spans="1:38" x14ac:dyDescent="0.3">
      <c r="A4687" s="1">
        <v>90565</v>
      </c>
      <c r="B4687" s="1" t="s">
        <v>292</v>
      </c>
      <c r="C4687" s="1" t="s">
        <v>209</v>
      </c>
      <c r="D4687" s="2">
        <f t="shared" si="252"/>
        <v>2021</v>
      </c>
      <c r="E4687" s="2">
        <f t="shared" si="253"/>
        <v>9</v>
      </c>
      <c r="G4687" s="4">
        <v>44452</v>
      </c>
      <c r="H4687" s="1">
        <v>6600738</v>
      </c>
      <c r="I4687" s="1">
        <v>672261</v>
      </c>
      <c r="J4687" s="1" t="s">
        <v>191</v>
      </c>
      <c r="K4687" s="1" t="s">
        <v>210</v>
      </c>
      <c r="L4687" s="1" t="str">
        <f t="shared" si="254"/>
        <v>Vallentunasjön Va2</v>
      </c>
      <c r="M4687" s="1" t="s">
        <v>214</v>
      </c>
      <c r="N4687" s="1">
        <v>4</v>
      </c>
      <c r="O4687" s="1">
        <v>4</v>
      </c>
      <c r="Q4687" s="1">
        <v>16.399999999999999</v>
      </c>
      <c r="R4687" s="1">
        <v>9.8000000000000007</v>
      </c>
      <c r="S4687" s="1">
        <v>101</v>
      </c>
    </row>
    <row r="4688" spans="1:38" x14ac:dyDescent="0.3">
      <c r="A4688" s="1">
        <v>90566</v>
      </c>
      <c r="B4688" s="1" t="s">
        <v>292</v>
      </c>
      <c r="C4688" s="1" t="s">
        <v>209</v>
      </c>
      <c r="D4688" s="2">
        <f t="shared" si="252"/>
        <v>2021</v>
      </c>
      <c r="E4688" s="2">
        <f t="shared" si="253"/>
        <v>9</v>
      </c>
      <c r="G4688" s="4">
        <v>44452</v>
      </c>
      <c r="H4688" s="1">
        <v>6600738</v>
      </c>
      <c r="I4688" s="1">
        <v>672261</v>
      </c>
      <c r="J4688" s="1" t="s">
        <v>191</v>
      </c>
      <c r="K4688" s="1" t="s">
        <v>210</v>
      </c>
      <c r="L4688" s="1" t="str">
        <f t="shared" si="254"/>
        <v>Vallentunasjön Va2</v>
      </c>
      <c r="M4688" s="1" t="s">
        <v>286</v>
      </c>
      <c r="N4688" s="1">
        <v>4.5</v>
      </c>
      <c r="O4688" s="1">
        <v>4.5</v>
      </c>
      <c r="Q4688" s="1">
        <v>16.399999999999999</v>
      </c>
      <c r="R4688" s="1">
        <v>9.8000000000000007</v>
      </c>
      <c r="S4688" s="1">
        <v>100</v>
      </c>
    </row>
    <row r="4689" spans="1:38" x14ac:dyDescent="0.3">
      <c r="A4689" s="1">
        <v>90567</v>
      </c>
      <c r="B4689" s="1" t="s">
        <v>292</v>
      </c>
      <c r="C4689" s="1" t="s">
        <v>209</v>
      </c>
      <c r="D4689" s="2">
        <f t="shared" si="252"/>
        <v>2021</v>
      </c>
      <c r="E4689" s="2">
        <f t="shared" si="253"/>
        <v>9</v>
      </c>
      <c r="G4689" s="4">
        <v>44452</v>
      </c>
      <c r="H4689" s="1">
        <v>6600620</v>
      </c>
      <c r="I4689" s="1">
        <v>671930</v>
      </c>
      <c r="J4689" s="1" t="s">
        <v>191</v>
      </c>
      <c r="K4689" s="12" t="s">
        <v>206</v>
      </c>
      <c r="L4689" s="1" t="str">
        <f t="shared" si="254"/>
        <v>Vallentunasjön Blandprov</v>
      </c>
      <c r="M4689" s="1" t="s">
        <v>285</v>
      </c>
      <c r="N4689" s="1">
        <v>4</v>
      </c>
      <c r="O4689" s="1">
        <v>0</v>
      </c>
      <c r="W4689" s="1">
        <v>8.7588000000000008</v>
      </c>
      <c r="X4689" s="1">
        <v>0.1658608939275896</v>
      </c>
      <c r="Y4689" s="1">
        <v>4.2999999999999997E-2</v>
      </c>
      <c r="Z4689" s="1">
        <v>1.39</v>
      </c>
      <c r="AB4689" s="1">
        <v>46.313099999999999</v>
      </c>
      <c r="AD4689" s="1">
        <v>0.45</v>
      </c>
      <c r="AE4689" s="1">
        <v>8.3699999999999992</v>
      </c>
      <c r="AG4689" s="1">
        <v>16.666666667000001</v>
      </c>
      <c r="AK4689" s="1">
        <v>57.89</v>
      </c>
      <c r="AL4689" s="1">
        <v>1190.723</v>
      </c>
    </row>
    <row r="4690" spans="1:38" x14ac:dyDescent="0.3">
      <c r="A4690" s="1">
        <v>91196</v>
      </c>
      <c r="B4690" s="1" t="s">
        <v>292</v>
      </c>
      <c r="C4690" s="1" t="s">
        <v>209</v>
      </c>
      <c r="D4690" s="2">
        <f t="shared" si="252"/>
        <v>2021</v>
      </c>
      <c r="E4690" s="2">
        <f t="shared" si="253"/>
        <v>10</v>
      </c>
      <c r="G4690" s="4">
        <v>44487</v>
      </c>
      <c r="H4690" s="1">
        <v>6600738</v>
      </c>
      <c r="I4690" s="1">
        <v>672261</v>
      </c>
      <c r="J4690" s="1" t="s">
        <v>191</v>
      </c>
      <c r="K4690" s="1" t="s">
        <v>210</v>
      </c>
      <c r="L4690" s="1" t="str">
        <f t="shared" si="254"/>
        <v>Vallentunasjön Va2</v>
      </c>
      <c r="M4690" s="1" t="s">
        <v>285</v>
      </c>
      <c r="N4690" s="1">
        <v>0.5</v>
      </c>
      <c r="O4690" s="1">
        <v>0.5</v>
      </c>
      <c r="P4690" s="1">
        <v>1</v>
      </c>
      <c r="Q4690" s="1">
        <v>7.5</v>
      </c>
      <c r="R4690" s="1">
        <v>11.3</v>
      </c>
      <c r="S4690" s="1">
        <v>94</v>
      </c>
    </row>
    <row r="4691" spans="1:38" x14ac:dyDescent="0.3">
      <c r="A4691" s="1">
        <v>91197</v>
      </c>
      <c r="B4691" s="1" t="s">
        <v>292</v>
      </c>
      <c r="C4691" s="1" t="s">
        <v>209</v>
      </c>
      <c r="D4691" s="2">
        <f t="shared" si="252"/>
        <v>2021</v>
      </c>
      <c r="E4691" s="2">
        <f t="shared" si="253"/>
        <v>10</v>
      </c>
      <c r="G4691" s="4">
        <v>44487</v>
      </c>
      <c r="H4691" s="1">
        <v>6600738</v>
      </c>
      <c r="I4691" s="1">
        <v>672261</v>
      </c>
      <c r="J4691" s="1" t="s">
        <v>191</v>
      </c>
      <c r="K4691" s="1" t="s">
        <v>210</v>
      </c>
      <c r="L4691" s="1" t="str">
        <f t="shared" si="254"/>
        <v>Vallentunasjön Va2</v>
      </c>
      <c r="M4691" s="1" t="s">
        <v>211</v>
      </c>
      <c r="N4691" s="1">
        <v>1</v>
      </c>
      <c r="O4691" s="1">
        <v>1</v>
      </c>
      <c r="Q4691" s="1">
        <v>7.5</v>
      </c>
      <c r="R4691" s="1">
        <v>11.2</v>
      </c>
      <c r="S4691" s="1">
        <v>93</v>
      </c>
    </row>
    <row r="4692" spans="1:38" x14ac:dyDescent="0.3">
      <c r="A4692" s="1">
        <v>91198</v>
      </c>
      <c r="B4692" s="1" t="s">
        <v>292</v>
      </c>
      <c r="C4692" s="1" t="s">
        <v>209</v>
      </c>
      <c r="D4692" s="2">
        <f t="shared" si="252"/>
        <v>2021</v>
      </c>
      <c r="E4692" s="2">
        <f t="shared" si="253"/>
        <v>10</v>
      </c>
      <c r="G4692" s="4">
        <v>44487</v>
      </c>
      <c r="H4692" s="1">
        <v>6600738</v>
      </c>
      <c r="I4692" s="1">
        <v>672261</v>
      </c>
      <c r="J4692" s="1" t="s">
        <v>191</v>
      </c>
      <c r="K4692" s="1" t="s">
        <v>210</v>
      </c>
      <c r="L4692" s="1" t="str">
        <f t="shared" si="254"/>
        <v>Vallentunasjön Va2</v>
      </c>
      <c r="M4692" s="1" t="s">
        <v>212</v>
      </c>
      <c r="N4692" s="1">
        <v>2</v>
      </c>
      <c r="O4692" s="1">
        <v>2</v>
      </c>
      <c r="Q4692" s="1">
        <v>7.5</v>
      </c>
      <c r="R4692" s="1">
        <v>11.1</v>
      </c>
      <c r="S4692" s="1">
        <v>93</v>
      </c>
    </row>
    <row r="4693" spans="1:38" x14ac:dyDescent="0.3">
      <c r="A4693" s="1">
        <v>91199</v>
      </c>
      <c r="B4693" s="1" t="s">
        <v>292</v>
      </c>
      <c r="C4693" s="1" t="s">
        <v>209</v>
      </c>
      <c r="D4693" s="2">
        <f t="shared" si="252"/>
        <v>2021</v>
      </c>
      <c r="E4693" s="2">
        <f t="shared" si="253"/>
        <v>10</v>
      </c>
      <c r="G4693" s="4">
        <v>44487</v>
      </c>
      <c r="H4693" s="1">
        <v>6600738</v>
      </c>
      <c r="I4693" s="1">
        <v>672261</v>
      </c>
      <c r="J4693" s="1" t="s">
        <v>191</v>
      </c>
      <c r="K4693" s="1" t="s">
        <v>210</v>
      </c>
      <c r="L4693" s="1" t="str">
        <f t="shared" si="254"/>
        <v>Vallentunasjön Va2</v>
      </c>
      <c r="M4693" s="1" t="s">
        <v>213</v>
      </c>
      <c r="N4693" s="1">
        <v>3</v>
      </c>
      <c r="O4693" s="1">
        <v>3</v>
      </c>
      <c r="Q4693" s="1">
        <v>7.5</v>
      </c>
      <c r="R4693" s="1">
        <v>11.1</v>
      </c>
      <c r="S4693" s="1">
        <v>93</v>
      </c>
    </row>
    <row r="4694" spans="1:38" x14ac:dyDescent="0.3">
      <c r="A4694" s="1">
        <v>91200</v>
      </c>
      <c r="B4694" s="1" t="s">
        <v>292</v>
      </c>
      <c r="C4694" s="1" t="s">
        <v>209</v>
      </c>
      <c r="D4694" s="2">
        <f t="shared" si="252"/>
        <v>2021</v>
      </c>
      <c r="E4694" s="2">
        <f t="shared" si="253"/>
        <v>10</v>
      </c>
      <c r="G4694" s="4">
        <v>44487</v>
      </c>
      <c r="H4694" s="1">
        <v>6600738</v>
      </c>
      <c r="I4694" s="1">
        <v>672261</v>
      </c>
      <c r="J4694" s="1" t="s">
        <v>191</v>
      </c>
      <c r="K4694" s="1" t="s">
        <v>210</v>
      </c>
      <c r="L4694" s="1" t="str">
        <f t="shared" si="254"/>
        <v>Vallentunasjön Va2</v>
      </c>
      <c r="M4694" s="1" t="s">
        <v>214</v>
      </c>
      <c r="N4694" s="1">
        <v>4</v>
      </c>
      <c r="O4694" s="1">
        <v>4</v>
      </c>
      <c r="Q4694" s="1">
        <v>7.5</v>
      </c>
      <c r="R4694" s="1">
        <v>11.1</v>
      </c>
      <c r="S4694" s="1">
        <v>93</v>
      </c>
    </row>
    <row r="4695" spans="1:38" x14ac:dyDescent="0.3">
      <c r="A4695" s="1">
        <v>91201</v>
      </c>
      <c r="B4695" s="1" t="s">
        <v>292</v>
      </c>
      <c r="C4695" s="1" t="s">
        <v>209</v>
      </c>
      <c r="D4695" s="2">
        <f t="shared" si="252"/>
        <v>2021</v>
      </c>
      <c r="E4695" s="2">
        <f t="shared" si="253"/>
        <v>10</v>
      </c>
      <c r="G4695" s="4">
        <v>44487</v>
      </c>
      <c r="H4695" s="1">
        <v>6600738</v>
      </c>
      <c r="I4695" s="1">
        <v>672261</v>
      </c>
      <c r="J4695" s="1" t="s">
        <v>191</v>
      </c>
      <c r="K4695" s="1" t="s">
        <v>210</v>
      </c>
      <c r="L4695" s="1" t="str">
        <f t="shared" si="254"/>
        <v>Vallentunasjön Va2</v>
      </c>
      <c r="M4695" s="1" t="s">
        <v>286</v>
      </c>
      <c r="N4695" s="1">
        <v>4.5</v>
      </c>
      <c r="O4695" s="1">
        <v>4.5</v>
      </c>
      <c r="Q4695" s="1">
        <v>7.5</v>
      </c>
      <c r="R4695" s="1">
        <v>11.1</v>
      </c>
      <c r="S4695" s="1">
        <v>93</v>
      </c>
    </row>
    <row r="4696" spans="1:38" x14ac:dyDescent="0.3">
      <c r="A4696" s="1">
        <v>91202</v>
      </c>
      <c r="B4696" s="1" t="s">
        <v>292</v>
      </c>
      <c r="C4696" s="1" t="s">
        <v>209</v>
      </c>
      <c r="D4696" s="2">
        <f t="shared" si="252"/>
        <v>2021</v>
      </c>
      <c r="E4696" s="2">
        <f t="shared" si="253"/>
        <v>10</v>
      </c>
      <c r="G4696" s="4">
        <v>44487</v>
      </c>
      <c r="H4696" s="1">
        <v>6600620</v>
      </c>
      <c r="I4696" s="1">
        <v>671930</v>
      </c>
      <c r="J4696" s="1" t="s">
        <v>191</v>
      </c>
      <c r="K4696" s="12" t="s">
        <v>206</v>
      </c>
      <c r="L4696" s="1" t="str">
        <f t="shared" si="254"/>
        <v>Vallentunasjön Blandprov</v>
      </c>
      <c r="M4696" s="1" t="s">
        <v>285</v>
      </c>
      <c r="N4696" s="1">
        <v>4</v>
      </c>
      <c r="O4696" s="1">
        <v>0</v>
      </c>
      <c r="S4696" s="1">
        <v>93</v>
      </c>
      <c r="W4696" s="1">
        <v>6.3014999999999999</v>
      </c>
      <c r="X4696" s="1">
        <v>0.1041851516389206</v>
      </c>
      <c r="Y4696" s="1">
        <v>0.04</v>
      </c>
      <c r="Z4696" s="1">
        <v>2.5</v>
      </c>
      <c r="AB4696" s="1">
        <v>41.6205</v>
      </c>
      <c r="AD4696" s="1">
        <v>1.92</v>
      </c>
      <c r="AE4696" s="1">
        <v>8.31</v>
      </c>
      <c r="AG4696" s="1">
        <v>15.666666666999999</v>
      </c>
      <c r="AK4696" s="1">
        <v>57.604999999999997</v>
      </c>
      <c r="AL4696" s="1">
        <v>1028.1600000000001</v>
      </c>
    </row>
    <row r="4697" spans="1:38" x14ac:dyDescent="0.3">
      <c r="A4697" s="1">
        <v>92142</v>
      </c>
      <c r="B4697" s="1" t="s">
        <v>292</v>
      </c>
      <c r="C4697" s="1" t="s">
        <v>209</v>
      </c>
      <c r="D4697" s="2">
        <f t="shared" si="252"/>
        <v>2021</v>
      </c>
      <c r="E4697" s="2">
        <f t="shared" si="253"/>
        <v>12</v>
      </c>
      <c r="G4697" s="4">
        <v>44544</v>
      </c>
      <c r="H4697" s="1">
        <v>6600738</v>
      </c>
      <c r="I4697" s="1">
        <v>672261</v>
      </c>
      <c r="J4697" s="1" t="s">
        <v>191</v>
      </c>
      <c r="K4697" s="1" t="s">
        <v>210</v>
      </c>
      <c r="L4697" s="1" t="str">
        <f t="shared" si="254"/>
        <v>Vallentunasjön Va2</v>
      </c>
      <c r="M4697" s="1" t="s">
        <v>285</v>
      </c>
      <c r="N4697" s="1">
        <v>0.5</v>
      </c>
      <c r="O4697" s="1">
        <v>0.5</v>
      </c>
      <c r="P4697" s="1">
        <v>2.4</v>
      </c>
      <c r="Q4697" s="1">
        <v>1.3</v>
      </c>
      <c r="R4697" s="1">
        <v>12.3</v>
      </c>
      <c r="S4697" s="1">
        <v>87</v>
      </c>
    </row>
    <row r="4698" spans="1:38" x14ac:dyDescent="0.3">
      <c r="A4698" s="1">
        <v>92143</v>
      </c>
      <c r="B4698" s="1" t="s">
        <v>292</v>
      </c>
      <c r="C4698" s="1" t="s">
        <v>209</v>
      </c>
      <c r="D4698" s="2">
        <f t="shared" si="252"/>
        <v>2021</v>
      </c>
      <c r="E4698" s="2">
        <f t="shared" si="253"/>
        <v>12</v>
      </c>
      <c r="G4698" s="4">
        <v>44544</v>
      </c>
      <c r="H4698" s="1">
        <v>6600738</v>
      </c>
      <c r="I4698" s="1">
        <v>672261</v>
      </c>
      <c r="J4698" s="1" t="s">
        <v>191</v>
      </c>
      <c r="K4698" s="1" t="s">
        <v>210</v>
      </c>
      <c r="L4698" s="1" t="str">
        <f t="shared" si="254"/>
        <v>Vallentunasjön Va2</v>
      </c>
      <c r="M4698" s="1" t="s">
        <v>211</v>
      </c>
      <c r="N4698" s="1">
        <v>1</v>
      </c>
      <c r="O4698" s="1">
        <v>1</v>
      </c>
      <c r="Q4698" s="1">
        <v>1.9</v>
      </c>
      <c r="R4698" s="1">
        <v>11.1</v>
      </c>
      <c r="S4698" s="1">
        <v>80</v>
      </c>
    </row>
    <row r="4699" spans="1:38" x14ac:dyDescent="0.3">
      <c r="A4699" s="1">
        <v>92144</v>
      </c>
      <c r="B4699" s="1" t="s">
        <v>292</v>
      </c>
      <c r="C4699" s="1" t="s">
        <v>209</v>
      </c>
      <c r="D4699" s="2">
        <f t="shared" si="252"/>
        <v>2021</v>
      </c>
      <c r="E4699" s="2">
        <f t="shared" si="253"/>
        <v>12</v>
      </c>
      <c r="G4699" s="4">
        <v>44544</v>
      </c>
      <c r="H4699" s="1">
        <v>6600738</v>
      </c>
      <c r="I4699" s="1">
        <v>672261</v>
      </c>
      <c r="J4699" s="1" t="s">
        <v>191</v>
      </c>
      <c r="K4699" s="1" t="s">
        <v>210</v>
      </c>
      <c r="L4699" s="1" t="str">
        <f t="shared" si="254"/>
        <v>Vallentunasjön Va2</v>
      </c>
      <c r="M4699" s="1" t="s">
        <v>212</v>
      </c>
      <c r="N4699" s="1">
        <v>2</v>
      </c>
      <c r="O4699" s="1">
        <v>2</v>
      </c>
      <c r="Q4699" s="1">
        <v>2.9</v>
      </c>
      <c r="R4699" s="1">
        <v>9</v>
      </c>
      <c r="S4699" s="1">
        <v>67</v>
      </c>
    </row>
    <row r="4700" spans="1:38" x14ac:dyDescent="0.3">
      <c r="A4700" s="1">
        <v>92145</v>
      </c>
      <c r="B4700" s="1" t="s">
        <v>292</v>
      </c>
      <c r="C4700" s="1" t="s">
        <v>209</v>
      </c>
      <c r="D4700" s="2">
        <f t="shared" si="252"/>
        <v>2021</v>
      </c>
      <c r="E4700" s="2">
        <f t="shared" si="253"/>
        <v>12</v>
      </c>
      <c r="G4700" s="4">
        <v>44544</v>
      </c>
      <c r="H4700" s="1">
        <v>6600738</v>
      </c>
      <c r="I4700" s="1">
        <v>672261</v>
      </c>
      <c r="J4700" s="1" t="s">
        <v>191</v>
      </c>
      <c r="K4700" s="1" t="s">
        <v>210</v>
      </c>
      <c r="L4700" s="1" t="str">
        <f t="shared" si="254"/>
        <v>Vallentunasjön Va2</v>
      </c>
      <c r="M4700" s="1" t="s">
        <v>213</v>
      </c>
      <c r="N4700" s="1">
        <v>3</v>
      </c>
      <c r="O4700" s="1">
        <v>3</v>
      </c>
      <c r="Q4700" s="1">
        <v>3.6</v>
      </c>
      <c r="R4700" s="1">
        <v>5.5</v>
      </c>
      <c r="S4700" s="1">
        <v>41</v>
      </c>
    </row>
    <row r="4701" spans="1:38" x14ac:dyDescent="0.3">
      <c r="A4701" s="1">
        <v>92146</v>
      </c>
      <c r="B4701" s="1" t="s">
        <v>292</v>
      </c>
      <c r="C4701" s="1" t="s">
        <v>209</v>
      </c>
      <c r="D4701" s="2">
        <f t="shared" si="252"/>
        <v>2021</v>
      </c>
      <c r="E4701" s="2">
        <f t="shared" si="253"/>
        <v>12</v>
      </c>
      <c r="G4701" s="4">
        <v>44544</v>
      </c>
      <c r="H4701" s="1">
        <v>6600738</v>
      </c>
      <c r="I4701" s="1">
        <v>672261</v>
      </c>
      <c r="J4701" s="1" t="s">
        <v>191</v>
      </c>
      <c r="K4701" s="1" t="s">
        <v>210</v>
      </c>
      <c r="L4701" s="1" t="str">
        <f t="shared" si="254"/>
        <v>Vallentunasjön Va2</v>
      </c>
      <c r="M4701" s="1" t="s">
        <v>214</v>
      </c>
      <c r="N4701" s="1">
        <v>4</v>
      </c>
      <c r="O4701" s="1">
        <v>4</v>
      </c>
      <c r="Q4701" s="1">
        <v>3.9</v>
      </c>
      <c r="R4701" s="1">
        <v>4.0999999999999996</v>
      </c>
      <c r="S4701" s="1">
        <v>31</v>
      </c>
    </row>
    <row r="4702" spans="1:38" x14ac:dyDescent="0.3">
      <c r="A4702" s="1">
        <v>92147</v>
      </c>
      <c r="B4702" s="1" t="s">
        <v>292</v>
      </c>
      <c r="C4702" s="1" t="s">
        <v>209</v>
      </c>
      <c r="D4702" s="2">
        <f t="shared" si="252"/>
        <v>2021</v>
      </c>
      <c r="E4702" s="2">
        <f t="shared" si="253"/>
        <v>12</v>
      </c>
      <c r="G4702" s="4">
        <v>44544</v>
      </c>
      <c r="H4702" s="1">
        <v>6600738</v>
      </c>
      <c r="I4702" s="1">
        <v>672261</v>
      </c>
      <c r="J4702" s="1" t="s">
        <v>191</v>
      </c>
      <c r="K4702" s="1" t="s">
        <v>210</v>
      </c>
      <c r="L4702" s="1" t="str">
        <f t="shared" si="254"/>
        <v>Vallentunasjön Va2</v>
      </c>
      <c r="M4702" s="1" t="s">
        <v>286</v>
      </c>
      <c r="N4702" s="1">
        <v>4.5</v>
      </c>
      <c r="O4702" s="1">
        <v>4.5</v>
      </c>
    </row>
    <row r="4703" spans="1:38" x14ac:dyDescent="0.3">
      <c r="A4703" s="1">
        <v>92148</v>
      </c>
      <c r="B4703" s="1" t="s">
        <v>292</v>
      </c>
      <c r="C4703" s="1" t="s">
        <v>209</v>
      </c>
      <c r="D4703" s="2">
        <f t="shared" si="252"/>
        <v>2021</v>
      </c>
      <c r="E4703" s="2">
        <f t="shared" si="253"/>
        <v>12</v>
      </c>
      <c r="G4703" s="4">
        <v>44544</v>
      </c>
      <c r="H4703" s="1">
        <v>6600620</v>
      </c>
      <c r="I4703" s="1">
        <v>671930</v>
      </c>
      <c r="J4703" s="1" t="s">
        <v>191</v>
      </c>
      <c r="K4703" s="12" t="s">
        <v>206</v>
      </c>
      <c r="L4703" s="1" t="str">
        <f t="shared" si="254"/>
        <v>Vallentunasjön Blandprov</v>
      </c>
      <c r="M4703" s="1" t="s">
        <v>228</v>
      </c>
      <c r="N4703" s="1">
        <v>4</v>
      </c>
      <c r="O4703" s="1">
        <v>0</v>
      </c>
      <c r="W4703" s="1">
        <v>181.1926</v>
      </c>
      <c r="X4703" s="1">
        <v>1.8170443473353759</v>
      </c>
      <c r="Y4703" s="1">
        <v>4.5999999999999999E-2</v>
      </c>
      <c r="Z4703" s="1">
        <v>0</v>
      </c>
      <c r="AB4703" s="1">
        <v>28.908359999999998</v>
      </c>
      <c r="AD4703" s="1">
        <v>29.18</v>
      </c>
      <c r="AE4703" s="1">
        <v>8.09</v>
      </c>
      <c r="AG4703" s="1">
        <v>5.6</v>
      </c>
      <c r="AK4703" s="1">
        <v>20.13</v>
      </c>
      <c r="AL4703" s="1">
        <v>985.6</v>
      </c>
    </row>
    <row r="4704" spans="1:38" x14ac:dyDescent="0.3">
      <c r="A4704" s="1">
        <v>85316</v>
      </c>
      <c r="B4704" s="1" t="s">
        <v>293</v>
      </c>
      <c r="C4704" s="1" t="s">
        <v>294</v>
      </c>
      <c r="D4704" s="2">
        <f t="shared" si="252"/>
        <v>2021</v>
      </c>
      <c r="E4704" s="2">
        <f t="shared" si="253"/>
        <v>3</v>
      </c>
      <c r="G4704" s="4">
        <v>44256</v>
      </c>
      <c r="H4704" s="1">
        <v>6595172</v>
      </c>
      <c r="I4704" s="1">
        <v>669610</v>
      </c>
      <c r="J4704" s="1" t="s">
        <v>183</v>
      </c>
      <c r="K4704" s="1"/>
      <c r="L4704" s="1" t="str">
        <f t="shared" si="254"/>
        <v xml:space="preserve">Fjäturen </v>
      </c>
      <c r="M4704" s="1" t="s">
        <v>285</v>
      </c>
      <c r="N4704" s="1">
        <v>0.5</v>
      </c>
      <c r="O4704" s="1">
        <v>0.5</v>
      </c>
      <c r="P4704" s="1">
        <v>3.5</v>
      </c>
      <c r="Q4704" s="1">
        <v>2.2999999999999998</v>
      </c>
      <c r="R4704" s="1">
        <v>10.6</v>
      </c>
      <c r="S4704" s="1">
        <v>77</v>
      </c>
      <c r="W4704" s="1">
        <v>11.452199999999999</v>
      </c>
      <c r="X4704" s="1">
        <v>4.4285337594348897E-2</v>
      </c>
      <c r="Y4704" s="1">
        <v>0.108</v>
      </c>
      <c r="Z4704" s="1">
        <v>4.16</v>
      </c>
      <c r="AA4704" s="1">
        <v>2.1</v>
      </c>
      <c r="AD4704" s="1">
        <v>330.76</v>
      </c>
      <c r="AE4704" s="1">
        <v>7.59</v>
      </c>
      <c r="AK4704" s="1">
        <v>17.34</v>
      </c>
      <c r="AL4704" s="1">
        <v>895.65</v>
      </c>
    </row>
    <row r="4705" spans="1:38" x14ac:dyDescent="0.3">
      <c r="A4705" s="1">
        <v>85317</v>
      </c>
      <c r="B4705" s="1" t="s">
        <v>293</v>
      </c>
      <c r="C4705" s="1" t="s">
        <v>294</v>
      </c>
      <c r="D4705" s="2">
        <f t="shared" si="252"/>
        <v>2021</v>
      </c>
      <c r="E4705" s="2">
        <f t="shared" si="253"/>
        <v>3</v>
      </c>
      <c r="G4705" s="4">
        <v>44256</v>
      </c>
      <c r="H4705" s="1">
        <v>6595172</v>
      </c>
      <c r="I4705" s="1">
        <v>669610</v>
      </c>
      <c r="J4705" s="1" t="s">
        <v>183</v>
      </c>
      <c r="K4705" s="1"/>
      <c r="L4705" s="1" t="str">
        <f t="shared" si="254"/>
        <v xml:space="preserve">Fjäturen </v>
      </c>
      <c r="M4705" s="1" t="s">
        <v>211</v>
      </c>
      <c r="N4705" s="1">
        <v>1</v>
      </c>
      <c r="O4705" s="1">
        <v>1</v>
      </c>
      <c r="Q4705" s="1">
        <v>2.2999999999999998</v>
      </c>
      <c r="R4705" s="1">
        <v>10.7</v>
      </c>
      <c r="S4705" s="1">
        <v>77</v>
      </c>
    </row>
    <row r="4706" spans="1:38" x14ac:dyDescent="0.3">
      <c r="A4706" s="1">
        <v>85318</v>
      </c>
      <c r="B4706" s="1" t="s">
        <v>293</v>
      </c>
      <c r="C4706" s="1" t="s">
        <v>294</v>
      </c>
      <c r="D4706" s="2">
        <f t="shared" si="252"/>
        <v>2021</v>
      </c>
      <c r="E4706" s="2">
        <f t="shared" si="253"/>
        <v>3</v>
      </c>
      <c r="G4706" s="4">
        <v>44256</v>
      </c>
      <c r="H4706" s="1">
        <v>6595172</v>
      </c>
      <c r="I4706" s="1">
        <v>669610</v>
      </c>
      <c r="J4706" s="1" t="s">
        <v>183</v>
      </c>
      <c r="K4706" s="1"/>
      <c r="L4706" s="1" t="str">
        <f t="shared" si="254"/>
        <v xml:space="preserve">Fjäturen </v>
      </c>
      <c r="M4706" s="1" t="s">
        <v>212</v>
      </c>
      <c r="N4706" s="1">
        <v>2</v>
      </c>
      <c r="O4706" s="1">
        <v>2</v>
      </c>
      <c r="Q4706" s="1">
        <v>2.1</v>
      </c>
      <c r="R4706" s="1">
        <v>10.1</v>
      </c>
      <c r="S4706" s="1">
        <v>73</v>
      </c>
    </row>
    <row r="4707" spans="1:38" x14ac:dyDescent="0.3">
      <c r="A4707" s="1">
        <v>85319</v>
      </c>
      <c r="B4707" s="1" t="s">
        <v>293</v>
      </c>
      <c r="C4707" s="1" t="s">
        <v>294</v>
      </c>
      <c r="D4707" s="2">
        <f t="shared" si="252"/>
        <v>2021</v>
      </c>
      <c r="E4707" s="2">
        <f t="shared" si="253"/>
        <v>3</v>
      </c>
      <c r="G4707" s="4">
        <v>44256</v>
      </c>
      <c r="H4707" s="1">
        <v>6595172</v>
      </c>
      <c r="I4707" s="1">
        <v>669610</v>
      </c>
      <c r="J4707" s="1" t="s">
        <v>183</v>
      </c>
      <c r="K4707" s="1"/>
      <c r="L4707" s="1" t="str">
        <f t="shared" si="254"/>
        <v xml:space="preserve">Fjäturen </v>
      </c>
      <c r="M4707" s="1" t="s">
        <v>213</v>
      </c>
      <c r="N4707" s="1">
        <v>3</v>
      </c>
      <c r="O4707" s="1">
        <v>3</v>
      </c>
      <c r="Q4707" s="1">
        <v>2.2999999999999998</v>
      </c>
      <c r="R4707" s="1">
        <v>8.6999999999999993</v>
      </c>
      <c r="S4707" s="1">
        <v>63</v>
      </c>
    </row>
    <row r="4708" spans="1:38" x14ac:dyDescent="0.3">
      <c r="A4708" s="1">
        <v>85320</v>
      </c>
      <c r="B4708" s="1" t="s">
        <v>293</v>
      </c>
      <c r="C4708" s="1" t="s">
        <v>294</v>
      </c>
      <c r="D4708" s="2">
        <f t="shared" si="252"/>
        <v>2021</v>
      </c>
      <c r="E4708" s="2">
        <f t="shared" si="253"/>
        <v>3</v>
      </c>
      <c r="G4708" s="4">
        <v>44256</v>
      </c>
      <c r="H4708" s="1">
        <v>6595172</v>
      </c>
      <c r="I4708" s="1">
        <v>669610</v>
      </c>
      <c r="J4708" s="1" t="s">
        <v>183</v>
      </c>
      <c r="K4708" s="1"/>
      <c r="L4708" s="1" t="str">
        <f t="shared" si="254"/>
        <v xml:space="preserve">Fjäturen </v>
      </c>
      <c r="M4708" s="1" t="s">
        <v>214</v>
      </c>
      <c r="N4708" s="1">
        <v>4</v>
      </c>
      <c r="O4708" s="1">
        <v>4</v>
      </c>
      <c r="Q4708" s="1">
        <v>2.7</v>
      </c>
      <c r="R4708" s="1">
        <v>7.7</v>
      </c>
      <c r="S4708" s="1">
        <v>56</v>
      </c>
    </row>
    <row r="4709" spans="1:38" x14ac:dyDescent="0.3">
      <c r="A4709" s="1">
        <v>85321</v>
      </c>
      <c r="B4709" s="1" t="s">
        <v>293</v>
      </c>
      <c r="C4709" s="1" t="s">
        <v>294</v>
      </c>
      <c r="D4709" s="2">
        <f t="shared" si="252"/>
        <v>2021</v>
      </c>
      <c r="E4709" s="2">
        <f t="shared" si="253"/>
        <v>3</v>
      </c>
      <c r="G4709" s="4">
        <v>44256</v>
      </c>
      <c r="H4709" s="1">
        <v>6595172</v>
      </c>
      <c r="I4709" s="1">
        <v>669610</v>
      </c>
      <c r="J4709" s="1" t="s">
        <v>183</v>
      </c>
      <c r="K4709" s="1"/>
      <c r="L4709" s="1" t="str">
        <f t="shared" si="254"/>
        <v xml:space="preserve">Fjäturen </v>
      </c>
      <c r="M4709" s="1" t="s">
        <v>217</v>
      </c>
      <c r="N4709" s="1">
        <v>5</v>
      </c>
      <c r="O4709" s="1">
        <v>5</v>
      </c>
      <c r="Q4709" s="1">
        <v>2.9</v>
      </c>
      <c r="R4709" s="1">
        <v>6.7</v>
      </c>
      <c r="S4709" s="1">
        <v>49</v>
      </c>
    </row>
    <row r="4710" spans="1:38" x14ac:dyDescent="0.3">
      <c r="A4710" s="1">
        <v>85322</v>
      </c>
      <c r="B4710" s="1" t="s">
        <v>293</v>
      </c>
      <c r="C4710" s="1" t="s">
        <v>294</v>
      </c>
      <c r="D4710" s="2">
        <f t="shared" si="252"/>
        <v>2021</v>
      </c>
      <c r="E4710" s="2">
        <f t="shared" si="253"/>
        <v>3</v>
      </c>
      <c r="G4710" s="4">
        <v>44256</v>
      </c>
      <c r="H4710" s="1">
        <v>6595172</v>
      </c>
      <c r="I4710" s="1">
        <v>669610</v>
      </c>
      <c r="J4710" s="1" t="s">
        <v>183</v>
      </c>
      <c r="K4710" s="1"/>
      <c r="L4710" s="1" t="str">
        <f t="shared" si="254"/>
        <v xml:space="preserve">Fjäturen </v>
      </c>
      <c r="M4710" s="1" t="s">
        <v>218</v>
      </c>
      <c r="N4710" s="1">
        <v>6</v>
      </c>
      <c r="O4710" s="1">
        <v>6</v>
      </c>
      <c r="Q4710" s="1">
        <v>3</v>
      </c>
      <c r="R4710" s="1">
        <v>6</v>
      </c>
      <c r="S4710" s="1">
        <v>44</v>
      </c>
    </row>
    <row r="4711" spans="1:38" x14ac:dyDescent="0.3">
      <c r="A4711" s="1">
        <v>85323</v>
      </c>
      <c r="B4711" s="1" t="s">
        <v>293</v>
      </c>
      <c r="C4711" s="1" t="s">
        <v>294</v>
      </c>
      <c r="D4711" s="2">
        <f t="shared" si="252"/>
        <v>2021</v>
      </c>
      <c r="E4711" s="2">
        <f t="shared" si="253"/>
        <v>3</v>
      </c>
      <c r="G4711" s="4">
        <v>44256</v>
      </c>
      <c r="H4711" s="1">
        <v>6595172</v>
      </c>
      <c r="I4711" s="1">
        <v>669610</v>
      </c>
      <c r="J4711" s="1" t="s">
        <v>183</v>
      </c>
      <c r="K4711" s="1"/>
      <c r="L4711" s="1" t="str">
        <f t="shared" si="254"/>
        <v xml:space="preserve">Fjäturen </v>
      </c>
      <c r="M4711" s="1" t="s">
        <v>219</v>
      </c>
      <c r="N4711" s="1">
        <v>7</v>
      </c>
      <c r="O4711" s="1">
        <v>7</v>
      </c>
      <c r="Q4711" s="1">
        <v>3.4</v>
      </c>
      <c r="R4711" s="1">
        <v>3.7</v>
      </c>
      <c r="S4711" s="1">
        <v>28</v>
      </c>
    </row>
    <row r="4712" spans="1:38" x14ac:dyDescent="0.3">
      <c r="A4712" s="1">
        <v>85324</v>
      </c>
      <c r="B4712" s="1" t="s">
        <v>293</v>
      </c>
      <c r="C4712" s="1" t="s">
        <v>294</v>
      </c>
      <c r="D4712" s="2">
        <f t="shared" si="252"/>
        <v>2021</v>
      </c>
      <c r="E4712" s="2">
        <f t="shared" si="253"/>
        <v>3</v>
      </c>
      <c r="G4712" s="4">
        <v>44256</v>
      </c>
      <c r="H4712" s="1">
        <v>6595172</v>
      </c>
      <c r="I4712" s="1">
        <v>669610</v>
      </c>
      <c r="J4712" s="1" t="s">
        <v>183</v>
      </c>
      <c r="K4712" s="1"/>
      <c r="L4712" s="1" t="str">
        <f t="shared" si="254"/>
        <v xml:space="preserve">Fjäturen </v>
      </c>
      <c r="M4712" s="1" t="s">
        <v>220</v>
      </c>
      <c r="N4712" s="1">
        <v>8</v>
      </c>
      <c r="O4712" s="1">
        <v>8</v>
      </c>
      <c r="Q4712" s="1">
        <v>3.6</v>
      </c>
      <c r="R4712" s="1">
        <v>2.6</v>
      </c>
      <c r="S4712" s="1">
        <v>19</v>
      </c>
    </row>
    <row r="4713" spans="1:38" x14ac:dyDescent="0.3">
      <c r="A4713" s="1">
        <v>85325</v>
      </c>
      <c r="B4713" s="1" t="s">
        <v>293</v>
      </c>
      <c r="C4713" s="1" t="s">
        <v>294</v>
      </c>
      <c r="D4713" s="2">
        <f t="shared" si="252"/>
        <v>2021</v>
      </c>
      <c r="E4713" s="2">
        <f t="shared" si="253"/>
        <v>3</v>
      </c>
      <c r="G4713" s="4">
        <v>44256</v>
      </c>
      <c r="H4713" s="1">
        <v>6595172</v>
      </c>
      <c r="I4713" s="1">
        <v>669610</v>
      </c>
      <c r="J4713" s="1" t="s">
        <v>183</v>
      </c>
      <c r="K4713" s="1"/>
      <c r="L4713" s="1" t="str">
        <f t="shared" si="254"/>
        <v xml:space="preserve">Fjäturen </v>
      </c>
      <c r="M4713" s="1" t="s">
        <v>286</v>
      </c>
      <c r="N4713" s="1">
        <v>9</v>
      </c>
      <c r="O4713" s="1">
        <v>9</v>
      </c>
      <c r="Q4713" s="1">
        <v>3.7</v>
      </c>
      <c r="R4713" s="1">
        <v>2.4</v>
      </c>
      <c r="S4713" s="1">
        <v>18</v>
      </c>
      <c r="W4713" s="1">
        <v>103.66289999999999</v>
      </c>
      <c r="X4713" s="1">
        <v>0.25924311929972033</v>
      </c>
      <c r="Y4713" s="1">
        <v>7.0000000000000007E-2</v>
      </c>
      <c r="Z4713" s="1">
        <v>17.46</v>
      </c>
      <c r="AA4713" s="1">
        <v>3.3</v>
      </c>
      <c r="AD4713" s="1">
        <v>370.2</v>
      </c>
      <c r="AE4713" s="1">
        <v>7.35</v>
      </c>
      <c r="AK4713" s="1">
        <v>33.33</v>
      </c>
      <c r="AL4713" s="1">
        <v>1023.93</v>
      </c>
    </row>
    <row r="4714" spans="1:38" x14ac:dyDescent="0.3">
      <c r="A4714" s="1">
        <v>85326</v>
      </c>
      <c r="B4714" s="1" t="s">
        <v>293</v>
      </c>
      <c r="C4714" s="1" t="s">
        <v>294</v>
      </c>
      <c r="D4714" s="2">
        <f t="shared" si="252"/>
        <v>2021</v>
      </c>
      <c r="E4714" s="2">
        <f t="shared" si="253"/>
        <v>3</v>
      </c>
      <c r="G4714" s="4">
        <v>44256</v>
      </c>
      <c r="H4714" s="1">
        <v>6593536</v>
      </c>
      <c r="I4714" s="1">
        <v>664946</v>
      </c>
      <c r="J4714" s="1" t="s">
        <v>188</v>
      </c>
      <c r="K4714" s="1"/>
      <c r="L4714" s="1" t="str">
        <f t="shared" si="254"/>
        <v xml:space="preserve">Ravalen </v>
      </c>
      <c r="M4714" s="1" t="s">
        <v>285</v>
      </c>
      <c r="N4714" s="1">
        <v>0.5</v>
      </c>
      <c r="O4714" s="1">
        <v>0.5</v>
      </c>
      <c r="P4714" s="1">
        <v>1.1000000000000001</v>
      </c>
      <c r="Q4714" s="1">
        <v>3.8</v>
      </c>
      <c r="R4714" s="1">
        <v>2.5</v>
      </c>
      <c r="S4714" s="1">
        <v>20</v>
      </c>
      <c r="W4714" s="1">
        <v>249.63210000000001</v>
      </c>
      <c r="X4714" s="1">
        <v>0.44591875414444981</v>
      </c>
      <c r="Y4714" s="1">
        <v>0.14799999999999999</v>
      </c>
      <c r="Z4714" s="1">
        <v>33.03</v>
      </c>
      <c r="AA4714" s="1">
        <v>7.6</v>
      </c>
      <c r="AD4714" s="1">
        <v>241.04</v>
      </c>
      <c r="AE4714" s="1">
        <v>7.2</v>
      </c>
      <c r="AK4714" s="1">
        <v>85.43</v>
      </c>
      <c r="AL4714" s="1">
        <v>1174.6300000000001</v>
      </c>
    </row>
    <row r="4715" spans="1:38" x14ac:dyDescent="0.3">
      <c r="A4715" s="1">
        <v>85327</v>
      </c>
      <c r="B4715" s="1" t="s">
        <v>293</v>
      </c>
      <c r="C4715" s="1" t="s">
        <v>294</v>
      </c>
      <c r="D4715" s="2">
        <f t="shared" si="252"/>
        <v>2021</v>
      </c>
      <c r="E4715" s="2">
        <f t="shared" si="253"/>
        <v>3</v>
      </c>
      <c r="G4715" s="4">
        <v>44256</v>
      </c>
      <c r="H4715" s="1">
        <v>6593536</v>
      </c>
      <c r="I4715" s="1">
        <v>664946</v>
      </c>
      <c r="J4715" s="1" t="s">
        <v>188</v>
      </c>
      <c r="K4715" s="1"/>
      <c r="L4715" s="1" t="str">
        <f t="shared" si="254"/>
        <v xml:space="preserve">Ravalen </v>
      </c>
      <c r="M4715" s="1" t="s">
        <v>211</v>
      </c>
      <c r="N4715" s="1">
        <v>1</v>
      </c>
      <c r="O4715" s="1">
        <v>1</v>
      </c>
      <c r="Q4715" s="1">
        <v>3.3</v>
      </c>
      <c r="R4715" s="1">
        <v>0.7</v>
      </c>
      <c r="S4715" s="1">
        <v>5</v>
      </c>
    </row>
    <row r="4716" spans="1:38" x14ac:dyDescent="0.3">
      <c r="A4716" s="1">
        <v>85328</v>
      </c>
      <c r="B4716" s="1" t="s">
        <v>293</v>
      </c>
      <c r="C4716" s="1" t="s">
        <v>294</v>
      </c>
      <c r="D4716" s="2">
        <f t="shared" si="252"/>
        <v>2021</v>
      </c>
      <c r="E4716" s="2">
        <f t="shared" si="253"/>
        <v>3</v>
      </c>
      <c r="G4716" s="4">
        <v>44256</v>
      </c>
      <c r="H4716" s="1">
        <v>6593536</v>
      </c>
      <c r="I4716" s="1">
        <v>664946</v>
      </c>
      <c r="J4716" s="1" t="s">
        <v>188</v>
      </c>
      <c r="K4716" s="1"/>
      <c r="L4716" s="1" t="str">
        <f t="shared" si="254"/>
        <v xml:space="preserve">Ravalen </v>
      </c>
      <c r="M4716" s="1" t="s">
        <v>286</v>
      </c>
      <c r="N4716" s="1">
        <v>2</v>
      </c>
      <c r="O4716" s="1">
        <v>2</v>
      </c>
      <c r="Q4716" s="1">
        <v>3.2</v>
      </c>
      <c r="R4716" s="1">
        <v>0.5</v>
      </c>
      <c r="S4716" s="1">
        <v>4</v>
      </c>
      <c r="W4716" s="1">
        <v>340.92469999999997</v>
      </c>
      <c r="X4716" s="1">
        <v>0.74651224840854147</v>
      </c>
      <c r="Y4716" s="1">
        <v>0.152</v>
      </c>
      <c r="Z4716" s="1">
        <v>14.58</v>
      </c>
      <c r="AA4716" s="1">
        <v>7.4</v>
      </c>
      <c r="AD4716" s="1">
        <v>252.07</v>
      </c>
      <c r="AE4716" s="1">
        <v>7.31</v>
      </c>
      <c r="AK4716" s="1">
        <v>77.16</v>
      </c>
      <c r="AL4716" s="1">
        <v>1518.03</v>
      </c>
    </row>
    <row r="4717" spans="1:38" x14ac:dyDescent="0.3">
      <c r="A4717" s="1">
        <v>85329</v>
      </c>
      <c r="B4717" s="1" t="s">
        <v>293</v>
      </c>
      <c r="C4717" s="1" t="s">
        <v>294</v>
      </c>
      <c r="D4717" s="2">
        <f t="shared" si="252"/>
        <v>2021</v>
      </c>
      <c r="E4717" s="2">
        <f t="shared" si="253"/>
        <v>3</v>
      </c>
      <c r="G4717" s="4">
        <v>44256</v>
      </c>
      <c r="H4717" s="1">
        <v>6594092</v>
      </c>
      <c r="I4717" s="1">
        <v>661375</v>
      </c>
      <c r="J4717" s="1" t="s">
        <v>193</v>
      </c>
      <c r="K4717" s="1"/>
      <c r="L4717" s="1" t="str">
        <f t="shared" si="254"/>
        <v xml:space="preserve">Översjön </v>
      </c>
      <c r="M4717" s="1" t="s">
        <v>285</v>
      </c>
      <c r="N4717" s="1">
        <v>0.5</v>
      </c>
      <c r="O4717" s="1">
        <v>0.5</v>
      </c>
      <c r="P4717" s="1">
        <v>3.6</v>
      </c>
      <c r="Q4717" s="1">
        <v>2.7</v>
      </c>
      <c r="R4717" s="1">
        <v>11.1</v>
      </c>
      <c r="S4717" s="1">
        <v>81</v>
      </c>
      <c r="W4717" s="1">
        <v>66.131799999999998</v>
      </c>
      <c r="X4717" s="1">
        <v>0.1104356845330888</v>
      </c>
      <c r="Y4717" s="1">
        <v>0.13800000000000001</v>
      </c>
      <c r="Z4717" s="1">
        <v>1.26</v>
      </c>
      <c r="AA4717" s="1">
        <v>7.7</v>
      </c>
      <c r="AD4717" s="1">
        <v>158.33000000000001</v>
      </c>
      <c r="AE4717" s="1">
        <v>7.21</v>
      </c>
      <c r="AK4717" s="1">
        <v>30.54</v>
      </c>
      <c r="AL4717" s="1">
        <v>882.48</v>
      </c>
    </row>
    <row r="4718" spans="1:38" x14ac:dyDescent="0.3">
      <c r="A4718" s="1">
        <v>85330</v>
      </c>
      <c r="B4718" s="1" t="s">
        <v>293</v>
      </c>
      <c r="C4718" s="1" t="s">
        <v>294</v>
      </c>
      <c r="D4718" s="2">
        <f t="shared" si="252"/>
        <v>2021</v>
      </c>
      <c r="E4718" s="2">
        <f t="shared" si="253"/>
        <v>3</v>
      </c>
      <c r="G4718" s="4">
        <v>44256</v>
      </c>
      <c r="H4718" s="1">
        <v>6594092</v>
      </c>
      <c r="I4718" s="1">
        <v>661375</v>
      </c>
      <c r="J4718" s="1" t="s">
        <v>193</v>
      </c>
      <c r="K4718" s="1"/>
      <c r="L4718" s="1" t="str">
        <f t="shared" si="254"/>
        <v xml:space="preserve">Översjön </v>
      </c>
      <c r="M4718" s="1" t="s">
        <v>211</v>
      </c>
      <c r="N4718" s="1">
        <v>1</v>
      </c>
      <c r="O4718" s="1">
        <v>1</v>
      </c>
      <c r="Q4718" s="1">
        <v>2.7</v>
      </c>
      <c r="R4718" s="1">
        <v>11.2</v>
      </c>
      <c r="S4718" s="1">
        <v>82</v>
      </c>
    </row>
    <row r="4719" spans="1:38" x14ac:dyDescent="0.3">
      <c r="A4719" s="1">
        <v>85331</v>
      </c>
      <c r="B4719" s="1" t="s">
        <v>293</v>
      </c>
      <c r="C4719" s="1" t="s">
        <v>294</v>
      </c>
      <c r="D4719" s="2">
        <f t="shared" si="252"/>
        <v>2021</v>
      </c>
      <c r="E4719" s="2">
        <f t="shared" si="253"/>
        <v>3</v>
      </c>
      <c r="G4719" s="4">
        <v>44256</v>
      </c>
      <c r="H4719" s="1">
        <v>6594092</v>
      </c>
      <c r="I4719" s="1">
        <v>661375</v>
      </c>
      <c r="J4719" s="1" t="s">
        <v>193</v>
      </c>
      <c r="K4719" s="1"/>
      <c r="L4719" s="1" t="str">
        <f t="shared" si="254"/>
        <v xml:space="preserve">Översjön </v>
      </c>
      <c r="M4719" s="1" t="s">
        <v>212</v>
      </c>
      <c r="N4719" s="1">
        <v>2</v>
      </c>
      <c r="O4719" s="1">
        <v>2</v>
      </c>
      <c r="Q4719" s="1">
        <v>2.8</v>
      </c>
      <c r="R4719" s="1">
        <v>5.6</v>
      </c>
      <c r="S4719" s="1">
        <v>41</v>
      </c>
    </row>
    <row r="4720" spans="1:38" x14ac:dyDescent="0.3">
      <c r="A4720" s="1">
        <v>85332</v>
      </c>
      <c r="B4720" s="1" t="s">
        <v>293</v>
      </c>
      <c r="C4720" s="1" t="s">
        <v>294</v>
      </c>
      <c r="D4720" s="2">
        <f t="shared" si="252"/>
        <v>2021</v>
      </c>
      <c r="E4720" s="2">
        <f t="shared" si="253"/>
        <v>3</v>
      </c>
      <c r="G4720" s="4">
        <v>44256</v>
      </c>
      <c r="H4720" s="1">
        <v>6594092</v>
      </c>
      <c r="I4720" s="1">
        <v>661375</v>
      </c>
      <c r="J4720" s="1" t="s">
        <v>193</v>
      </c>
      <c r="K4720" s="1"/>
      <c r="L4720" s="1" t="str">
        <f t="shared" si="254"/>
        <v xml:space="preserve">Översjön </v>
      </c>
      <c r="M4720" s="1" t="s">
        <v>213</v>
      </c>
      <c r="N4720" s="1">
        <v>3</v>
      </c>
      <c r="O4720" s="1">
        <v>3</v>
      </c>
      <c r="Q4720" s="1">
        <v>3.3</v>
      </c>
      <c r="R4720" s="1">
        <v>3.2</v>
      </c>
      <c r="S4720" s="1">
        <v>24</v>
      </c>
    </row>
    <row r="4721" spans="1:91" x14ac:dyDescent="0.3">
      <c r="A4721" s="1">
        <v>85333</v>
      </c>
      <c r="B4721" s="1" t="s">
        <v>293</v>
      </c>
      <c r="C4721" s="1" t="s">
        <v>294</v>
      </c>
      <c r="D4721" s="2">
        <f t="shared" si="252"/>
        <v>2021</v>
      </c>
      <c r="E4721" s="2">
        <f t="shared" si="253"/>
        <v>3</v>
      </c>
      <c r="G4721" s="4">
        <v>44256</v>
      </c>
      <c r="H4721" s="1">
        <v>6594092</v>
      </c>
      <c r="I4721" s="1">
        <v>661375</v>
      </c>
      <c r="J4721" s="1" t="s">
        <v>193</v>
      </c>
      <c r="K4721" s="1"/>
      <c r="L4721" s="1" t="str">
        <f t="shared" si="254"/>
        <v xml:space="preserve">Översjön </v>
      </c>
      <c r="M4721" s="1" t="s">
        <v>286</v>
      </c>
      <c r="N4721" s="1">
        <v>4</v>
      </c>
      <c r="O4721" s="1">
        <v>4</v>
      </c>
      <c r="Q4721" s="1">
        <v>3.5</v>
      </c>
      <c r="R4721" s="1">
        <v>2.2000000000000002</v>
      </c>
      <c r="S4721" s="1">
        <v>17</v>
      </c>
      <c r="W4721" s="1">
        <v>230.87020000000001</v>
      </c>
      <c r="X4721" s="1">
        <v>0.74817109783620528</v>
      </c>
      <c r="Y4721" s="1">
        <v>6.6000000000000003E-2</v>
      </c>
      <c r="Z4721" s="1">
        <v>15.44</v>
      </c>
      <c r="AA4721" s="1">
        <v>1.48</v>
      </c>
      <c r="AD4721" s="1">
        <v>278.33</v>
      </c>
      <c r="AE4721" s="1">
        <v>7.47</v>
      </c>
      <c r="AK4721" s="1">
        <v>38.07</v>
      </c>
      <c r="AL4721" s="1">
        <v>1301.04</v>
      </c>
    </row>
    <row r="4722" spans="1:91" x14ac:dyDescent="0.3">
      <c r="A4722" s="1">
        <v>85334</v>
      </c>
      <c r="B4722" s="1" t="s">
        <v>293</v>
      </c>
      <c r="C4722" s="1" t="s">
        <v>294</v>
      </c>
      <c r="D4722" s="2">
        <f t="shared" si="252"/>
        <v>2021</v>
      </c>
      <c r="E4722" s="2">
        <f t="shared" si="253"/>
        <v>3</v>
      </c>
      <c r="G4722" s="4">
        <v>44256</v>
      </c>
      <c r="H4722" s="1">
        <v>6593594</v>
      </c>
      <c r="I4722" s="1">
        <v>669799</v>
      </c>
      <c r="J4722" s="1" t="s">
        <v>189</v>
      </c>
      <c r="K4722" s="1"/>
      <c r="L4722" s="1" t="str">
        <f t="shared" si="254"/>
        <v xml:space="preserve">Rösjön </v>
      </c>
      <c r="M4722" s="1" t="s">
        <v>285</v>
      </c>
      <c r="N4722" s="1">
        <v>0.5</v>
      </c>
      <c r="O4722" s="1">
        <v>0.5</v>
      </c>
      <c r="P4722" s="1">
        <v>4.2</v>
      </c>
      <c r="Q4722" s="1">
        <v>2.5</v>
      </c>
      <c r="R4722" s="1">
        <v>11.4</v>
      </c>
      <c r="S4722" s="1">
        <v>82</v>
      </c>
      <c r="W4722" s="1">
        <v>9.3515999999999995</v>
      </c>
      <c r="X4722" s="1">
        <v>3.0598989390110399E-2</v>
      </c>
      <c r="Y4722" s="1">
        <v>6.2E-2</v>
      </c>
      <c r="Z4722" s="1">
        <v>2.59</v>
      </c>
      <c r="AA4722" s="1">
        <v>2.4</v>
      </c>
      <c r="AD4722" s="1">
        <v>183.42</v>
      </c>
      <c r="AE4722" s="1">
        <v>7.51</v>
      </c>
      <c r="AI4722" s="1">
        <v>9.6509999999999998</v>
      </c>
      <c r="AJ4722" s="1">
        <v>9.5980000000000008</v>
      </c>
      <c r="AK4722" s="1">
        <v>18.059999999999999</v>
      </c>
      <c r="AL4722" s="1">
        <v>654.51</v>
      </c>
      <c r="AR4722" s="1">
        <v>30.7</v>
      </c>
      <c r="AS4722" s="1">
        <v>0.154</v>
      </c>
      <c r="AT4722" s="1">
        <v>2.35</v>
      </c>
      <c r="AU4722" s="1">
        <v>4.07</v>
      </c>
      <c r="AW4722" s="1">
        <v>15.7</v>
      </c>
      <c r="AY4722" s="1">
        <v>1.82</v>
      </c>
      <c r="AZ4722" s="1">
        <v>204</v>
      </c>
      <c r="BA4722" s="1">
        <v>0.69099999999999895</v>
      </c>
      <c r="BB4722" s="1">
        <v>19.399999999999899</v>
      </c>
      <c r="BC4722" s="1">
        <v>3.44999999999999E-3</v>
      </c>
      <c r="BD4722" s="1">
        <v>5.96E-2</v>
      </c>
      <c r="BE4722" s="1">
        <v>0.28599999999999898</v>
      </c>
      <c r="BF4722" s="1">
        <v>1.1100000000000001</v>
      </c>
      <c r="BG4722" s="1">
        <v>1E-3</v>
      </c>
      <c r="BH4722" s="1">
        <v>7.27</v>
      </c>
      <c r="BI4722" s="1">
        <v>0.625</v>
      </c>
      <c r="BJ4722" s="1">
        <v>2.5000000000000001E-2</v>
      </c>
      <c r="BK4722" s="1">
        <v>16.100000000000001</v>
      </c>
      <c r="BL4722" s="1">
        <v>0.251</v>
      </c>
      <c r="BM4722" s="1">
        <v>75.2</v>
      </c>
      <c r="BN4722" s="1">
        <v>0.503</v>
      </c>
      <c r="BO4722" s="1">
        <v>2.73</v>
      </c>
      <c r="BQ4722" s="1">
        <v>21.4</v>
      </c>
      <c r="BR4722" s="1">
        <v>2.4499999999999899E-3</v>
      </c>
      <c r="BS4722" s="1">
        <v>2.4400000000000002E-2</v>
      </c>
      <c r="BT4722" s="1">
        <v>9.69E-2</v>
      </c>
      <c r="BU4722" s="1">
        <v>0.85</v>
      </c>
      <c r="BV4722" s="1">
        <v>4.3600000000000003</v>
      </c>
      <c r="BW4722" s="1">
        <v>0.430999999999999</v>
      </c>
      <c r="BX4722" s="1">
        <v>4.2500000000000003E-2</v>
      </c>
      <c r="BY4722" s="1">
        <v>2.57</v>
      </c>
      <c r="BZ4722" s="1">
        <v>31.4</v>
      </c>
      <c r="CA4722" s="1">
        <v>4.1399999999999899</v>
      </c>
      <c r="CC4722" s="1">
        <v>2.01E-2</v>
      </c>
      <c r="CD4722" s="1">
        <v>2.38</v>
      </c>
      <c r="CE4722" s="1">
        <v>16.2</v>
      </c>
      <c r="CF4722" s="1">
        <v>1.68</v>
      </c>
      <c r="CG4722" s="1">
        <v>0.64600000000000002</v>
      </c>
      <c r="CH4722" s="1">
        <v>17.399999999999899</v>
      </c>
      <c r="CI4722" s="1">
        <v>1E-3</v>
      </c>
      <c r="CJ4722" s="1">
        <v>0.69799999999999895</v>
      </c>
      <c r="CK4722" s="1">
        <v>10.1999999999999</v>
      </c>
      <c r="CL4722" s="1">
        <v>0.22600000000000001</v>
      </c>
      <c r="CM4722" s="1">
        <v>77.2</v>
      </c>
    </row>
    <row r="4723" spans="1:91" x14ac:dyDescent="0.3">
      <c r="A4723" s="1">
        <v>85335</v>
      </c>
      <c r="B4723" s="1" t="s">
        <v>293</v>
      </c>
      <c r="C4723" s="1" t="s">
        <v>294</v>
      </c>
      <c r="D4723" s="2">
        <f t="shared" si="252"/>
        <v>2021</v>
      </c>
      <c r="E4723" s="2">
        <f t="shared" si="253"/>
        <v>3</v>
      </c>
      <c r="G4723" s="4">
        <v>44256</v>
      </c>
      <c r="H4723" s="1">
        <v>6593594</v>
      </c>
      <c r="I4723" s="1">
        <v>669799</v>
      </c>
      <c r="J4723" s="1" t="s">
        <v>189</v>
      </c>
      <c r="K4723" s="1"/>
      <c r="L4723" s="1" t="str">
        <f t="shared" si="254"/>
        <v xml:space="preserve">Rösjön </v>
      </c>
      <c r="M4723" s="1" t="s">
        <v>211</v>
      </c>
      <c r="N4723" s="1">
        <v>1</v>
      </c>
      <c r="O4723" s="1">
        <v>1</v>
      </c>
      <c r="Q4723" s="1">
        <v>2.5</v>
      </c>
      <c r="R4723" s="1">
        <v>11.3</v>
      </c>
      <c r="S4723" s="1">
        <v>82</v>
      </c>
    </row>
    <row r="4724" spans="1:91" x14ac:dyDescent="0.3">
      <c r="A4724" s="1">
        <v>85336</v>
      </c>
      <c r="B4724" s="1" t="s">
        <v>293</v>
      </c>
      <c r="C4724" s="1" t="s">
        <v>294</v>
      </c>
      <c r="D4724" s="2">
        <f t="shared" si="252"/>
        <v>2021</v>
      </c>
      <c r="E4724" s="2">
        <f t="shared" si="253"/>
        <v>3</v>
      </c>
      <c r="G4724" s="4">
        <v>44256</v>
      </c>
      <c r="H4724" s="1">
        <v>6593594</v>
      </c>
      <c r="I4724" s="1">
        <v>669799</v>
      </c>
      <c r="J4724" s="1" t="s">
        <v>189</v>
      </c>
      <c r="K4724" s="1"/>
      <c r="L4724" s="1" t="str">
        <f t="shared" si="254"/>
        <v xml:space="preserve">Rösjön </v>
      </c>
      <c r="M4724" s="1" t="s">
        <v>212</v>
      </c>
      <c r="N4724" s="1">
        <v>2</v>
      </c>
      <c r="O4724" s="1">
        <v>2</v>
      </c>
      <c r="Q4724" s="1">
        <v>2.6</v>
      </c>
      <c r="R4724" s="1">
        <v>10.7</v>
      </c>
      <c r="S4724" s="1">
        <v>77</v>
      </c>
    </row>
    <row r="4725" spans="1:91" x14ac:dyDescent="0.3">
      <c r="A4725" s="1">
        <v>85337</v>
      </c>
      <c r="B4725" s="1" t="s">
        <v>293</v>
      </c>
      <c r="C4725" s="1" t="s">
        <v>294</v>
      </c>
      <c r="D4725" s="2">
        <f t="shared" si="252"/>
        <v>2021</v>
      </c>
      <c r="E4725" s="2">
        <f t="shared" si="253"/>
        <v>3</v>
      </c>
      <c r="G4725" s="4">
        <v>44256</v>
      </c>
      <c r="H4725" s="1">
        <v>6593594</v>
      </c>
      <c r="I4725" s="1">
        <v>669799</v>
      </c>
      <c r="J4725" s="1" t="s">
        <v>189</v>
      </c>
      <c r="K4725" s="1"/>
      <c r="L4725" s="1" t="str">
        <f t="shared" si="254"/>
        <v xml:space="preserve">Rösjön </v>
      </c>
      <c r="M4725" s="1" t="s">
        <v>213</v>
      </c>
      <c r="N4725" s="1">
        <v>3</v>
      </c>
      <c r="O4725" s="1">
        <v>3</v>
      </c>
      <c r="Q4725" s="1">
        <v>2.7</v>
      </c>
      <c r="R4725" s="1">
        <v>10.3</v>
      </c>
      <c r="S4725" s="1">
        <v>75</v>
      </c>
    </row>
    <row r="4726" spans="1:91" x14ac:dyDescent="0.3">
      <c r="A4726" s="1">
        <v>85338</v>
      </c>
      <c r="B4726" s="1" t="s">
        <v>293</v>
      </c>
      <c r="C4726" s="1" t="s">
        <v>294</v>
      </c>
      <c r="D4726" s="2">
        <f t="shared" si="252"/>
        <v>2021</v>
      </c>
      <c r="E4726" s="2">
        <f t="shared" si="253"/>
        <v>3</v>
      </c>
      <c r="G4726" s="4">
        <v>44256</v>
      </c>
      <c r="H4726" s="1">
        <v>6593594</v>
      </c>
      <c r="I4726" s="1">
        <v>669799</v>
      </c>
      <c r="J4726" s="1" t="s">
        <v>189</v>
      </c>
      <c r="K4726" s="1"/>
      <c r="L4726" s="1" t="str">
        <f t="shared" si="254"/>
        <v xml:space="preserve">Rösjön </v>
      </c>
      <c r="M4726" s="1" t="s">
        <v>214</v>
      </c>
      <c r="N4726" s="1">
        <v>4</v>
      </c>
      <c r="O4726" s="1">
        <v>4</v>
      </c>
      <c r="Q4726" s="1">
        <v>3.3</v>
      </c>
      <c r="R4726" s="1">
        <v>7.1</v>
      </c>
      <c r="S4726" s="1">
        <v>52</v>
      </c>
    </row>
    <row r="4727" spans="1:91" x14ac:dyDescent="0.3">
      <c r="A4727" s="1">
        <v>85339</v>
      </c>
      <c r="B4727" s="1" t="s">
        <v>293</v>
      </c>
      <c r="C4727" s="1" t="s">
        <v>294</v>
      </c>
      <c r="D4727" s="2">
        <f t="shared" si="252"/>
        <v>2021</v>
      </c>
      <c r="E4727" s="2">
        <f t="shared" si="253"/>
        <v>3</v>
      </c>
      <c r="G4727" s="4">
        <v>44256</v>
      </c>
      <c r="H4727" s="1">
        <v>6593594</v>
      </c>
      <c r="I4727" s="1">
        <v>669799</v>
      </c>
      <c r="J4727" s="1" t="s">
        <v>189</v>
      </c>
      <c r="K4727" s="1"/>
      <c r="L4727" s="1" t="str">
        <f t="shared" si="254"/>
        <v xml:space="preserve">Rösjön </v>
      </c>
      <c r="M4727" s="1" t="s">
        <v>217</v>
      </c>
      <c r="N4727" s="1">
        <v>5</v>
      </c>
      <c r="O4727" s="1">
        <v>5</v>
      </c>
      <c r="Q4727" s="1">
        <v>3.6</v>
      </c>
      <c r="R4727" s="1">
        <v>4</v>
      </c>
      <c r="S4727" s="1">
        <v>30</v>
      </c>
    </row>
    <row r="4728" spans="1:91" x14ac:dyDescent="0.3">
      <c r="A4728" s="1">
        <v>85340</v>
      </c>
      <c r="B4728" s="1" t="s">
        <v>293</v>
      </c>
      <c r="C4728" s="1" t="s">
        <v>294</v>
      </c>
      <c r="D4728" s="2">
        <f t="shared" si="252"/>
        <v>2021</v>
      </c>
      <c r="E4728" s="2">
        <f t="shared" si="253"/>
        <v>3</v>
      </c>
      <c r="G4728" s="4">
        <v>44256</v>
      </c>
      <c r="H4728" s="1">
        <v>6593594</v>
      </c>
      <c r="I4728" s="1">
        <v>669799</v>
      </c>
      <c r="J4728" s="1" t="s">
        <v>189</v>
      </c>
      <c r="K4728" s="1"/>
      <c r="L4728" s="1" t="str">
        <f t="shared" si="254"/>
        <v xml:space="preserve">Rösjön </v>
      </c>
      <c r="M4728" s="1" t="s">
        <v>218</v>
      </c>
      <c r="N4728" s="1">
        <v>6</v>
      </c>
      <c r="O4728" s="1">
        <v>6</v>
      </c>
      <c r="Q4728" s="1">
        <v>4.0999999999999996</v>
      </c>
      <c r="R4728" s="1">
        <v>2.7</v>
      </c>
      <c r="S4728" s="1">
        <v>20</v>
      </c>
    </row>
    <row r="4729" spans="1:91" x14ac:dyDescent="0.3">
      <c r="A4729" s="1">
        <v>85341</v>
      </c>
      <c r="B4729" s="1" t="s">
        <v>293</v>
      </c>
      <c r="C4729" s="1" t="s">
        <v>294</v>
      </c>
      <c r="D4729" s="2">
        <f t="shared" si="252"/>
        <v>2021</v>
      </c>
      <c r="E4729" s="2">
        <f t="shared" si="253"/>
        <v>3</v>
      </c>
      <c r="G4729" s="4">
        <v>44256</v>
      </c>
      <c r="H4729" s="1">
        <v>6593594</v>
      </c>
      <c r="I4729" s="1">
        <v>669799</v>
      </c>
      <c r="J4729" s="1" t="s">
        <v>189</v>
      </c>
      <c r="K4729" s="1"/>
      <c r="L4729" s="1" t="str">
        <f t="shared" si="254"/>
        <v xml:space="preserve">Rösjön </v>
      </c>
      <c r="M4729" s="1" t="s">
        <v>286</v>
      </c>
      <c r="N4729" s="1">
        <v>7</v>
      </c>
      <c r="O4729" s="1">
        <v>7</v>
      </c>
      <c r="Q4729" s="1">
        <v>4.3</v>
      </c>
      <c r="R4729" s="1">
        <v>1.8</v>
      </c>
      <c r="S4729" s="1">
        <v>14</v>
      </c>
      <c r="W4729" s="1">
        <v>93.633499999999998</v>
      </c>
      <c r="X4729" s="1">
        <v>0.2093892937682798</v>
      </c>
      <c r="Y4729" s="1">
        <v>6.3E-2</v>
      </c>
      <c r="Z4729" s="1">
        <v>17.57</v>
      </c>
      <c r="AA4729" s="1">
        <v>3.5</v>
      </c>
      <c r="AD4729" s="1">
        <v>278.45999999999998</v>
      </c>
      <c r="AE4729" s="1">
        <v>7.28</v>
      </c>
      <c r="AK4729" s="1">
        <v>34.159999999999997</v>
      </c>
      <c r="AL4729" s="1">
        <v>857.49</v>
      </c>
    </row>
    <row r="4730" spans="1:91" x14ac:dyDescent="0.3">
      <c r="A4730" s="1">
        <v>85342</v>
      </c>
      <c r="B4730" s="1" t="s">
        <v>293</v>
      </c>
      <c r="C4730" s="1" t="s">
        <v>294</v>
      </c>
      <c r="D4730" s="2">
        <f t="shared" si="252"/>
        <v>2021</v>
      </c>
      <c r="E4730" s="2">
        <f t="shared" si="253"/>
        <v>3</v>
      </c>
      <c r="G4730" s="4">
        <v>44256</v>
      </c>
      <c r="H4730" s="1">
        <v>6594739</v>
      </c>
      <c r="I4730" s="1">
        <v>668531</v>
      </c>
      <c r="J4730" s="1" t="s">
        <v>192</v>
      </c>
      <c r="K4730" s="1"/>
      <c r="L4730" s="1" t="str">
        <f t="shared" si="254"/>
        <v xml:space="preserve">Väsjön </v>
      </c>
      <c r="M4730" s="1" t="s">
        <v>285</v>
      </c>
      <c r="N4730" s="1">
        <v>0.5</v>
      </c>
      <c r="O4730" s="1">
        <v>0.5</v>
      </c>
      <c r="P4730" s="1">
        <v>1.3</v>
      </c>
      <c r="Q4730" s="1">
        <v>2.1</v>
      </c>
      <c r="R4730" s="1">
        <v>4.9000000000000004</v>
      </c>
      <c r="S4730" s="1">
        <v>35</v>
      </c>
      <c r="W4730" s="1">
        <v>172.92250000000001</v>
      </c>
      <c r="X4730" s="1">
        <v>0.41558410152103642</v>
      </c>
      <c r="Y4730" s="1">
        <v>0.113</v>
      </c>
      <c r="Z4730" s="1">
        <v>6.57</v>
      </c>
      <c r="AA4730" s="1">
        <v>13.1</v>
      </c>
      <c r="AD4730" s="1">
        <v>269.38</v>
      </c>
      <c r="AE4730" s="1">
        <v>7.39</v>
      </c>
      <c r="AI4730" s="1">
        <v>12.58</v>
      </c>
      <c r="AJ4730" s="1">
        <v>12.48</v>
      </c>
      <c r="AK4730" s="1">
        <v>27.34</v>
      </c>
      <c r="AL4730" s="1">
        <v>1007.78</v>
      </c>
      <c r="AR4730" s="1">
        <v>60</v>
      </c>
      <c r="AS4730" s="1">
        <v>0.45700000000000002</v>
      </c>
      <c r="AT4730" s="1">
        <v>6.65</v>
      </c>
      <c r="AU4730" s="1">
        <v>7.17</v>
      </c>
      <c r="AW4730" s="1">
        <v>36.299999999999898</v>
      </c>
      <c r="AY4730" s="1">
        <v>3.78</v>
      </c>
      <c r="AZ4730" s="1">
        <v>385</v>
      </c>
      <c r="BA4730" s="1">
        <v>0.78700000000000003</v>
      </c>
      <c r="BB4730" s="1">
        <v>44.1</v>
      </c>
      <c r="BC4730" s="1">
        <v>2.8999999999999898E-3</v>
      </c>
      <c r="BD4730" s="1">
        <v>0.27200000000000002</v>
      </c>
      <c r="BE4730" s="1">
        <v>0.58599999999999897</v>
      </c>
      <c r="BF4730" s="1">
        <v>1.35</v>
      </c>
      <c r="BG4730" s="1">
        <v>1E-3</v>
      </c>
      <c r="BH4730" s="1">
        <v>242</v>
      </c>
      <c r="BI4730" s="1">
        <v>3.42</v>
      </c>
      <c r="BJ4730" s="1">
        <v>2.5000000000000001E-2</v>
      </c>
      <c r="BK4730" s="1">
        <v>17.399999999999899</v>
      </c>
      <c r="BL4730" s="1">
        <v>0.84</v>
      </c>
      <c r="BM4730" s="1">
        <v>158</v>
      </c>
      <c r="BN4730" s="1">
        <v>1.06</v>
      </c>
      <c r="BO4730" s="1">
        <v>29.2</v>
      </c>
      <c r="BQ4730" s="1">
        <v>29.7</v>
      </c>
      <c r="BR4730" s="1">
        <v>1E-3</v>
      </c>
      <c r="BS4730" s="1">
        <v>0.108</v>
      </c>
      <c r="BT4730" s="1">
        <v>7.9699999999999896E-2</v>
      </c>
      <c r="BU4730" s="1">
        <v>0.91300000000000003</v>
      </c>
      <c r="BV4730" s="1">
        <v>187</v>
      </c>
      <c r="BW4730" s="1">
        <v>1.0900000000000001</v>
      </c>
      <c r="BX4730" s="1">
        <v>0.114</v>
      </c>
      <c r="BY4730" s="1">
        <v>14.6</v>
      </c>
      <c r="BZ4730" s="1">
        <v>60.4</v>
      </c>
      <c r="CA4730" s="1">
        <v>7.2</v>
      </c>
      <c r="CC4730" s="1">
        <v>4.07E-2</v>
      </c>
      <c r="CD4730" s="1">
        <v>6.65</v>
      </c>
      <c r="CE4730" s="1">
        <v>37</v>
      </c>
      <c r="CF4730" s="1">
        <v>3.47</v>
      </c>
      <c r="CG4730" s="1">
        <v>0.55100000000000005</v>
      </c>
      <c r="CH4730" s="1">
        <v>40</v>
      </c>
      <c r="CI4730" s="1">
        <v>1E-3</v>
      </c>
      <c r="CJ4730" s="1">
        <v>3.44</v>
      </c>
      <c r="CK4730" s="1">
        <v>6.11</v>
      </c>
      <c r="CL4730" s="1">
        <v>0.36799999999999899</v>
      </c>
      <c r="CM4730" s="1">
        <v>158</v>
      </c>
    </row>
    <row r="4731" spans="1:91" x14ac:dyDescent="0.3">
      <c r="A4731" s="1">
        <v>85343</v>
      </c>
      <c r="B4731" s="1" t="s">
        <v>293</v>
      </c>
      <c r="C4731" s="1" t="s">
        <v>294</v>
      </c>
      <c r="D4731" s="2">
        <f t="shared" si="252"/>
        <v>2021</v>
      </c>
      <c r="E4731" s="2">
        <f t="shared" si="253"/>
        <v>3</v>
      </c>
      <c r="G4731" s="4">
        <v>44256</v>
      </c>
      <c r="H4731" s="1">
        <v>6594739</v>
      </c>
      <c r="I4731" s="1">
        <v>668531</v>
      </c>
      <c r="J4731" s="1" t="s">
        <v>192</v>
      </c>
      <c r="K4731" s="1"/>
      <c r="L4731" s="1" t="str">
        <f t="shared" si="254"/>
        <v xml:space="preserve">Väsjön </v>
      </c>
      <c r="M4731" s="1" t="s">
        <v>211</v>
      </c>
      <c r="N4731" s="1">
        <v>1</v>
      </c>
      <c r="O4731" s="1">
        <v>1</v>
      </c>
      <c r="Q4731" s="1">
        <v>2.2999999999999998</v>
      </c>
      <c r="R4731" s="1">
        <v>4.5999999999999996</v>
      </c>
      <c r="S4731" s="1">
        <v>33</v>
      </c>
    </row>
    <row r="4732" spans="1:91" x14ac:dyDescent="0.3">
      <c r="A4732" s="1">
        <v>85344</v>
      </c>
      <c r="B4732" s="1" t="s">
        <v>293</v>
      </c>
      <c r="C4732" s="1" t="s">
        <v>294</v>
      </c>
      <c r="D4732" s="2">
        <f t="shared" si="252"/>
        <v>2021</v>
      </c>
      <c r="E4732" s="2">
        <f t="shared" si="253"/>
        <v>3</v>
      </c>
      <c r="G4732" s="4">
        <v>44256</v>
      </c>
      <c r="H4732" s="1">
        <v>6594739</v>
      </c>
      <c r="I4732" s="1">
        <v>668531</v>
      </c>
      <c r="J4732" s="1" t="s">
        <v>192</v>
      </c>
      <c r="K4732" s="1"/>
      <c r="L4732" s="1" t="str">
        <f t="shared" si="254"/>
        <v xml:space="preserve">Väsjön </v>
      </c>
      <c r="M4732" s="1" t="s">
        <v>212</v>
      </c>
      <c r="N4732" s="1">
        <v>2</v>
      </c>
      <c r="O4732" s="1">
        <v>2</v>
      </c>
      <c r="Q4732" s="1">
        <v>2.8</v>
      </c>
      <c r="R4732" s="1">
        <v>2.8</v>
      </c>
      <c r="S4732" s="1">
        <v>21</v>
      </c>
    </row>
    <row r="4733" spans="1:91" x14ac:dyDescent="0.3">
      <c r="A4733" s="1">
        <v>85345</v>
      </c>
      <c r="B4733" s="1" t="s">
        <v>293</v>
      </c>
      <c r="C4733" s="1" t="s">
        <v>294</v>
      </c>
      <c r="D4733" s="2">
        <f t="shared" si="252"/>
        <v>2021</v>
      </c>
      <c r="E4733" s="2">
        <f t="shared" si="253"/>
        <v>3</v>
      </c>
      <c r="G4733" s="4">
        <v>44256</v>
      </c>
      <c r="H4733" s="1">
        <v>6594739</v>
      </c>
      <c r="I4733" s="1">
        <v>668531</v>
      </c>
      <c r="J4733" s="1" t="s">
        <v>192</v>
      </c>
      <c r="K4733" s="1"/>
      <c r="L4733" s="1" t="str">
        <f t="shared" si="254"/>
        <v xml:space="preserve">Väsjön </v>
      </c>
      <c r="M4733" s="1" t="s">
        <v>286</v>
      </c>
      <c r="N4733" s="1">
        <v>2.5</v>
      </c>
      <c r="O4733" s="1">
        <v>2.5</v>
      </c>
      <c r="Q4733" s="1">
        <v>3.6</v>
      </c>
      <c r="R4733" s="1">
        <v>0.4</v>
      </c>
      <c r="S4733" s="1">
        <v>3</v>
      </c>
      <c r="W4733" s="1">
        <v>276.63400000000001</v>
      </c>
      <c r="X4733" s="1">
        <v>0.78754563839286218</v>
      </c>
      <c r="Y4733" s="1">
        <v>0.122</v>
      </c>
      <c r="Z4733" s="1">
        <v>17.98</v>
      </c>
      <c r="AA4733" s="1">
        <v>24</v>
      </c>
      <c r="AD4733" s="1">
        <v>190.5</v>
      </c>
      <c r="AE4733" s="1">
        <v>7.41</v>
      </c>
      <c r="AK4733" s="1">
        <v>43.2</v>
      </c>
      <c r="AL4733" s="1">
        <v>1049.6099999999999</v>
      </c>
    </row>
    <row r="4734" spans="1:91" x14ac:dyDescent="0.3">
      <c r="A4734" s="1">
        <v>85346</v>
      </c>
      <c r="B4734" s="1" t="s">
        <v>293</v>
      </c>
      <c r="C4734" s="1" t="s">
        <v>294</v>
      </c>
      <c r="D4734" s="2">
        <f t="shared" ref="D4734:D4797" si="255">YEAR(G4734)</f>
        <v>2021</v>
      </c>
      <c r="E4734" s="2">
        <f t="shared" ref="E4734:E4797" si="256">MONTH(G4734)</f>
        <v>3</v>
      </c>
      <c r="G4734" s="4">
        <v>44256</v>
      </c>
      <c r="H4734" s="1">
        <v>6595222</v>
      </c>
      <c r="I4734" s="1">
        <v>667935</v>
      </c>
      <c r="J4734" s="1" t="s">
        <v>190</v>
      </c>
      <c r="K4734" s="1"/>
      <c r="L4734" s="1" t="str">
        <f t="shared" ref="L4734:L4797" si="257">CONCATENATE(J4734," ",K4734)</f>
        <v xml:space="preserve">Snuggan </v>
      </c>
      <c r="M4734" s="1" t="s">
        <v>285</v>
      </c>
      <c r="N4734" s="1">
        <v>0.5</v>
      </c>
      <c r="O4734" s="1">
        <v>0.5</v>
      </c>
      <c r="P4734" s="1">
        <v>1</v>
      </c>
      <c r="Q4734" s="1">
        <v>3</v>
      </c>
      <c r="R4734" s="1">
        <v>8.3000000000000007</v>
      </c>
      <c r="S4734" s="1">
        <v>61</v>
      </c>
      <c r="W4734" s="1">
        <v>246.0436</v>
      </c>
      <c r="X4734" s="1">
        <v>2.9186563274439001E-3</v>
      </c>
      <c r="Y4734" s="1">
        <v>0.45900000000000002</v>
      </c>
      <c r="Z4734" s="1">
        <v>0</v>
      </c>
      <c r="AA4734" s="1">
        <v>1.1000000000000001</v>
      </c>
      <c r="AD4734" s="1">
        <v>55.88</v>
      </c>
      <c r="AE4734" s="1">
        <v>5.05</v>
      </c>
      <c r="AK4734" s="1">
        <v>15.18</v>
      </c>
      <c r="AL4734" s="1">
        <v>1008.73</v>
      </c>
    </row>
    <row r="4735" spans="1:91" x14ac:dyDescent="0.3">
      <c r="A4735" s="1">
        <v>85347</v>
      </c>
      <c r="B4735" s="1" t="s">
        <v>293</v>
      </c>
      <c r="C4735" s="1" t="s">
        <v>294</v>
      </c>
      <c r="D4735" s="2">
        <f t="shared" si="255"/>
        <v>2021</v>
      </c>
      <c r="E4735" s="2">
        <f t="shared" si="256"/>
        <v>3</v>
      </c>
      <c r="G4735" s="4">
        <v>44256</v>
      </c>
      <c r="H4735" s="1">
        <v>6595222</v>
      </c>
      <c r="I4735" s="1">
        <v>667935</v>
      </c>
      <c r="J4735" s="1" t="s">
        <v>190</v>
      </c>
      <c r="K4735" s="1"/>
      <c r="L4735" s="1" t="str">
        <f t="shared" si="257"/>
        <v xml:space="preserve">Snuggan </v>
      </c>
      <c r="M4735" s="1" t="s">
        <v>211</v>
      </c>
      <c r="N4735" s="1">
        <v>1</v>
      </c>
      <c r="O4735" s="1">
        <v>1</v>
      </c>
      <c r="Q4735" s="1">
        <v>3.1</v>
      </c>
      <c r="R4735" s="1">
        <v>8</v>
      </c>
      <c r="S4735" s="1">
        <v>59</v>
      </c>
    </row>
    <row r="4736" spans="1:91" x14ac:dyDescent="0.3">
      <c r="A4736" s="1">
        <v>85348</v>
      </c>
      <c r="B4736" s="1" t="s">
        <v>293</v>
      </c>
      <c r="C4736" s="1" t="s">
        <v>294</v>
      </c>
      <c r="D4736" s="2">
        <f t="shared" si="255"/>
        <v>2021</v>
      </c>
      <c r="E4736" s="2">
        <f t="shared" si="256"/>
        <v>3</v>
      </c>
      <c r="G4736" s="4">
        <v>44256</v>
      </c>
      <c r="H4736" s="1">
        <v>6595222</v>
      </c>
      <c r="I4736" s="1">
        <v>667935</v>
      </c>
      <c r="J4736" s="1" t="s">
        <v>190</v>
      </c>
      <c r="K4736" s="1"/>
      <c r="L4736" s="1" t="str">
        <f t="shared" si="257"/>
        <v xml:space="preserve">Snuggan </v>
      </c>
      <c r="M4736" s="1" t="s">
        <v>212</v>
      </c>
      <c r="N4736" s="1">
        <v>2</v>
      </c>
      <c r="O4736" s="1">
        <v>2</v>
      </c>
      <c r="Q4736" s="1">
        <v>3.4</v>
      </c>
      <c r="R4736" s="1">
        <v>6.2</v>
      </c>
      <c r="S4736" s="1">
        <v>46</v>
      </c>
    </row>
    <row r="4737" spans="1:38" x14ac:dyDescent="0.3">
      <c r="A4737" s="1">
        <v>85349</v>
      </c>
      <c r="B4737" s="1" t="s">
        <v>293</v>
      </c>
      <c r="C4737" s="1" t="s">
        <v>294</v>
      </c>
      <c r="D4737" s="2">
        <f t="shared" si="255"/>
        <v>2021</v>
      </c>
      <c r="E4737" s="2">
        <f t="shared" si="256"/>
        <v>3</v>
      </c>
      <c r="G4737" s="4">
        <v>44256</v>
      </c>
      <c r="H4737" s="1">
        <v>6595222</v>
      </c>
      <c r="I4737" s="1">
        <v>667935</v>
      </c>
      <c r="J4737" s="1" t="s">
        <v>190</v>
      </c>
      <c r="K4737" s="1"/>
      <c r="L4737" s="1" t="str">
        <f t="shared" si="257"/>
        <v xml:space="preserve">Snuggan </v>
      </c>
      <c r="M4737" s="1" t="s">
        <v>286</v>
      </c>
      <c r="N4737" s="1">
        <v>3</v>
      </c>
      <c r="O4737" s="1">
        <v>3</v>
      </c>
      <c r="Q4737" s="1">
        <v>4</v>
      </c>
      <c r="R4737" s="1">
        <v>2.6</v>
      </c>
      <c r="S4737" s="1">
        <v>46</v>
      </c>
      <c r="W4737" s="1">
        <v>327.02969999999999</v>
      </c>
      <c r="X4737" s="1">
        <v>3.1946840580814998E-3</v>
      </c>
      <c r="Y4737" s="1">
        <v>1.0109999999999999</v>
      </c>
      <c r="Z4737" s="1">
        <v>0</v>
      </c>
      <c r="AA4737" s="1">
        <v>1.98</v>
      </c>
      <c r="AD4737" s="1">
        <v>24.62</v>
      </c>
      <c r="AE4737" s="1">
        <v>4.93</v>
      </c>
      <c r="AK4737" s="1">
        <v>27.3</v>
      </c>
      <c r="AL4737" s="1">
        <v>1587.54</v>
      </c>
    </row>
    <row r="4738" spans="1:38" x14ac:dyDescent="0.3">
      <c r="A4738" s="1">
        <v>85350</v>
      </c>
      <c r="B4738" s="1" t="s">
        <v>293</v>
      </c>
      <c r="C4738" s="1" t="s">
        <v>294</v>
      </c>
      <c r="D4738" s="2">
        <f t="shared" si="255"/>
        <v>2021</v>
      </c>
      <c r="E4738" s="2">
        <f t="shared" si="256"/>
        <v>3</v>
      </c>
      <c r="G4738" s="4">
        <v>44256</v>
      </c>
      <c r="H4738" s="1">
        <v>6597388</v>
      </c>
      <c r="I4738" s="1">
        <v>674663</v>
      </c>
      <c r="J4738" s="1" t="s">
        <v>185</v>
      </c>
      <c r="K4738" s="1"/>
      <c r="L4738" s="1" t="str">
        <f t="shared" si="257"/>
        <v xml:space="preserve">Gullsjön </v>
      </c>
      <c r="M4738" s="1" t="s">
        <v>285</v>
      </c>
      <c r="N4738" s="1">
        <v>0.5</v>
      </c>
      <c r="O4738" s="1">
        <v>0.5</v>
      </c>
      <c r="P4738" s="1">
        <v>1.6</v>
      </c>
      <c r="Q4738" s="1">
        <v>2.9</v>
      </c>
      <c r="R4738" s="1">
        <v>1.7</v>
      </c>
      <c r="S4738" s="1">
        <v>12</v>
      </c>
      <c r="W4738" s="1">
        <v>57.673099999999998</v>
      </c>
      <c r="X4738" s="1">
        <v>2.0017851487397501E-2</v>
      </c>
      <c r="Y4738" s="1">
        <v>0.253</v>
      </c>
      <c r="Z4738" s="1">
        <v>0.03</v>
      </c>
      <c r="AA4738" s="1">
        <v>6</v>
      </c>
      <c r="AD4738" s="1">
        <v>54.41</v>
      </c>
      <c r="AE4738" s="1">
        <v>6.52</v>
      </c>
      <c r="AK4738" s="1">
        <v>20.99</v>
      </c>
      <c r="AL4738" s="1">
        <v>739.13</v>
      </c>
    </row>
    <row r="4739" spans="1:38" x14ac:dyDescent="0.3">
      <c r="A4739" s="1">
        <v>85351</v>
      </c>
      <c r="B4739" s="1" t="s">
        <v>293</v>
      </c>
      <c r="C4739" s="1" t="s">
        <v>294</v>
      </c>
      <c r="D4739" s="2">
        <f t="shared" si="255"/>
        <v>2021</v>
      </c>
      <c r="E4739" s="2">
        <f t="shared" si="256"/>
        <v>3</v>
      </c>
      <c r="G4739" s="4">
        <v>44256</v>
      </c>
      <c r="H4739" s="1">
        <v>6597388</v>
      </c>
      <c r="I4739" s="1">
        <v>674663</v>
      </c>
      <c r="J4739" s="1" t="s">
        <v>185</v>
      </c>
      <c r="K4739" s="1"/>
      <c r="L4739" s="1" t="str">
        <f t="shared" si="257"/>
        <v xml:space="preserve">Gullsjön </v>
      </c>
      <c r="M4739" s="1" t="s">
        <v>211</v>
      </c>
      <c r="N4739" s="1">
        <v>1</v>
      </c>
      <c r="O4739" s="1">
        <v>1</v>
      </c>
      <c r="Q4739" s="1">
        <v>2.9</v>
      </c>
      <c r="R4739" s="1">
        <v>0.4</v>
      </c>
      <c r="S4739" s="1">
        <v>3</v>
      </c>
    </row>
    <row r="4740" spans="1:38" x14ac:dyDescent="0.3">
      <c r="A4740" s="1">
        <v>85352</v>
      </c>
      <c r="B4740" s="1" t="s">
        <v>293</v>
      </c>
      <c r="C4740" s="1" t="s">
        <v>294</v>
      </c>
      <c r="D4740" s="2">
        <f t="shared" si="255"/>
        <v>2021</v>
      </c>
      <c r="E4740" s="2">
        <f t="shared" si="256"/>
        <v>3</v>
      </c>
      <c r="G4740" s="4">
        <v>44256</v>
      </c>
      <c r="H4740" s="1">
        <v>6597388</v>
      </c>
      <c r="I4740" s="1">
        <v>674663</v>
      </c>
      <c r="J4740" s="1" t="s">
        <v>185</v>
      </c>
      <c r="K4740" s="1"/>
      <c r="L4740" s="1" t="str">
        <f t="shared" si="257"/>
        <v xml:space="preserve">Gullsjön </v>
      </c>
      <c r="M4740" s="1" t="s">
        <v>286</v>
      </c>
      <c r="N4740" s="1">
        <v>2</v>
      </c>
      <c r="O4740" s="1">
        <v>2</v>
      </c>
      <c r="Q4740" s="1">
        <v>2.9</v>
      </c>
      <c r="R4740" s="1">
        <v>0.3</v>
      </c>
      <c r="S4740" s="1">
        <v>2</v>
      </c>
      <c r="W4740" s="1">
        <v>132.63849999999999</v>
      </c>
      <c r="X4740" s="1">
        <v>8.9736807076770606E-2</v>
      </c>
      <c r="Y4740" s="1">
        <v>0.23699999999999999</v>
      </c>
      <c r="Z4740" s="1">
        <v>0.05</v>
      </c>
      <c r="AA4740" s="1">
        <v>3.1</v>
      </c>
      <c r="AD4740" s="1">
        <v>154.88999999999999</v>
      </c>
      <c r="AE4740" s="1">
        <v>6.81</v>
      </c>
      <c r="AK4740" s="1">
        <v>19.05</v>
      </c>
      <c r="AL4740" s="1">
        <v>1015.46</v>
      </c>
    </row>
    <row r="4741" spans="1:38" x14ac:dyDescent="0.3">
      <c r="A4741" s="1">
        <v>85353</v>
      </c>
      <c r="B4741" s="1" t="s">
        <v>293</v>
      </c>
      <c r="C4741" s="1" t="s">
        <v>294</v>
      </c>
      <c r="D4741" s="2">
        <f t="shared" si="255"/>
        <v>2021</v>
      </c>
      <c r="E4741" s="2">
        <f t="shared" si="256"/>
        <v>3</v>
      </c>
      <c r="G4741" s="4">
        <v>44256</v>
      </c>
      <c r="H4741" s="1">
        <v>6595294</v>
      </c>
      <c r="I4741" s="1">
        <v>670194</v>
      </c>
      <c r="J4741" s="1" t="s">
        <v>207</v>
      </c>
      <c r="K4741" s="1"/>
      <c r="L4741" s="1" t="str">
        <f t="shared" si="257"/>
        <v xml:space="preserve">Käringsjön </v>
      </c>
      <c r="M4741" s="1" t="s">
        <v>285</v>
      </c>
      <c r="N4741" s="1">
        <v>0.5</v>
      </c>
      <c r="O4741" s="1">
        <v>1</v>
      </c>
      <c r="P4741" s="1">
        <v>1</v>
      </c>
      <c r="Q4741" s="1">
        <v>2.5</v>
      </c>
      <c r="R4741" s="1">
        <v>7.2</v>
      </c>
      <c r="S4741" s="1">
        <v>52</v>
      </c>
      <c r="W4741" s="1">
        <v>6.7390999999999996</v>
      </c>
      <c r="X4741" s="1">
        <v>5.4262100488976003E-3</v>
      </c>
      <c r="Y4741" s="1">
        <v>0.51900000000000002</v>
      </c>
      <c r="Z4741" s="1">
        <v>0</v>
      </c>
      <c r="AA4741" s="1">
        <v>1.45</v>
      </c>
      <c r="AD4741" s="1">
        <v>138.80000000000001</v>
      </c>
      <c r="AE4741" s="1">
        <v>6.9</v>
      </c>
      <c r="AK4741" s="1">
        <v>14.55</v>
      </c>
      <c r="AL4741" s="1">
        <v>1164.22</v>
      </c>
    </row>
    <row r="4742" spans="1:38" x14ac:dyDescent="0.3">
      <c r="A4742" s="1">
        <v>85354</v>
      </c>
      <c r="B4742" s="1" t="s">
        <v>293</v>
      </c>
      <c r="C4742" s="1" t="s">
        <v>294</v>
      </c>
      <c r="D4742" s="2">
        <f t="shared" si="255"/>
        <v>2021</v>
      </c>
      <c r="E4742" s="2">
        <f t="shared" si="256"/>
        <v>3</v>
      </c>
      <c r="G4742" s="4">
        <v>44256</v>
      </c>
      <c r="H4742" s="1">
        <v>6595294</v>
      </c>
      <c r="I4742" s="1">
        <v>670194</v>
      </c>
      <c r="J4742" s="1" t="s">
        <v>207</v>
      </c>
      <c r="K4742" s="1"/>
      <c r="L4742" s="1" t="str">
        <f t="shared" si="257"/>
        <v xml:space="preserve">Käringsjön </v>
      </c>
      <c r="M4742" s="1" t="s">
        <v>211</v>
      </c>
      <c r="N4742" s="1">
        <v>1</v>
      </c>
      <c r="O4742" s="1">
        <v>1</v>
      </c>
      <c r="Q4742" s="1">
        <v>2.6</v>
      </c>
      <c r="R4742" s="1">
        <v>6.9</v>
      </c>
      <c r="S4742" s="1">
        <v>50</v>
      </c>
    </row>
    <row r="4743" spans="1:38" x14ac:dyDescent="0.3">
      <c r="A4743" s="1">
        <v>85355</v>
      </c>
      <c r="B4743" s="1" t="s">
        <v>293</v>
      </c>
      <c r="C4743" s="1" t="s">
        <v>294</v>
      </c>
      <c r="D4743" s="2">
        <f t="shared" si="255"/>
        <v>2021</v>
      </c>
      <c r="E4743" s="2">
        <f t="shared" si="256"/>
        <v>3</v>
      </c>
      <c r="G4743" s="4">
        <v>44256</v>
      </c>
      <c r="H4743" s="1">
        <v>6595294</v>
      </c>
      <c r="I4743" s="1">
        <v>670194</v>
      </c>
      <c r="J4743" s="1" t="s">
        <v>207</v>
      </c>
      <c r="K4743" s="1"/>
      <c r="L4743" s="1" t="str">
        <f t="shared" si="257"/>
        <v xml:space="preserve">Käringsjön </v>
      </c>
      <c r="M4743" s="1" t="s">
        <v>212</v>
      </c>
      <c r="N4743" s="1">
        <v>2</v>
      </c>
      <c r="O4743" s="1">
        <v>2</v>
      </c>
      <c r="Q4743" s="1">
        <v>3.4</v>
      </c>
      <c r="R4743" s="1">
        <v>3.9</v>
      </c>
      <c r="S4743" s="1">
        <v>29</v>
      </c>
    </row>
    <row r="4744" spans="1:38" x14ac:dyDescent="0.3">
      <c r="A4744" s="1">
        <v>85356</v>
      </c>
      <c r="B4744" s="1" t="s">
        <v>293</v>
      </c>
      <c r="C4744" s="1" t="s">
        <v>294</v>
      </c>
      <c r="D4744" s="2">
        <f t="shared" si="255"/>
        <v>2021</v>
      </c>
      <c r="E4744" s="2">
        <f t="shared" si="256"/>
        <v>3</v>
      </c>
      <c r="G4744" s="4">
        <v>44256</v>
      </c>
      <c r="H4744" s="1">
        <v>6595294</v>
      </c>
      <c r="I4744" s="1">
        <v>670194</v>
      </c>
      <c r="J4744" s="1" t="s">
        <v>207</v>
      </c>
      <c r="K4744" s="1"/>
      <c r="L4744" s="1" t="str">
        <f t="shared" si="257"/>
        <v xml:space="preserve">Käringsjön </v>
      </c>
      <c r="M4744" s="1" t="s">
        <v>213</v>
      </c>
      <c r="N4744" s="1">
        <v>3</v>
      </c>
      <c r="O4744" s="1">
        <v>3</v>
      </c>
      <c r="Q4744" s="1">
        <v>3.6</v>
      </c>
      <c r="R4744" s="1">
        <v>1.5</v>
      </c>
      <c r="S4744" s="1">
        <v>11</v>
      </c>
    </row>
    <row r="4745" spans="1:38" x14ac:dyDescent="0.3">
      <c r="A4745" s="1">
        <v>85357</v>
      </c>
      <c r="B4745" s="1" t="s">
        <v>293</v>
      </c>
      <c r="C4745" s="1" t="s">
        <v>294</v>
      </c>
      <c r="D4745" s="2">
        <f t="shared" si="255"/>
        <v>2021</v>
      </c>
      <c r="E4745" s="2">
        <f t="shared" si="256"/>
        <v>3</v>
      </c>
      <c r="G4745" s="4">
        <v>44256</v>
      </c>
      <c r="H4745" s="1">
        <v>6595294</v>
      </c>
      <c r="I4745" s="1">
        <v>670194</v>
      </c>
      <c r="J4745" s="1" t="s">
        <v>207</v>
      </c>
      <c r="K4745" s="1"/>
      <c r="L4745" s="1" t="str">
        <f t="shared" si="257"/>
        <v xml:space="preserve">Käringsjön </v>
      </c>
      <c r="M4745" s="1" t="s">
        <v>286</v>
      </c>
      <c r="N4745" s="1">
        <v>4</v>
      </c>
      <c r="O4745" s="1">
        <v>4</v>
      </c>
      <c r="Q4745" s="1">
        <v>3.6</v>
      </c>
      <c r="R4745" s="1">
        <v>1.3</v>
      </c>
      <c r="S4745" s="1">
        <v>10</v>
      </c>
      <c r="W4745" s="1">
        <v>21.203099999999999</v>
      </c>
      <c r="X4745" s="1">
        <v>1.7444167065871399E-2</v>
      </c>
      <c r="Y4745" s="1">
        <v>0.623</v>
      </c>
      <c r="Z4745" s="1">
        <v>0</v>
      </c>
      <c r="AA4745" s="1">
        <v>1.5</v>
      </c>
      <c r="AD4745" s="1">
        <v>125.16</v>
      </c>
      <c r="AE4745" s="1">
        <v>6.87</v>
      </c>
      <c r="AK4745" s="1">
        <v>17.04</v>
      </c>
      <c r="AL4745" s="1">
        <v>1337.63</v>
      </c>
    </row>
    <row r="4746" spans="1:38" x14ac:dyDescent="0.3">
      <c r="A4746" s="1">
        <v>85358</v>
      </c>
      <c r="B4746" s="1" t="s">
        <v>293</v>
      </c>
      <c r="C4746" s="1" t="s">
        <v>294</v>
      </c>
      <c r="D4746" s="2">
        <f t="shared" si="255"/>
        <v>2021</v>
      </c>
      <c r="E4746" s="2">
        <f t="shared" si="256"/>
        <v>3</v>
      </c>
      <c r="G4746" s="4">
        <v>44256</v>
      </c>
      <c r="H4746" s="1">
        <v>6594218</v>
      </c>
      <c r="I4746" s="1">
        <v>670947</v>
      </c>
      <c r="J4746" s="1" t="s">
        <v>201</v>
      </c>
      <c r="K4746" s="1"/>
      <c r="L4746" s="1" t="str">
        <f t="shared" si="257"/>
        <v xml:space="preserve">Mörtsjön </v>
      </c>
      <c r="M4746" s="1" t="s">
        <v>285</v>
      </c>
      <c r="N4746" s="1">
        <v>0.5</v>
      </c>
      <c r="O4746" s="1">
        <v>0.5</v>
      </c>
      <c r="P4746" s="1">
        <v>2.2999999999999998</v>
      </c>
      <c r="Q4746" s="1">
        <v>3</v>
      </c>
      <c r="R4746" s="1">
        <v>5.6</v>
      </c>
      <c r="S4746" s="1">
        <v>41</v>
      </c>
      <c r="W4746" s="1">
        <v>50.747599999999998</v>
      </c>
      <c r="X4746" s="1">
        <v>2.6264353798812999E-2</v>
      </c>
      <c r="Y4746" s="1">
        <v>0.42099999999999999</v>
      </c>
      <c r="Z4746" s="1">
        <v>0.61</v>
      </c>
      <c r="AA4746" s="1">
        <v>5.4</v>
      </c>
      <c r="AD4746" s="1">
        <v>340.27</v>
      </c>
      <c r="AE4746" s="1">
        <v>6.69</v>
      </c>
      <c r="AK4746" s="1">
        <v>28.15</v>
      </c>
      <c r="AL4746" s="1">
        <v>1403.26</v>
      </c>
    </row>
    <row r="4747" spans="1:38" x14ac:dyDescent="0.3">
      <c r="A4747" s="1">
        <v>85359</v>
      </c>
      <c r="B4747" s="1" t="s">
        <v>293</v>
      </c>
      <c r="C4747" s="1" t="s">
        <v>294</v>
      </c>
      <c r="D4747" s="2">
        <f t="shared" si="255"/>
        <v>2021</v>
      </c>
      <c r="E4747" s="2">
        <f t="shared" si="256"/>
        <v>3</v>
      </c>
      <c r="G4747" s="4">
        <v>44256</v>
      </c>
      <c r="H4747" s="1">
        <v>6594218</v>
      </c>
      <c r="I4747" s="1">
        <v>670947</v>
      </c>
      <c r="J4747" s="1" t="s">
        <v>201</v>
      </c>
      <c r="K4747" s="1"/>
      <c r="L4747" s="1" t="str">
        <f t="shared" si="257"/>
        <v xml:space="preserve">Mörtsjön </v>
      </c>
      <c r="M4747" s="1" t="s">
        <v>211</v>
      </c>
      <c r="N4747" s="1">
        <v>1</v>
      </c>
      <c r="O4747" s="1">
        <v>1</v>
      </c>
      <c r="Q4747" s="1">
        <v>3.1</v>
      </c>
      <c r="R4747" s="1">
        <v>5.2</v>
      </c>
      <c r="S4747" s="1">
        <v>38</v>
      </c>
    </row>
    <row r="4748" spans="1:38" x14ac:dyDescent="0.3">
      <c r="A4748" s="1">
        <v>85360</v>
      </c>
      <c r="B4748" s="1" t="s">
        <v>293</v>
      </c>
      <c r="C4748" s="1" t="s">
        <v>294</v>
      </c>
      <c r="D4748" s="2">
        <f t="shared" si="255"/>
        <v>2021</v>
      </c>
      <c r="E4748" s="2">
        <f t="shared" si="256"/>
        <v>3</v>
      </c>
      <c r="G4748" s="4">
        <v>44256</v>
      </c>
      <c r="H4748" s="1">
        <v>6594218</v>
      </c>
      <c r="I4748" s="1">
        <v>670947</v>
      </c>
      <c r="J4748" s="1" t="s">
        <v>201</v>
      </c>
      <c r="K4748" s="1"/>
      <c r="L4748" s="1" t="str">
        <f t="shared" si="257"/>
        <v xml:space="preserve">Mörtsjön </v>
      </c>
      <c r="M4748" s="1" t="s">
        <v>212</v>
      </c>
      <c r="N4748" s="1">
        <v>2</v>
      </c>
      <c r="O4748" s="1">
        <v>2</v>
      </c>
      <c r="Q4748" s="1">
        <v>4.4000000000000004</v>
      </c>
      <c r="R4748" s="1">
        <v>2.4</v>
      </c>
      <c r="S4748" s="1">
        <v>18</v>
      </c>
    </row>
    <row r="4749" spans="1:38" x14ac:dyDescent="0.3">
      <c r="A4749" s="1">
        <v>85361</v>
      </c>
      <c r="B4749" s="1" t="s">
        <v>293</v>
      </c>
      <c r="C4749" s="1" t="s">
        <v>294</v>
      </c>
      <c r="D4749" s="2">
        <f t="shared" si="255"/>
        <v>2021</v>
      </c>
      <c r="E4749" s="2">
        <f t="shared" si="256"/>
        <v>3</v>
      </c>
      <c r="G4749" s="4">
        <v>44256</v>
      </c>
      <c r="H4749" s="1">
        <v>6594218</v>
      </c>
      <c r="I4749" s="1">
        <v>670947</v>
      </c>
      <c r="J4749" s="1" t="s">
        <v>201</v>
      </c>
      <c r="K4749" s="1"/>
      <c r="L4749" s="1" t="str">
        <f t="shared" si="257"/>
        <v xml:space="preserve">Mörtsjön </v>
      </c>
      <c r="M4749" s="1" t="s">
        <v>213</v>
      </c>
      <c r="N4749" s="1">
        <v>3</v>
      </c>
      <c r="O4749" s="1">
        <v>3</v>
      </c>
      <c r="Q4749" s="1">
        <v>4.8</v>
      </c>
      <c r="R4749" s="1">
        <v>2.2000000000000002</v>
      </c>
      <c r="S4749" s="1">
        <v>17</v>
      </c>
    </row>
    <row r="4750" spans="1:38" x14ac:dyDescent="0.3">
      <c r="A4750" s="1">
        <v>85362</v>
      </c>
      <c r="B4750" s="1" t="s">
        <v>293</v>
      </c>
      <c r="C4750" s="1" t="s">
        <v>294</v>
      </c>
      <c r="D4750" s="2">
        <f t="shared" si="255"/>
        <v>2021</v>
      </c>
      <c r="E4750" s="2">
        <f t="shared" si="256"/>
        <v>3</v>
      </c>
      <c r="G4750" s="4">
        <v>44256</v>
      </c>
      <c r="H4750" s="1">
        <v>6594218</v>
      </c>
      <c r="I4750" s="1">
        <v>670947</v>
      </c>
      <c r="J4750" s="1" t="s">
        <v>201</v>
      </c>
      <c r="K4750" s="1"/>
      <c r="L4750" s="1" t="str">
        <f t="shared" si="257"/>
        <v xml:space="preserve">Mörtsjön </v>
      </c>
      <c r="M4750" s="1" t="s">
        <v>184</v>
      </c>
      <c r="N4750" s="1">
        <v>4</v>
      </c>
      <c r="O4750" s="1">
        <v>4</v>
      </c>
      <c r="Q4750" s="1">
        <v>4.7</v>
      </c>
      <c r="R4750" s="1">
        <v>4.5</v>
      </c>
      <c r="S4750" s="1">
        <v>35</v>
      </c>
      <c r="W4750" s="1">
        <v>25.113600000000002</v>
      </c>
      <c r="X4750" s="1">
        <v>3.74904453539079E-2</v>
      </c>
      <c r="Y4750" s="1">
        <v>0.151</v>
      </c>
      <c r="Z4750" s="1">
        <v>12.66</v>
      </c>
      <c r="AA4750" s="1">
        <v>5.5</v>
      </c>
      <c r="AD4750" s="1">
        <v>1544.32</v>
      </c>
      <c r="AE4750" s="1">
        <v>7.09</v>
      </c>
      <c r="AK4750" s="1">
        <v>29.6</v>
      </c>
      <c r="AL4750" s="1">
        <v>2266.33</v>
      </c>
    </row>
    <row r="4751" spans="1:38" x14ac:dyDescent="0.3">
      <c r="A4751" s="1">
        <v>85363</v>
      </c>
      <c r="B4751" s="1" t="s">
        <v>293</v>
      </c>
      <c r="C4751" s="1" t="s">
        <v>294</v>
      </c>
      <c r="D4751" s="2">
        <f t="shared" si="255"/>
        <v>2021</v>
      </c>
      <c r="E4751" s="2">
        <f t="shared" si="256"/>
        <v>3</v>
      </c>
      <c r="G4751" s="4">
        <v>44256</v>
      </c>
      <c r="H4751" s="1">
        <v>6598995</v>
      </c>
      <c r="I4751" s="1">
        <v>667864</v>
      </c>
      <c r="J4751" s="1" t="s">
        <v>186</v>
      </c>
      <c r="K4751" s="1" t="s">
        <v>211</v>
      </c>
      <c r="L4751" s="1" t="str">
        <f t="shared" si="257"/>
        <v>Norrviken 1</v>
      </c>
      <c r="M4751" s="1" t="s">
        <v>285</v>
      </c>
      <c r="N4751" s="1">
        <v>0.5</v>
      </c>
      <c r="O4751" s="1">
        <v>0.5</v>
      </c>
      <c r="P4751" s="1">
        <v>0.9</v>
      </c>
      <c r="W4751" s="1">
        <v>185.0181</v>
      </c>
      <c r="X4751" s="1">
        <v>0.29656493266001732</v>
      </c>
      <c r="Y4751" s="1">
        <v>9.5000000000000001E-2</v>
      </c>
      <c r="Z4751" s="1">
        <v>6.33</v>
      </c>
      <c r="AA4751" s="1">
        <v>6.3</v>
      </c>
      <c r="AD4751" s="1">
        <v>598.65</v>
      </c>
      <c r="AE4751" s="1">
        <v>7.29</v>
      </c>
      <c r="AK4751" s="1">
        <v>28.15</v>
      </c>
      <c r="AL4751" s="1">
        <v>1337.14</v>
      </c>
    </row>
    <row r="4752" spans="1:38" x14ac:dyDescent="0.3">
      <c r="A4752" s="1">
        <v>85364</v>
      </c>
      <c r="B4752" s="1" t="s">
        <v>293</v>
      </c>
      <c r="C4752" s="1" t="s">
        <v>294</v>
      </c>
      <c r="D4752" s="2">
        <f t="shared" si="255"/>
        <v>2021</v>
      </c>
      <c r="E4752" s="2">
        <f t="shared" si="256"/>
        <v>3</v>
      </c>
      <c r="G4752" s="4">
        <v>44256</v>
      </c>
      <c r="H4752" s="1">
        <v>6598995</v>
      </c>
      <c r="I4752" s="1">
        <v>667864</v>
      </c>
      <c r="J4752" s="1" t="s">
        <v>186</v>
      </c>
      <c r="K4752" s="1" t="s">
        <v>211</v>
      </c>
      <c r="L4752" s="1" t="str">
        <f t="shared" si="257"/>
        <v>Norrviken 1</v>
      </c>
      <c r="M4752" s="1" t="s">
        <v>211</v>
      </c>
      <c r="N4752" s="1">
        <v>1</v>
      </c>
      <c r="O4752" s="1">
        <v>1</v>
      </c>
    </row>
    <row r="4753" spans="1:38" x14ac:dyDescent="0.3">
      <c r="A4753" s="1">
        <v>85365</v>
      </c>
      <c r="B4753" s="1" t="s">
        <v>293</v>
      </c>
      <c r="C4753" s="1" t="s">
        <v>294</v>
      </c>
      <c r="D4753" s="2">
        <f t="shared" si="255"/>
        <v>2021</v>
      </c>
      <c r="E4753" s="2">
        <f t="shared" si="256"/>
        <v>3</v>
      </c>
      <c r="G4753" s="4">
        <v>44256</v>
      </c>
      <c r="H4753" s="1">
        <v>6598995</v>
      </c>
      <c r="I4753" s="1">
        <v>667864</v>
      </c>
      <c r="J4753" s="1" t="s">
        <v>186</v>
      </c>
      <c r="K4753" s="1" t="s">
        <v>211</v>
      </c>
      <c r="L4753" s="1" t="str">
        <f t="shared" si="257"/>
        <v>Norrviken 1</v>
      </c>
      <c r="M4753" s="1" t="s">
        <v>212</v>
      </c>
      <c r="N4753" s="1">
        <v>2</v>
      </c>
      <c r="O4753" s="1">
        <v>2</v>
      </c>
    </row>
    <row r="4754" spans="1:38" x14ac:dyDescent="0.3">
      <c r="A4754" s="1">
        <v>85366</v>
      </c>
      <c r="B4754" s="1" t="s">
        <v>293</v>
      </c>
      <c r="C4754" s="1" t="s">
        <v>294</v>
      </c>
      <c r="D4754" s="2">
        <f t="shared" si="255"/>
        <v>2021</v>
      </c>
      <c r="E4754" s="2">
        <f t="shared" si="256"/>
        <v>3</v>
      </c>
      <c r="G4754" s="4">
        <v>44256</v>
      </c>
      <c r="H4754" s="1">
        <v>6598995</v>
      </c>
      <c r="I4754" s="1">
        <v>667864</v>
      </c>
      <c r="J4754" s="1" t="s">
        <v>186</v>
      </c>
      <c r="K4754" s="1" t="s">
        <v>211</v>
      </c>
      <c r="L4754" s="1" t="str">
        <f t="shared" si="257"/>
        <v>Norrviken 1</v>
      </c>
      <c r="M4754" s="1" t="s">
        <v>286</v>
      </c>
      <c r="N4754" s="1">
        <v>2.5</v>
      </c>
      <c r="O4754" s="1">
        <v>2.5</v>
      </c>
      <c r="W4754" s="1">
        <v>269.82440000000003</v>
      </c>
      <c r="X4754" s="1">
        <v>0.48517885750634993</v>
      </c>
      <c r="Y4754" s="1">
        <v>0.124</v>
      </c>
      <c r="Z4754" s="1">
        <v>13.74</v>
      </c>
      <c r="AA4754" s="1">
        <v>9.9</v>
      </c>
      <c r="AD4754" s="1">
        <v>856.22</v>
      </c>
      <c r="AE4754" s="1">
        <v>7.34</v>
      </c>
      <c r="AK4754" s="1">
        <v>40.090000000000003</v>
      </c>
      <c r="AL4754" s="1">
        <v>1827.24</v>
      </c>
    </row>
    <row r="4755" spans="1:38" x14ac:dyDescent="0.3">
      <c r="A4755" s="1">
        <v>85367</v>
      </c>
      <c r="B4755" s="1" t="s">
        <v>293</v>
      </c>
      <c r="C4755" s="1" t="s">
        <v>294</v>
      </c>
      <c r="D4755" s="2">
        <f t="shared" si="255"/>
        <v>2021</v>
      </c>
      <c r="E4755" s="2">
        <f t="shared" si="256"/>
        <v>3</v>
      </c>
      <c r="G4755" s="4">
        <v>44256</v>
      </c>
      <c r="H4755" s="1">
        <v>6596347</v>
      </c>
      <c r="I4755" s="1">
        <v>665902</v>
      </c>
      <c r="J4755" s="1" t="s">
        <v>186</v>
      </c>
      <c r="K4755" s="1" t="s">
        <v>212</v>
      </c>
      <c r="L4755" s="1" t="str">
        <f t="shared" si="257"/>
        <v>Norrviken 2</v>
      </c>
      <c r="M4755" s="1" t="s">
        <v>285</v>
      </c>
      <c r="N4755" s="1">
        <v>0.5</v>
      </c>
      <c r="O4755" s="1">
        <v>0.5</v>
      </c>
      <c r="P4755" s="1">
        <v>3.7</v>
      </c>
      <c r="Q4755" s="1">
        <v>2.1</v>
      </c>
      <c r="R4755" s="1">
        <v>11.5</v>
      </c>
      <c r="S4755" s="1">
        <v>84</v>
      </c>
      <c r="W4755" s="1">
        <v>18.7514</v>
      </c>
      <c r="X4755" s="1">
        <v>7.6403445573537607E-2</v>
      </c>
      <c r="Y4755" s="1">
        <v>5.7000000000000002E-2</v>
      </c>
      <c r="Z4755" s="1">
        <v>20.97</v>
      </c>
      <c r="AA4755" s="1">
        <v>2.4</v>
      </c>
      <c r="AD4755" s="1">
        <v>638.41999999999996</v>
      </c>
      <c r="AE4755" s="1">
        <v>7.62</v>
      </c>
      <c r="AK4755" s="1">
        <v>37.299999999999997</v>
      </c>
      <c r="AL4755" s="1">
        <v>1251.07</v>
      </c>
    </row>
    <row r="4756" spans="1:38" x14ac:dyDescent="0.3">
      <c r="A4756" s="1">
        <v>85368</v>
      </c>
      <c r="B4756" s="1" t="s">
        <v>293</v>
      </c>
      <c r="C4756" s="1" t="s">
        <v>294</v>
      </c>
      <c r="D4756" s="2">
        <f t="shared" si="255"/>
        <v>2021</v>
      </c>
      <c r="E4756" s="2">
        <f t="shared" si="256"/>
        <v>3</v>
      </c>
      <c r="G4756" s="4">
        <v>44256</v>
      </c>
      <c r="H4756" s="1">
        <v>6596347</v>
      </c>
      <c r="I4756" s="1">
        <v>665902</v>
      </c>
      <c r="J4756" s="1" t="s">
        <v>186</v>
      </c>
      <c r="K4756" s="1" t="s">
        <v>212</v>
      </c>
      <c r="L4756" s="1" t="str">
        <f t="shared" si="257"/>
        <v>Norrviken 2</v>
      </c>
      <c r="M4756" s="1" t="s">
        <v>211</v>
      </c>
      <c r="N4756" s="1">
        <v>1</v>
      </c>
      <c r="O4756" s="1">
        <v>1</v>
      </c>
      <c r="Q4756" s="1">
        <v>2.1</v>
      </c>
      <c r="R4756" s="1">
        <v>11.4</v>
      </c>
      <c r="S4756" s="1">
        <v>83</v>
      </c>
    </row>
    <row r="4757" spans="1:38" x14ac:dyDescent="0.3">
      <c r="A4757" s="1">
        <v>85369</v>
      </c>
      <c r="B4757" s="1" t="s">
        <v>293</v>
      </c>
      <c r="C4757" s="1" t="s">
        <v>294</v>
      </c>
      <c r="D4757" s="2">
        <f t="shared" si="255"/>
        <v>2021</v>
      </c>
      <c r="E4757" s="2">
        <f t="shared" si="256"/>
        <v>3</v>
      </c>
      <c r="G4757" s="4">
        <v>44256</v>
      </c>
      <c r="H4757" s="1">
        <v>6596347</v>
      </c>
      <c r="I4757" s="1">
        <v>665902</v>
      </c>
      <c r="J4757" s="1" t="s">
        <v>186</v>
      </c>
      <c r="K4757" s="1" t="s">
        <v>212</v>
      </c>
      <c r="L4757" s="1" t="str">
        <f t="shared" si="257"/>
        <v>Norrviken 2</v>
      </c>
      <c r="M4757" s="1" t="s">
        <v>212</v>
      </c>
      <c r="N4757" s="1">
        <v>2</v>
      </c>
      <c r="O4757" s="1">
        <v>2</v>
      </c>
      <c r="Q4757" s="1">
        <v>2.1</v>
      </c>
      <c r="R4757" s="1">
        <v>11.4</v>
      </c>
      <c r="S4757" s="1">
        <v>83</v>
      </c>
    </row>
    <row r="4758" spans="1:38" x14ac:dyDescent="0.3">
      <c r="A4758" s="1">
        <v>85370</v>
      </c>
      <c r="B4758" s="1" t="s">
        <v>293</v>
      </c>
      <c r="C4758" s="1" t="s">
        <v>294</v>
      </c>
      <c r="D4758" s="2">
        <f t="shared" si="255"/>
        <v>2021</v>
      </c>
      <c r="E4758" s="2">
        <f t="shared" si="256"/>
        <v>3</v>
      </c>
      <c r="G4758" s="4">
        <v>44256</v>
      </c>
      <c r="H4758" s="1">
        <v>6596347</v>
      </c>
      <c r="I4758" s="1">
        <v>665902</v>
      </c>
      <c r="J4758" s="1" t="s">
        <v>186</v>
      </c>
      <c r="K4758" s="1" t="s">
        <v>212</v>
      </c>
      <c r="L4758" s="1" t="str">
        <f t="shared" si="257"/>
        <v>Norrviken 2</v>
      </c>
      <c r="M4758" s="1" t="s">
        <v>213</v>
      </c>
      <c r="N4758" s="1">
        <v>3</v>
      </c>
      <c r="O4758" s="1">
        <v>3</v>
      </c>
      <c r="Q4758" s="1">
        <v>2.1</v>
      </c>
      <c r="R4758" s="1">
        <v>11.3</v>
      </c>
      <c r="S4758" s="1">
        <v>82</v>
      </c>
    </row>
    <row r="4759" spans="1:38" x14ac:dyDescent="0.3">
      <c r="A4759" s="1">
        <v>85371</v>
      </c>
      <c r="B4759" s="1" t="s">
        <v>293</v>
      </c>
      <c r="C4759" s="1" t="s">
        <v>294</v>
      </c>
      <c r="D4759" s="2">
        <f t="shared" si="255"/>
        <v>2021</v>
      </c>
      <c r="E4759" s="2">
        <f t="shared" si="256"/>
        <v>3</v>
      </c>
      <c r="G4759" s="4">
        <v>44256</v>
      </c>
      <c r="H4759" s="1">
        <v>6596347</v>
      </c>
      <c r="I4759" s="1">
        <v>665902</v>
      </c>
      <c r="J4759" s="1" t="s">
        <v>186</v>
      </c>
      <c r="K4759" s="1" t="s">
        <v>212</v>
      </c>
      <c r="L4759" s="1" t="str">
        <f t="shared" si="257"/>
        <v>Norrviken 2</v>
      </c>
      <c r="M4759" s="1" t="s">
        <v>214</v>
      </c>
      <c r="N4759" s="1">
        <v>4</v>
      </c>
      <c r="O4759" s="1">
        <v>4</v>
      </c>
      <c r="Q4759" s="1">
        <v>2</v>
      </c>
      <c r="R4759" s="1">
        <v>11.3</v>
      </c>
      <c r="S4759" s="1">
        <v>82</v>
      </c>
    </row>
    <row r="4760" spans="1:38" x14ac:dyDescent="0.3">
      <c r="A4760" s="1">
        <v>85372</v>
      </c>
      <c r="B4760" s="1" t="s">
        <v>293</v>
      </c>
      <c r="C4760" s="1" t="s">
        <v>294</v>
      </c>
      <c r="D4760" s="2">
        <f t="shared" si="255"/>
        <v>2021</v>
      </c>
      <c r="E4760" s="2">
        <f t="shared" si="256"/>
        <v>3</v>
      </c>
      <c r="G4760" s="4">
        <v>44256</v>
      </c>
      <c r="H4760" s="1">
        <v>6596347</v>
      </c>
      <c r="I4760" s="1">
        <v>665902</v>
      </c>
      <c r="J4760" s="1" t="s">
        <v>186</v>
      </c>
      <c r="K4760" s="1" t="s">
        <v>212</v>
      </c>
      <c r="L4760" s="1" t="str">
        <f t="shared" si="257"/>
        <v>Norrviken 2</v>
      </c>
      <c r="M4760" s="1" t="s">
        <v>217</v>
      </c>
      <c r="N4760" s="1">
        <v>5</v>
      </c>
      <c r="O4760" s="1">
        <v>5</v>
      </c>
      <c r="Q4760" s="1">
        <v>2</v>
      </c>
      <c r="R4760" s="1">
        <v>11.3</v>
      </c>
      <c r="S4760" s="1">
        <v>82</v>
      </c>
    </row>
    <row r="4761" spans="1:38" x14ac:dyDescent="0.3">
      <c r="A4761" s="1">
        <v>85373</v>
      </c>
      <c r="B4761" s="1" t="s">
        <v>293</v>
      </c>
      <c r="C4761" s="1" t="s">
        <v>294</v>
      </c>
      <c r="D4761" s="2">
        <f t="shared" si="255"/>
        <v>2021</v>
      </c>
      <c r="E4761" s="2">
        <f t="shared" si="256"/>
        <v>3</v>
      </c>
      <c r="G4761" s="4">
        <v>44256</v>
      </c>
      <c r="H4761" s="1">
        <v>6596347</v>
      </c>
      <c r="I4761" s="1">
        <v>665902</v>
      </c>
      <c r="J4761" s="1" t="s">
        <v>186</v>
      </c>
      <c r="K4761" s="1" t="s">
        <v>212</v>
      </c>
      <c r="L4761" s="1" t="str">
        <f t="shared" si="257"/>
        <v>Norrviken 2</v>
      </c>
      <c r="M4761" s="1" t="s">
        <v>218</v>
      </c>
      <c r="N4761" s="1">
        <v>6</v>
      </c>
      <c r="O4761" s="1">
        <v>6</v>
      </c>
      <c r="Q4761" s="1">
        <v>2</v>
      </c>
      <c r="R4761" s="1">
        <v>11</v>
      </c>
      <c r="S4761" s="1">
        <v>80</v>
      </c>
    </row>
    <row r="4762" spans="1:38" x14ac:dyDescent="0.3">
      <c r="A4762" s="1">
        <v>85374</v>
      </c>
      <c r="B4762" s="1" t="s">
        <v>293</v>
      </c>
      <c r="C4762" s="1" t="s">
        <v>294</v>
      </c>
      <c r="D4762" s="2">
        <f t="shared" si="255"/>
        <v>2021</v>
      </c>
      <c r="E4762" s="2">
        <f t="shared" si="256"/>
        <v>3</v>
      </c>
      <c r="G4762" s="4">
        <v>44256</v>
      </c>
      <c r="H4762" s="1">
        <v>6596347</v>
      </c>
      <c r="I4762" s="1">
        <v>665902</v>
      </c>
      <c r="J4762" s="1" t="s">
        <v>186</v>
      </c>
      <c r="K4762" s="1" t="s">
        <v>212</v>
      </c>
      <c r="L4762" s="1" t="str">
        <f t="shared" si="257"/>
        <v>Norrviken 2</v>
      </c>
      <c r="M4762" s="1" t="s">
        <v>219</v>
      </c>
      <c r="N4762" s="1">
        <v>7</v>
      </c>
      <c r="O4762" s="1">
        <v>7</v>
      </c>
      <c r="Q4762" s="1">
        <v>2.2999999999999998</v>
      </c>
      <c r="R4762" s="1">
        <v>8.8000000000000007</v>
      </c>
      <c r="S4762" s="1">
        <v>64</v>
      </c>
    </row>
    <row r="4763" spans="1:38" x14ac:dyDescent="0.3">
      <c r="A4763" s="1">
        <v>85375</v>
      </c>
      <c r="B4763" s="1" t="s">
        <v>293</v>
      </c>
      <c r="C4763" s="1" t="s">
        <v>294</v>
      </c>
      <c r="D4763" s="2">
        <f t="shared" si="255"/>
        <v>2021</v>
      </c>
      <c r="E4763" s="2">
        <f t="shared" si="256"/>
        <v>3</v>
      </c>
      <c r="G4763" s="4">
        <v>44256</v>
      </c>
      <c r="H4763" s="1">
        <v>6596347</v>
      </c>
      <c r="I4763" s="1">
        <v>665902</v>
      </c>
      <c r="J4763" s="1" t="s">
        <v>186</v>
      </c>
      <c r="K4763" s="1" t="s">
        <v>212</v>
      </c>
      <c r="L4763" s="1" t="str">
        <f t="shared" si="257"/>
        <v>Norrviken 2</v>
      </c>
      <c r="M4763" s="1" t="s">
        <v>220</v>
      </c>
      <c r="N4763" s="1">
        <v>8</v>
      </c>
      <c r="O4763" s="1">
        <v>8</v>
      </c>
      <c r="Q4763" s="1">
        <v>2.5</v>
      </c>
      <c r="R4763" s="1">
        <v>8.6999999999999993</v>
      </c>
      <c r="S4763" s="1">
        <v>63</v>
      </c>
      <c r="W4763" s="1">
        <v>38.652099999999997</v>
      </c>
      <c r="X4763" s="1">
        <v>0.1354854429404389</v>
      </c>
      <c r="Y4763" s="1">
        <v>6.2E-2</v>
      </c>
      <c r="Z4763" s="1">
        <v>23.82</v>
      </c>
      <c r="AA4763" s="1">
        <v>2.4</v>
      </c>
      <c r="AD4763" s="1">
        <v>659.28</v>
      </c>
      <c r="AE4763" s="1">
        <v>7.54</v>
      </c>
      <c r="AK4763" s="1">
        <v>40.43</v>
      </c>
      <c r="AL4763" s="1">
        <v>1302.57</v>
      </c>
    </row>
    <row r="4764" spans="1:38" x14ac:dyDescent="0.3">
      <c r="A4764" s="1">
        <v>85376</v>
      </c>
      <c r="B4764" s="1" t="s">
        <v>293</v>
      </c>
      <c r="C4764" s="1" t="s">
        <v>294</v>
      </c>
      <c r="D4764" s="2">
        <f t="shared" si="255"/>
        <v>2021</v>
      </c>
      <c r="E4764" s="2">
        <f t="shared" si="256"/>
        <v>3</v>
      </c>
      <c r="G4764" s="4">
        <v>44256</v>
      </c>
      <c r="H4764" s="1">
        <v>6596347</v>
      </c>
      <c r="I4764" s="1">
        <v>665902</v>
      </c>
      <c r="J4764" s="1" t="s">
        <v>186</v>
      </c>
      <c r="K4764" s="1" t="s">
        <v>212</v>
      </c>
      <c r="L4764" s="1" t="str">
        <f t="shared" si="257"/>
        <v>Norrviken 2</v>
      </c>
      <c r="M4764" s="1" t="s">
        <v>286</v>
      </c>
      <c r="N4764" s="1">
        <v>9</v>
      </c>
      <c r="O4764" s="1">
        <v>9</v>
      </c>
    </row>
    <row r="4765" spans="1:38" x14ac:dyDescent="0.3">
      <c r="A4765" s="1">
        <v>85377</v>
      </c>
      <c r="B4765" s="1" t="s">
        <v>293</v>
      </c>
      <c r="C4765" s="1" t="s">
        <v>294</v>
      </c>
      <c r="D4765" s="2">
        <f t="shared" si="255"/>
        <v>2021</v>
      </c>
      <c r="E4765" s="2">
        <f t="shared" si="256"/>
        <v>3</v>
      </c>
      <c r="G4765" s="4">
        <v>44256</v>
      </c>
      <c r="H4765" s="1">
        <v>6594617</v>
      </c>
      <c r="I4765" s="1">
        <v>666323</v>
      </c>
      <c r="J4765" s="1" t="s">
        <v>186</v>
      </c>
      <c r="K4765" s="1" t="s">
        <v>213</v>
      </c>
      <c r="L4765" s="1" t="str">
        <f t="shared" si="257"/>
        <v>Norrviken 3</v>
      </c>
      <c r="M4765" s="1" t="s">
        <v>285</v>
      </c>
      <c r="N4765" s="1">
        <v>0.5</v>
      </c>
      <c r="O4765" s="1">
        <v>0.5</v>
      </c>
      <c r="P4765" s="1">
        <v>5.3</v>
      </c>
      <c r="Q4765" s="1">
        <v>2.2000000000000002</v>
      </c>
      <c r="R4765" s="1">
        <v>11.7</v>
      </c>
      <c r="S4765" s="1">
        <v>85</v>
      </c>
      <c r="W4765" s="1">
        <v>2.8702999999999999</v>
      </c>
      <c r="X4765" s="1">
        <v>1.7407634104206499E-2</v>
      </c>
      <c r="Y4765" s="1">
        <v>4.8000000000000001E-2</v>
      </c>
      <c r="Z4765" s="1">
        <v>23.24</v>
      </c>
      <c r="AA4765" s="1">
        <v>1.95</v>
      </c>
      <c r="AD4765" s="1">
        <v>609.32000000000005</v>
      </c>
      <c r="AE4765" s="1">
        <v>7.79</v>
      </c>
      <c r="AK4765" s="1">
        <v>37.28</v>
      </c>
      <c r="AL4765" s="1">
        <v>1211.51</v>
      </c>
    </row>
    <row r="4766" spans="1:38" x14ac:dyDescent="0.3">
      <c r="A4766" s="1">
        <v>85378</v>
      </c>
      <c r="B4766" s="1" t="s">
        <v>293</v>
      </c>
      <c r="C4766" s="1" t="s">
        <v>294</v>
      </c>
      <c r="D4766" s="2">
        <f t="shared" si="255"/>
        <v>2021</v>
      </c>
      <c r="E4766" s="2">
        <f t="shared" si="256"/>
        <v>3</v>
      </c>
      <c r="G4766" s="4">
        <v>44256</v>
      </c>
      <c r="H4766" s="1">
        <v>6594617</v>
      </c>
      <c r="I4766" s="1">
        <v>666323</v>
      </c>
      <c r="J4766" s="1" t="s">
        <v>186</v>
      </c>
      <c r="K4766" s="1" t="s">
        <v>213</v>
      </c>
      <c r="L4766" s="1" t="str">
        <f t="shared" si="257"/>
        <v>Norrviken 3</v>
      </c>
      <c r="M4766" s="1" t="s">
        <v>211</v>
      </c>
      <c r="N4766" s="1">
        <v>1</v>
      </c>
      <c r="O4766" s="1">
        <v>1</v>
      </c>
      <c r="Q4766" s="1">
        <v>2.2000000000000002</v>
      </c>
      <c r="R4766" s="1">
        <v>11.5</v>
      </c>
      <c r="S4766" s="1">
        <v>84</v>
      </c>
    </row>
    <row r="4767" spans="1:38" x14ac:dyDescent="0.3">
      <c r="A4767" s="1">
        <v>85379</v>
      </c>
      <c r="B4767" s="1" t="s">
        <v>293</v>
      </c>
      <c r="C4767" s="1" t="s">
        <v>294</v>
      </c>
      <c r="D4767" s="2">
        <f t="shared" si="255"/>
        <v>2021</v>
      </c>
      <c r="E4767" s="2">
        <f t="shared" si="256"/>
        <v>3</v>
      </c>
      <c r="G4767" s="4">
        <v>44256</v>
      </c>
      <c r="H4767" s="1">
        <v>6594617</v>
      </c>
      <c r="I4767" s="1">
        <v>666323</v>
      </c>
      <c r="J4767" s="1" t="s">
        <v>186</v>
      </c>
      <c r="K4767" s="1" t="s">
        <v>213</v>
      </c>
      <c r="L4767" s="1" t="str">
        <f t="shared" si="257"/>
        <v>Norrviken 3</v>
      </c>
      <c r="M4767" s="1" t="s">
        <v>212</v>
      </c>
      <c r="N4767" s="1">
        <v>2</v>
      </c>
      <c r="O4767" s="1">
        <v>2</v>
      </c>
      <c r="Q4767" s="1">
        <v>2.2000000000000002</v>
      </c>
      <c r="R4767" s="1">
        <v>11.4</v>
      </c>
      <c r="S4767" s="1">
        <v>83</v>
      </c>
    </row>
    <row r="4768" spans="1:38" x14ac:dyDescent="0.3">
      <c r="A4768" s="1">
        <v>85380</v>
      </c>
      <c r="B4768" s="1" t="s">
        <v>293</v>
      </c>
      <c r="C4768" s="1" t="s">
        <v>294</v>
      </c>
      <c r="D4768" s="2">
        <f t="shared" si="255"/>
        <v>2021</v>
      </c>
      <c r="E4768" s="2">
        <f t="shared" si="256"/>
        <v>3</v>
      </c>
      <c r="G4768" s="4">
        <v>44256</v>
      </c>
      <c r="H4768" s="1">
        <v>6594617</v>
      </c>
      <c r="I4768" s="1">
        <v>666323</v>
      </c>
      <c r="J4768" s="1" t="s">
        <v>186</v>
      </c>
      <c r="K4768" s="1" t="s">
        <v>213</v>
      </c>
      <c r="L4768" s="1" t="str">
        <f t="shared" si="257"/>
        <v>Norrviken 3</v>
      </c>
      <c r="M4768" s="1" t="s">
        <v>213</v>
      </c>
      <c r="N4768" s="1">
        <v>3</v>
      </c>
      <c r="O4768" s="1">
        <v>3</v>
      </c>
      <c r="Q4768" s="1">
        <v>2.1</v>
      </c>
      <c r="R4768" s="1">
        <v>11.4</v>
      </c>
      <c r="S4768" s="1">
        <v>83</v>
      </c>
    </row>
    <row r="4769" spans="1:38" x14ac:dyDescent="0.3">
      <c r="A4769" s="1">
        <v>85381</v>
      </c>
      <c r="B4769" s="1" t="s">
        <v>293</v>
      </c>
      <c r="C4769" s="1" t="s">
        <v>294</v>
      </c>
      <c r="D4769" s="2">
        <f t="shared" si="255"/>
        <v>2021</v>
      </c>
      <c r="E4769" s="2">
        <f t="shared" si="256"/>
        <v>3</v>
      </c>
      <c r="G4769" s="4">
        <v>44256</v>
      </c>
      <c r="H4769" s="1">
        <v>6594617</v>
      </c>
      <c r="I4769" s="1">
        <v>666323</v>
      </c>
      <c r="J4769" s="1" t="s">
        <v>186</v>
      </c>
      <c r="K4769" s="1" t="s">
        <v>213</v>
      </c>
      <c r="L4769" s="1" t="str">
        <f t="shared" si="257"/>
        <v>Norrviken 3</v>
      </c>
      <c r="M4769" s="1" t="s">
        <v>214</v>
      </c>
      <c r="N4769" s="1">
        <v>4</v>
      </c>
      <c r="O4769" s="1">
        <v>4</v>
      </c>
      <c r="Q4769" s="1">
        <v>2.1</v>
      </c>
      <c r="R4769" s="1">
        <v>11.4</v>
      </c>
      <c r="S4769" s="1">
        <v>83</v>
      </c>
    </row>
    <row r="4770" spans="1:38" x14ac:dyDescent="0.3">
      <c r="A4770" s="1">
        <v>85382</v>
      </c>
      <c r="B4770" s="1" t="s">
        <v>293</v>
      </c>
      <c r="C4770" s="1" t="s">
        <v>294</v>
      </c>
      <c r="D4770" s="2">
        <f t="shared" si="255"/>
        <v>2021</v>
      </c>
      <c r="E4770" s="2">
        <f t="shared" si="256"/>
        <v>3</v>
      </c>
      <c r="G4770" s="4">
        <v>44256</v>
      </c>
      <c r="H4770" s="1">
        <v>6594617</v>
      </c>
      <c r="I4770" s="1">
        <v>666323</v>
      </c>
      <c r="J4770" s="1" t="s">
        <v>186</v>
      </c>
      <c r="K4770" s="1" t="s">
        <v>213</v>
      </c>
      <c r="L4770" s="1" t="str">
        <f t="shared" si="257"/>
        <v>Norrviken 3</v>
      </c>
      <c r="M4770" s="1" t="s">
        <v>217</v>
      </c>
      <c r="N4770" s="1">
        <v>5</v>
      </c>
      <c r="O4770" s="1">
        <v>5</v>
      </c>
      <c r="Q4770" s="1">
        <v>2.1</v>
      </c>
      <c r="R4770" s="1">
        <v>11.3</v>
      </c>
      <c r="S4770" s="1">
        <v>82</v>
      </c>
    </row>
    <row r="4771" spans="1:38" x14ac:dyDescent="0.3">
      <c r="A4771" s="1">
        <v>85383</v>
      </c>
      <c r="B4771" s="1" t="s">
        <v>293</v>
      </c>
      <c r="C4771" s="1" t="s">
        <v>294</v>
      </c>
      <c r="D4771" s="2">
        <f t="shared" si="255"/>
        <v>2021</v>
      </c>
      <c r="E4771" s="2">
        <f t="shared" si="256"/>
        <v>3</v>
      </c>
      <c r="G4771" s="4">
        <v>44256</v>
      </c>
      <c r="H4771" s="1">
        <v>6594617</v>
      </c>
      <c r="I4771" s="1">
        <v>666323</v>
      </c>
      <c r="J4771" s="1" t="s">
        <v>186</v>
      </c>
      <c r="K4771" s="1" t="s">
        <v>213</v>
      </c>
      <c r="L4771" s="1" t="str">
        <f t="shared" si="257"/>
        <v>Norrviken 3</v>
      </c>
      <c r="M4771" s="1" t="s">
        <v>218</v>
      </c>
      <c r="N4771" s="1">
        <v>6</v>
      </c>
      <c r="O4771" s="1">
        <v>6</v>
      </c>
      <c r="Q4771" s="1">
        <v>2.2000000000000002</v>
      </c>
      <c r="R4771" s="1">
        <v>9.8000000000000007</v>
      </c>
      <c r="S4771" s="1">
        <v>70</v>
      </c>
    </row>
    <row r="4772" spans="1:38" x14ac:dyDescent="0.3">
      <c r="A4772" s="1">
        <v>85384</v>
      </c>
      <c r="B4772" s="1" t="s">
        <v>293</v>
      </c>
      <c r="C4772" s="1" t="s">
        <v>294</v>
      </c>
      <c r="D4772" s="2">
        <f t="shared" si="255"/>
        <v>2021</v>
      </c>
      <c r="E4772" s="2">
        <f t="shared" si="256"/>
        <v>3</v>
      </c>
      <c r="G4772" s="4">
        <v>44256</v>
      </c>
      <c r="H4772" s="1">
        <v>6594617</v>
      </c>
      <c r="I4772" s="1">
        <v>666323</v>
      </c>
      <c r="J4772" s="1" t="s">
        <v>186</v>
      </c>
      <c r="K4772" s="1" t="s">
        <v>213</v>
      </c>
      <c r="L4772" s="1" t="str">
        <f t="shared" si="257"/>
        <v>Norrviken 3</v>
      </c>
      <c r="M4772" s="1" t="s">
        <v>219</v>
      </c>
      <c r="N4772" s="1">
        <v>7</v>
      </c>
      <c r="O4772" s="1">
        <v>7</v>
      </c>
      <c r="Q4772" s="1">
        <v>2.2999999999999998</v>
      </c>
      <c r="R4772" s="1">
        <v>8.9</v>
      </c>
      <c r="S4772" s="1">
        <v>65</v>
      </c>
    </row>
    <row r="4773" spans="1:38" x14ac:dyDescent="0.3">
      <c r="A4773" s="1">
        <v>85385</v>
      </c>
      <c r="B4773" s="1" t="s">
        <v>293</v>
      </c>
      <c r="C4773" s="1" t="s">
        <v>294</v>
      </c>
      <c r="D4773" s="2">
        <f t="shared" si="255"/>
        <v>2021</v>
      </c>
      <c r="E4773" s="2">
        <f t="shared" si="256"/>
        <v>3</v>
      </c>
      <c r="G4773" s="4">
        <v>44256</v>
      </c>
      <c r="H4773" s="1">
        <v>6594617</v>
      </c>
      <c r="I4773" s="1">
        <v>666323</v>
      </c>
      <c r="J4773" s="1" t="s">
        <v>186</v>
      </c>
      <c r="K4773" s="1" t="s">
        <v>213</v>
      </c>
      <c r="L4773" s="1" t="str">
        <f t="shared" si="257"/>
        <v>Norrviken 3</v>
      </c>
      <c r="M4773" s="1" t="s">
        <v>220</v>
      </c>
      <c r="N4773" s="1">
        <v>8</v>
      </c>
      <c r="O4773" s="1">
        <v>8</v>
      </c>
      <c r="Q4773" s="1">
        <v>2.4</v>
      </c>
      <c r="R4773" s="1">
        <v>7.2</v>
      </c>
      <c r="S4773" s="1">
        <v>52</v>
      </c>
    </row>
    <row r="4774" spans="1:38" x14ac:dyDescent="0.3">
      <c r="A4774" s="1">
        <v>85386</v>
      </c>
      <c r="B4774" s="1" t="s">
        <v>293</v>
      </c>
      <c r="C4774" s="1" t="s">
        <v>294</v>
      </c>
      <c r="D4774" s="2">
        <f t="shared" si="255"/>
        <v>2021</v>
      </c>
      <c r="E4774" s="2">
        <f t="shared" si="256"/>
        <v>3</v>
      </c>
      <c r="G4774" s="4">
        <v>44256</v>
      </c>
      <c r="H4774" s="1">
        <v>6594617</v>
      </c>
      <c r="I4774" s="1">
        <v>666323</v>
      </c>
      <c r="J4774" s="1" t="s">
        <v>186</v>
      </c>
      <c r="K4774" s="1" t="s">
        <v>213</v>
      </c>
      <c r="L4774" s="1" t="str">
        <f t="shared" si="257"/>
        <v>Norrviken 3</v>
      </c>
      <c r="M4774" s="1" t="s">
        <v>221</v>
      </c>
      <c r="N4774" s="1">
        <v>9</v>
      </c>
      <c r="O4774" s="1">
        <v>9</v>
      </c>
      <c r="Q4774" s="1">
        <v>2.8</v>
      </c>
      <c r="R4774" s="1">
        <v>4.5999999999999996</v>
      </c>
      <c r="S4774" s="1">
        <v>34</v>
      </c>
    </row>
    <row r="4775" spans="1:38" x14ac:dyDescent="0.3">
      <c r="A4775" s="1">
        <v>85387</v>
      </c>
      <c r="B4775" s="1" t="s">
        <v>293</v>
      </c>
      <c r="C4775" s="1" t="s">
        <v>294</v>
      </c>
      <c r="D4775" s="2">
        <f t="shared" si="255"/>
        <v>2021</v>
      </c>
      <c r="E4775" s="2">
        <f t="shared" si="256"/>
        <v>3</v>
      </c>
      <c r="G4775" s="4">
        <v>44256</v>
      </c>
      <c r="H4775" s="1">
        <v>6594617</v>
      </c>
      <c r="I4775" s="1">
        <v>666323</v>
      </c>
      <c r="J4775" s="1" t="s">
        <v>186</v>
      </c>
      <c r="K4775" s="1" t="s">
        <v>213</v>
      </c>
      <c r="L4775" s="1" t="str">
        <f t="shared" si="257"/>
        <v>Norrviken 3</v>
      </c>
      <c r="M4775" s="1" t="s">
        <v>222</v>
      </c>
      <c r="N4775" s="1">
        <v>10</v>
      </c>
      <c r="O4775" s="1">
        <v>10</v>
      </c>
      <c r="Q4775" s="1">
        <v>3</v>
      </c>
      <c r="R4775" s="1">
        <v>2.4</v>
      </c>
      <c r="S4775" s="1">
        <v>18</v>
      </c>
    </row>
    <row r="4776" spans="1:38" x14ac:dyDescent="0.3">
      <c r="A4776" s="1">
        <v>85388</v>
      </c>
      <c r="B4776" s="1" t="s">
        <v>293</v>
      </c>
      <c r="C4776" s="1" t="s">
        <v>294</v>
      </c>
      <c r="D4776" s="2">
        <f t="shared" si="255"/>
        <v>2021</v>
      </c>
      <c r="E4776" s="2">
        <f t="shared" si="256"/>
        <v>3</v>
      </c>
      <c r="G4776" s="4">
        <v>44256</v>
      </c>
      <c r="H4776" s="1">
        <v>6594617</v>
      </c>
      <c r="I4776" s="1">
        <v>666323</v>
      </c>
      <c r="J4776" s="1" t="s">
        <v>186</v>
      </c>
      <c r="K4776" s="1" t="s">
        <v>213</v>
      </c>
      <c r="L4776" s="1" t="str">
        <f t="shared" si="257"/>
        <v>Norrviken 3</v>
      </c>
      <c r="M4776" s="1" t="s">
        <v>223</v>
      </c>
      <c r="N4776" s="1">
        <v>11</v>
      </c>
      <c r="O4776" s="1">
        <v>11</v>
      </c>
      <c r="Q4776" s="1">
        <v>3.8</v>
      </c>
      <c r="R4776" s="1">
        <v>0</v>
      </c>
      <c r="S4776" s="1">
        <v>0</v>
      </c>
    </row>
    <row r="4777" spans="1:38" x14ac:dyDescent="0.3">
      <c r="A4777" s="1">
        <v>85389</v>
      </c>
      <c r="B4777" s="1" t="s">
        <v>293</v>
      </c>
      <c r="C4777" s="1" t="s">
        <v>294</v>
      </c>
      <c r="D4777" s="2">
        <f t="shared" si="255"/>
        <v>2021</v>
      </c>
      <c r="E4777" s="2">
        <f t="shared" si="256"/>
        <v>3</v>
      </c>
      <c r="G4777" s="4">
        <v>44256</v>
      </c>
      <c r="H4777" s="1">
        <v>6594617</v>
      </c>
      <c r="I4777" s="1">
        <v>666323</v>
      </c>
      <c r="J4777" s="1" t="s">
        <v>186</v>
      </c>
      <c r="K4777" s="1" t="s">
        <v>213</v>
      </c>
      <c r="L4777" s="1" t="str">
        <f t="shared" si="257"/>
        <v>Norrviken 3</v>
      </c>
      <c r="M4777" s="1" t="s">
        <v>286</v>
      </c>
      <c r="N4777" s="1">
        <v>11.5</v>
      </c>
      <c r="O4777" s="1">
        <v>11.5</v>
      </c>
      <c r="Q4777" s="1">
        <v>3.9</v>
      </c>
      <c r="R4777" s="1">
        <v>0</v>
      </c>
      <c r="S4777" s="1">
        <v>0</v>
      </c>
      <c r="W4777" s="1">
        <v>60.131799999999998</v>
      </c>
      <c r="X4777" s="1">
        <v>0.2258186687537711</v>
      </c>
      <c r="Y4777" s="1">
        <v>0.06</v>
      </c>
      <c r="Z4777" s="1">
        <v>27.67</v>
      </c>
      <c r="AA4777" s="1">
        <v>3</v>
      </c>
      <c r="AD4777" s="1">
        <v>794.36</v>
      </c>
      <c r="AE4777" s="1">
        <v>7.52</v>
      </c>
      <c r="AK4777" s="1">
        <v>43.69</v>
      </c>
      <c r="AL4777" s="1">
        <v>1469.26</v>
      </c>
    </row>
    <row r="4778" spans="1:38" x14ac:dyDescent="0.3">
      <c r="A4778" s="1">
        <v>85390</v>
      </c>
      <c r="B4778" s="1" t="s">
        <v>293</v>
      </c>
      <c r="C4778" s="1" t="s">
        <v>294</v>
      </c>
      <c r="D4778" s="2">
        <f t="shared" si="255"/>
        <v>2021</v>
      </c>
      <c r="E4778" s="2">
        <f t="shared" si="256"/>
        <v>3</v>
      </c>
      <c r="G4778" s="4">
        <v>44256</v>
      </c>
      <c r="H4778" s="1">
        <v>6597022</v>
      </c>
      <c r="I4778" s="1">
        <v>665518</v>
      </c>
      <c r="J4778" s="1" t="s">
        <v>186</v>
      </c>
      <c r="K4778" s="1" t="s">
        <v>214</v>
      </c>
      <c r="L4778" s="1" t="str">
        <f t="shared" si="257"/>
        <v>Norrviken 4</v>
      </c>
      <c r="M4778" s="1" t="s">
        <v>285</v>
      </c>
      <c r="N4778" s="1">
        <v>0.5</v>
      </c>
      <c r="O4778" s="1">
        <v>0.5</v>
      </c>
      <c r="P4778" s="1">
        <v>2.2999999999999998</v>
      </c>
      <c r="Q4778" s="1">
        <v>2.4</v>
      </c>
      <c r="R4778" s="1">
        <v>11.3</v>
      </c>
      <c r="S4778" s="1">
        <v>82</v>
      </c>
      <c r="W4778" s="1">
        <v>84.173400000000001</v>
      </c>
      <c r="X4778" s="1">
        <v>0.33580659413127451</v>
      </c>
      <c r="Y4778" s="1">
        <v>7.1999999999999995E-2</v>
      </c>
      <c r="Z4778" s="1">
        <v>12.75</v>
      </c>
      <c r="AA4778" s="1">
        <v>3.1</v>
      </c>
      <c r="AD4778" s="1">
        <v>597.29999999999995</v>
      </c>
      <c r="AE4778" s="1">
        <v>7.6</v>
      </c>
      <c r="AK4778" s="1">
        <v>30.56</v>
      </c>
      <c r="AL4778" s="1">
        <v>1346.68</v>
      </c>
    </row>
    <row r="4779" spans="1:38" x14ac:dyDescent="0.3">
      <c r="A4779" s="1">
        <v>85391</v>
      </c>
      <c r="B4779" s="1" t="s">
        <v>293</v>
      </c>
      <c r="C4779" s="1" t="s">
        <v>294</v>
      </c>
      <c r="D4779" s="2">
        <f t="shared" si="255"/>
        <v>2021</v>
      </c>
      <c r="E4779" s="2">
        <f t="shared" si="256"/>
        <v>3</v>
      </c>
      <c r="G4779" s="4">
        <v>44256</v>
      </c>
      <c r="H4779" s="1">
        <v>6597022</v>
      </c>
      <c r="I4779" s="1">
        <v>665518</v>
      </c>
      <c r="J4779" s="1" t="s">
        <v>186</v>
      </c>
      <c r="K4779" s="1" t="s">
        <v>214</v>
      </c>
      <c r="L4779" s="1" t="str">
        <f t="shared" si="257"/>
        <v>Norrviken 4</v>
      </c>
      <c r="M4779" s="1" t="s">
        <v>211</v>
      </c>
      <c r="N4779" s="1">
        <v>1</v>
      </c>
      <c r="O4779" s="1">
        <v>1</v>
      </c>
      <c r="Q4779" s="1">
        <v>2.2000000000000002</v>
      </c>
      <c r="R4779" s="1">
        <v>11.2</v>
      </c>
      <c r="S4779" s="1">
        <v>81</v>
      </c>
    </row>
    <row r="4780" spans="1:38" x14ac:dyDescent="0.3">
      <c r="A4780" s="1">
        <v>85392</v>
      </c>
      <c r="B4780" s="1" t="s">
        <v>293</v>
      </c>
      <c r="C4780" s="1" t="s">
        <v>294</v>
      </c>
      <c r="D4780" s="2">
        <f t="shared" si="255"/>
        <v>2021</v>
      </c>
      <c r="E4780" s="2">
        <f t="shared" si="256"/>
        <v>3</v>
      </c>
      <c r="G4780" s="4">
        <v>44256</v>
      </c>
      <c r="H4780" s="1">
        <v>6597022</v>
      </c>
      <c r="I4780" s="1">
        <v>665518</v>
      </c>
      <c r="J4780" s="1" t="s">
        <v>186</v>
      </c>
      <c r="K4780" s="1" t="s">
        <v>214</v>
      </c>
      <c r="L4780" s="1" t="str">
        <f t="shared" si="257"/>
        <v>Norrviken 4</v>
      </c>
      <c r="M4780" s="1" t="s">
        <v>286</v>
      </c>
      <c r="N4780" s="1">
        <v>2</v>
      </c>
      <c r="O4780" s="1">
        <v>2</v>
      </c>
      <c r="Q4780" s="1">
        <v>2.1</v>
      </c>
      <c r="R4780" s="1">
        <v>11.2</v>
      </c>
      <c r="S4780" s="1">
        <v>82</v>
      </c>
      <c r="W4780" s="1">
        <v>82.072299999999998</v>
      </c>
      <c r="X4780" s="1">
        <v>0.38371940641597307</v>
      </c>
      <c r="Y4780" s="1">
        <v>7.1999999999999995E-2</v>
      </c>
      <c r="Z4780" s="1">
        <v>12.14</v>
      </c>
      <c r="AA4780" s="1">
        <v>2.6</v>
      </c>
      <c r="AD4780" s="1">
        <v>584.70000000000005</v>
      </c>
      <c r="AE4780" s="1">
        <v>7.68</v>
      </c>
      <c r="AK4780" s="1">
        <v>30.52</v>
      </c>
      <c r="AL4780" s="1">
        <v>1290.6400000000001</v>
      </c>
    </row>
    <row r="4781" spans="1:38" x14ac:dyDescent="0.3">
      <c r="A4781" s="1">
        <v>85393</v>
      </c>
      <c r="B4781" s="1" t="s">
        <v>293</v>
      </c>
      <c r="C4781" s="1" t="s">
        <v>294</v>
      </c>
      <c r="D4781" s="2">
        <f t="shared" si="255"/>
        <v>2021</v>
      </c>
      <c r="E4781" s="2">
        <f t="shared" si="256"/>
        <v>3</v>
      </c>
      <c r="G4781" s="4">
        <v>44256</v>
      </c>
      <c r="H4781" s="1">
        <v>6599384</v>
      </c>
      <c r="I4781" s="1">
        <v>662805</v>
      </c>
      <c r="J4781" s="1" t="s">
        <v>182</v>
      </c>
      <c r="K4781" s="1"/>
      <c r="L4781" s="1" t="str">
        <f t="shared" si="257"/>
        <v xml:space="preserve">Edssjön </v>
      </c>
      <c r="M4781" s="1" t="s">
        <v>285</v>
      </c>
      <c r="N4781" s="1">
        <v>0.5</v>
      </c>
      <c r="O4781" s="1">
        <v>0.5</v>
      </c>
      <c r="P4781" s="1">
        <v>2</v>
      </c>
      <c r="Q4781" s="1">
        <v>2.5</v>
      </c>
      <c r="R4781" s="1">
        <v>9.4</v>
      </c>
      <c r="S4781" s="1">
        <v>68</v>
      </c>
      <c r="W4781" s="1">
        <v>64.936700000000002</v>
      </c>
      <c r="X4781" s="1">
        <v>0.1728134066985367</v>
      </c>
      <c r="Y4781" s="1">
        <v>9.1999999999999998E-2</v>
      </c>
      <c r="Z4781" s="1">
        <v>24.4</v>
      </c>
      <c r="AA4781" s="1">
        <v>4.5999999999999996</v>
      </c>
      <c r="AD4781" s="1">
        <v>610.57000000000005</v>
      </c>
      <c r="AE4781" s="1">
        <v>7.42</v>
      </c>
      <c r="AK4781" s="1">
        <v>51.61</v>
      </c>
      <c r="AL4781" s="1">
        <v>1332.51</v>
      </c>
    </row>
    <row r="4782" spans="1:38" x14ac:dyDescent="0.3">
      <c r="A4782" s="1">
        <v>85394</v>
      </c>
      <c r="B4782" s="1" t="s">
        <v>293</v>
      </c>
      <c r="C4782" s="1" t="s">
        <v>294</v>
      </c>
      <c r="D4782" s="2">
        <f t="shared" si="255"/>
        <v>2021</v>
      </c>
      <c r="E4782" s="2">
        <f t="shared" si="256"/>
        <v>3</v>
      </c>
      <c r="G4782" s="4">
        <v>44256</v>
      </c>
      <c r="H4782" s="1">
        <v>6599384</v>
      </c>
      <c r="I4782" s="1">
        <v>662805</v>
      </c>
      <c r="J4782" s="1" t="s">
        <v>182</v>
      </c>
      <c r="K4782" s="1"/>
      <c r="L4782" s="1" t="str">
        <f t="shared" si="257"/>
        <v xml:space="preserve">Edssjön </v>
      </c>
      <c r="M4782" s="1" t="s">
        <v>211</v>
      </c>
      <c r="N4782" s="1">
        <v>1</v>
      </c>
      <c r="O4782" s="1">
        <v>1</v>
      </c>
      <c r="Q4782" s="1">
        <v>2.4</v>
      </c>
      <c r="R4782" s="1">
        <v>9.4</v>
      </c>
      <c r="S4782" s="1">
        <v>68</v>
      </c>
    </row>
    <row r="4783" spans="1:38" x14ac:dyDescent="0.3">
      <c r="A4783" s="1">
        <v>85395</v>
      </c>
      <c r="B4783" s="1" t="s">
        <v>293</v>
      </c>
      <c r="C4783" s="1" t="s">
        <v>294</v>
      </c>
      <c r="D4783" s="2">
        <f t="shared" si="255"/>
        <v>2021</v>
      </c>
      <c r="E4783" s="2">
        <f t="shared" si="256"/>
        <v>3</v>
      </c>
      <c r="G4783" s="4">
        <v>44256</v>
      </c>
      <c r="H4783" s="1">
        <v>6599384</v>
      </c>
      <c r="I4783" s="1">
        <v>662805</v>
      </c>
      <c r="J4783" s="1" t="s">
        <v>182</v>
      </c>
      <c r="K4783" s="1"/>
      <c r="L4783" s="1" t="str">
        <f t="shared" si="257"/>
        <v xml:space="preserve">Edssjön </v>
      </c>
      <c r="M4783" s="1" t="s">
        <v>212</v>
      </c>
      <c r="N4783" s="1">
        <v>2</v>
      </c>
      <c r="O4783" s="1">
        <v>2</v>
      </c>
      <c r="Q4783" s="1">
        <v>2.4</v>
      </c>
      <c r="R4783" s="1">
        <v>9.5</v>
      </c>
      <c r="S4783" s="1">
        <v>68</v>
      </c>
    </row>
    <row r="4784" spans="1:38" x14ac:dyDescent="0.3">
      <c r="A4784" s="1">
        <v>85396</v>
      </c>
      <c r="B4784" s="1" t="s">
        <v>293</v>
      </c>
      <c r="C4784" s="1" t="s">
        <v>294</v>
      </c>
      <c r="D4784" s="2">
        <f t="shared" si="255"/>
        <v>2021</v>
      </c>
      <c r="E4784" s="2">
        <f t="shared" si="256"/>
        <v>3</v>
      </c>
      <c r="G4784" s="4">
        <v>44256</v>
      </c>
      <c r="H4784" s="1">
        <v>6599384</v>
      </c>
      <c r="I4784" s="1">
        <v>662805</v>
      </c>
      <c r="J4784" s="1" t="s">
        <v>182</v>
      </c>
      <c r="K4784" s="1"/>
      <c r="L4784" s="1" t="str">
        <f t="shared" si="257"/>
        <v xml:space="preserve">Edssjön </v>
      </c>
      <c r="M4784" s="1" t="s">
        <v>213</v>
      </c>
      <c r="N4784" s="1">
        <v>3</v>
      </c>
      <c r="O4784" s="1">
        <v>3</v>
      </c>
      <c r="Q4784" s="1">
        <v>2.6</v>
      </c>
      <c r="R4784" s="1">
        <v>2.7</v>
      </c>
      <c r="S4784" s="1">
        <v>19</v>
      </c>
    </row>
    <row r="4785" spans="1:91" x14ac:dyDescent="0.3">
      <c r="A4785" s="1">
        <v>85397</v>
      </c>
      <c r="B4785" s="1" t="s">
        <v>293</v>
      </c>
      <c r="C4785" s="1" t="s">
        <v>294</v>
      </c>
      <c r="D4785" s="2">
        <f t="shared" si="255"/>
        <v>2021</v>
      </c>
      <c r="E4785" s="2">
        <f t="shared" si="256"/>
        <v>3</v>
      </c>
      <c r="G4785" s="4">
        <v>44256</v>
      </c>
      <c r="H4785" s="1">
        <v>6599384</v>
      </c>
      <c r="I4785" s="1">
        <v>662805</v>
      </c>
      <c r="J4785" s="1" t="s">
        <v>182</v>
      </c>
      <c r="K4785" s="1"/>
      <c r="L4785" s="1" t="str">
        <f t="shared" si="257"/>
        <v xml:space="preserve">Edssjön </v>
      </c>
      <c r="M4785" s="1" t="s">
        <v>214</v>
      </c>
      <c r="N4785" s="1">
        <v>4</v>
      </c>
      <c r="O4785" s="1">
        <v>4</v>
      </c>
      <c r="Q4785" s="1">
        <v>2.8</v>
      </c>
      <c r="R4785" s="1">
        <v>2.5</v>
      </c>
      <c r="S4785" s="1">
        <v>18</v>
      </c>
    </row>
    <row r="4786" spans="1:91" x14ac:dyDescent="0.3">
      <c r="A4786" s="1">
        <v>85398</v>
      </c>
      <c r="B4786" s="1" t="s">
        <v>293</v>
      </c>
      <c r="C4786" s="1" t="s">
        <v>294</v>
      </c>
      <c r="D4786" s="2">
        <f t="shared" si="255"/>
        <v>2021</v>
      </c>
      <c r="E4786" s="2">
        <f t="shared" si="256"/>
        <v>3</v>
      </c>
      <c r="G4786" s="4">
        <v>44256</v>
      </c>
      <c r="H4786" s="1">
        <v>6599384</v>
      </c>
      <c r="I4786" s="1">
        <v>662805</v>
      </c>
      <c r="J4786" s="1" t="s">
        <v>182</v>
      </c>
      <c r="K4786" s="1"/>
      <c r="L4786" s="1" t="str">
        <f t="shared" si="257"/>
        <v xml:space="preserve">Edssjön </v>
      </c>
      <c r="M4786" s="1" t="s">
        <v>286</v>
      </c>
      <c r="N4786" s="1">
        <v>4.5</v>
      </c>
      <c r="O4786" s="1">
        <v>4.5</v>
      </c>
      <c r="Q4786" s="1">
        <v>3.3</v>
      </c>
      <c r="R4786" s="1">
        <v>2.1</v>
      </c>
      <c r="S4786" s="1">
        <v>16</v>
      </c>
      <c r="W4786" s="1">
        <v>194.88669999999999</v>
      </c>
      <c r="X4786" s="1">
        <v>0.51704966850860312</v>
      </c>
      <c r="Y4786" s="1">
        <v>9.1999999999999998E-2</v>
      </c>
      <c r="Z4786" s="1">
        <v>38.130000000000003</v>
      </c>
      <c r="AA4786" s="1">
        <v>4.3</v>
      </c>
      <c r="AD4786" s="1">
        <v>611.88</v>
      </c>
      <c r="AE4786" s="1">
        <v>7.39</v>
      </c>
      <c r="AK4786" s="1">
        <v>60.57</v>
      </c>
      <c r="AL4786" s="1">
        <v>1523.89</v>
      </c>
    </row>
    <row r="4787" spans="1:91" x14ac:dyDescent="0.3">
      <c r="A4787" s="1">
        <v>85399</v>
      </c>
      <c r="B4787" s="1" t="s">
        <v>293</v>
      </c>
      <c r="C4787" s="1" t="s">
        <v>294</v>
      </c>
      <c r="D4787" s="2">
        <f t="shared" si="255"/>
        <v>2021</v>
      </c>
      <c r="E4787" s="2">
        <f t="shared" si="256"/>
        <v>3</v>
      </c>
      <c r="G4787" s="4">
        <v>44256</v>
      </c>
      <c r="H4787" s="1">
        <v>6605701</v>
      </c>
      <c r="I4787" s="1">
        <v>661059</v>
      </c>
      <c r="J4787" s="1" t="s">
        <v>187</v>
      </c>
      <c r="K4787" s="1"/>
      <c r="L4787" s="1" t="str">
        <f t="shared" si="257"/>
        <v xml:space="preserve">Oxundasjön </v>
      </c>
      <c r="M4787" s="1" t="s">
        <v>285</v>
      </c>
      <c r="N4787" s="1">
        <v>0.5</v>
      </c>
      <c r="O4787" s="1">
        <v>0.5</v>
      </c>
      <c r="P4787" s="1">
        <v>1.5</v>
      </c>
      <c r="Q4787" s="1">
        <v>1.3</v>
      </c>
      <c r="R4787" s="1">
        <v>10.3</v>
      </c>
      <c r="S4787" s="1">
        <v>74</v>
      </c>
      <c r="W4787" s="1">
        <v>54.750900000000001</v>
      </c>
      <c r="X4787" s="1">
        <v>0.16219785244610069</v>
      </c>
      <c r="Y4787" s="1">
        <v>9.5000000000000001E-2</v>
      </c>
      <c r="Z4787" s="1">
        <v>21.96</v>
      </c>
      <c r="AA4787" s="1">
        <v>6.1</v>
      </c>
      <c r="AD4787" s="1">
        <v>884.24</v>
      </c>
      <c r="AE4787" s="1">
        <v>7.51</v>
      </c>
      <c r="AK4787" s="1">
        <v>44.91</v>
      </c>
      <c r="AL4787" s="1">
        <v>1659.4</v>
      </c>
    </row>
    <row r="4788" spans="1:91" x14ac:dyDescent="0.3">
      <c r="A4788" s="1">
        <v>85400</v>
      </c>
      <c r="B4788" s="1" t="s">
        <v>293</v>
      </c>
      <c r="C4788" s="1" t="s">
        <v>294</v>
      </c>
      <c r="D4788" s="2">
        <f t="shared" si="255"/>
        <v>2021</v>
      </c>
      <c r="E4788" s="2">
        <f t="shared" si="256"/>
        <v>3</v>
      </c>
      <c r="G4788" s="4">
        <v>44256</v>
      </c>
      <c r="H4788" s="1">
        <v>6605701</v>
      </c>
      <c r="I4788" s="1">
        <v>661059</v>
      </c>
      <c r="J4788" s="1" t="s">
        <v>187</v>
      </c>
      <c r="K4788" s="1"/>
      <c r="L4788" s="1" t="str">
        <f t="shared" si="257"/>
        <v xml:space="preserve">Oxundasjön </v>
      </c>
      <c r="M4788" s="1" t="s">
        <v>211</v>
      </c>
      <c r="N4788" s="1">
        <v>1</v>
      </c>
      <c r="O4788" s="1">
        <v>1</v>
      </c>
      <c r="Q4788" s="1">
        <v>2.4</v>
      </c>
      <c r="R4788" s="1">
        <v>10.1</v>
      </c>
      <c r="S4788" s="1">
        <v>73</v>
      </c>
    </row>
    <row r="4789" spans="1:91" x14ac:dyDescent="0.3">
      <c r="A4789" s="1">
        <v>85401</v>
      </c>
      <c r="B4789" s="1" t="s">
        <v>293</v>
      </c>
      <c r="C4789" s="1" t="s">
        <v>294</v>
      </c>
      <c r="D4789" s="2">
        <f t="shared" si="255"/>
        <v>2021</v>
      </c>
      <c r="E4789" s="2">
        <f t="shared" si="256"/>
        <v>3</v>
      </c>
      <c r="G4789" s="4">
        <v>44256</v>
      </c>
      <c r="H4789" s="1">
        <v>6605701</v>
      </c>
      <c r="I4789" s="1">
        <v>661059</v>
      </c>
      <c r="J4789" s="1" t="s">
        <v>187</v>
      </c>
      <c r="K4789" s="1"/>
      <c r="L4789" s="1" t="str">
        <f t="shared" si="257"/>
        <v xml:space="preserve">Oxundasjön </v>
      </c>
      <c r="M4789" s="1" t="s">
        <v>212</v>
      </c>
      <c r="N4789" s="1">
        <v>2</v>
      </c>
      <c r="O4789" s="1">
        <v>2</v>
      </c>
      <c r="Q4789" s="1">
        <v>2</v>
      </c>
      <c r="R4789" s="1">
        <v>9.9</v>
      </c>
      <c r="S4789" s="1">
        <v>71</v>
      </c>
    </row>
    <row r="4790" spans="1:91" x14ac:dyDescent="0.3">
      <c r="A4790" s="1">
        <v>85402</v>
      </c>
      <c r="B4790" s="1" t="s">
        <v>293</v>
      </c>
      <c r="C4790" s="1" t="s">
        <v>294</v>
      </c>
      <c r="D4790" s="2">
        <f t="shared" si="255"/>
        <v>2021</v>
      </c>
      <c r="E4790" s="2">
        <f t="shared" si="256"/>
        <v>3</v>
      </c>
      <c r="G4790" s="4">
        <v>44256</v>
      </c>
      <c r="H4790" s="1">
        <v>6605701</v>
      </c>
      <c r="I4790" s="1">
        <v>661059</v>
      </c>
      <c r="J4790" s="1" t="s">
        <v>187</v>
      </c>
      <c r="K4790" s="1"/>
      <c r="L4790" s="1" t="str">
        <f t="shared" si="257"/>
        <v xml:space="preserve">Oxundasjön </v>
      </c>
      <c r="M4790" s="1" t="s">
        <v>213</v>
      </c>
      <c r="N4790" s="1">
        <v>3</v>
      </c>
      <c r="O4790" s="1">
        <v>3</v>
      </c>
      <c r="Q4790" s="1">
        <v>1.7</v>
      </c>
      <c r="R4790" s="1">
        <v>9.3000000000000007</v>
      </c>
      <c r="S4790" s="1">
        <v>65</v>
      </c>
    </row>
    <row r="4791" spans="1:91" x14ac:dyDescent="0.3">
      <c r="A4791" s="1">
        <v>85403</v>
      </c>
      <c r="B4791" s="1" t="s">
        <v>293</v>
      </c>
      <c r="C4791" s="1" t="s">
        <v>294</v>
      </c>
      <c r="D4791" s="2">
        <f t="shared" si="255"/>
        <v>2021</v>
      </c>
      <c r="E4791" s="2">
        <f t="shared" si="256"/>
        <v>3</v>
      </c>
      <c r="G4791" s="4">
        <v>44256</v>
      </c>
      <c r="H4791" s="1">
        <v>6605701</v>
      </c>
      <c r="I4791" s="1">
        <v>661059</v>
      </c>
      <c r="J4791" s="1" t="s">
        <v>187</v>
      </c>
      <c r="K4791" s="1"/>
      <c r="L4791" s="1" t="str">
        <f t="shared" si="257"/>
        <v xml:space="preserve">Oxundasjön </v>
      </c>
      <c r="M4791" s="1" t="s">
        <v>214</v>
      </c>
      <c r="N4791" s="1">
        <v>4</v>
      </c>
      <c r="O4791" s="1">
        <v>4</v>
      </c>
      <c r="Q4791" s="1">
        <v>2.6</v>
      </c>
      <c r="R4791" s="1">
        <v>6.7</v>
      </c>
      <c r="S4791" s="1">
        <v>49</v>
      </c>
    </row>
    <row r="4792" spans="1:91" x14ac:dyDescent="0.3">
      <c r="A4792" s="1">
        <v>85404</v>
      </c>
      <c r="B4792" s="1" t="s">
        <v>293</v>
      </c>
      <c r="C4792" s="1" t="s">
        <v>294</v>
      </c>
      <c r="D4792" s="2">
        <f t="shared" si="255"/>
        <v>2021</v>
      </c>
      <c r="E4792" s="2">
        <f t="shared" si="256"/>
        <v>3</v>
      </c>
      <c r="G4792" s="4">
        <v>44256</v>
      </c>
      <c r="H4792" s="1">
        <v>6605701</v>
      </c>
      <c r="I4792" s="1">
        <v>661059</v>
      </c>
      <c r="J4792" s="1" t="s">
        <v>187</v>
      </c>
      <c r="K4792" s="1"/>
      <c r="L4792" s="1" t="str">
        <f t="shared" si="257"/>
        <v xml:space="preserve">Oxundasjön </v>
      </c>
      <c r="M4792" s="1" t="s">
        <v>217</v>
      </c>
      <c r="N4792" s="1">
        <v>5</v>
      </c>
      <c r="O4792" s="1">
        <v>5</v>
      </c>
      <c r="Q4792" s="1">
        <v>3.3</v>
      </c>
      <c r="R4792" s="1">
        <v>4.3</v>
      </c>
      <c r="S4792" s="1">
        <v>32</v>
      </c>
    </row>
    <row r="4793" spans="1:91" x14ac:dyDescent="0.3">
      <c r="A4793" s="1">
        <v>85405</v>
      </c>
      <c r="B4793" s="1" t="s">
        <v>293</v>
      </c>
      <c r="C4793" s="1" t="s">
        <v>294</v>
      </c>
      <c r="D4793" s="2">
        <f t="shared" si="255"/>
        <v>2021</v>
      </c>
      <c r="E4793" s="2">
        <f t="shared" si="256"/>
        <v>3</v>
      </c>
      <c r="G4793" s="4">
        <v>44256</v>
      </c>
      <c r="H4793" s="1">
        <v>6605701</v>
      </c>
      <c r="I4793" s="1">
        <v>661059</v>
      </c>
      <c r="J4793" s="1" t="s">
        <v>187</v>
      </c>
      <c r="K4793" s="1"/>
      <c r="L4793" s="1" t="str">
        <f t="shared" si="257"/>
        <v xml:space="preserve">Oxundasjön </v>
      </c>
      <c r="M4793" s="1" t="s">
        <v>286</v>
      </c>
      <c r="N4793" s="1">
        <v>5.5</v>
      </c>
      <c r="O4793" s="1">
        <v>5.5</v>
      </c>
      <c r="Q4793" s="1">
        <v>4</v>
      </c>
      <c r="R4793" s="1">
        <v>1.7</v>
      </c>
      <c r="S4793" s="1">
        <v>13</v>
      </c>
      <c r="W4793" s="1">
        <v>32.919699999999999</v>
      </c>
      <c r="X4793" s="1">
        <v>9.4634732627237594E-2</v>
      </c>
      <c r="Y4793" s="1">
        <v>9.9000000000000005E-2</v>
      </c>
      <c r="Z4793" s="1">
        <v>24.54</v>
      </c>
      <c r="AA4793" s="1">
        <v>6</v>
      </c>
      <c r="AD4793" s="1">
        <v>1024.56</v>
      </c>
      <c r="AE4793" s="1">
        <v>7.4</v>
      </c>
      <c r="AK4793" s="1">
        <v>42.27</v>
      </c>
      <c r="AL4793" s="1">
        <v>1708.94</v>
      </c>
    </row>
    <row r="4794" spans="1:91" x14ac:dyDescent="0.3">
      <c r="A4794" s="1">
        <v>86820</v>
      </c>
      <c r="B4794" s="1" t="s">
        <v>295</v>
      </c>
      <c r="C4794" s="1" t="s">
        <v>296</v>
      </c>
      <c r="D4794" s="2">
        <f t="shared" si="255"/>
        <v>2021</v>
      </c>
      <c r="E4794" s="2">
        <f t="shared" si="256"/>
        <v>4</v>
      </c>
      <c r="G4794" s="4">
        <v>44306</v>
      </c>
      <c r="H4794" s="1">
        <v>6593594</v>
      </c>
      <c r="I4794" s="1">
        <v>669799</v>
      </c>
      <c r="J4794" s="1" t="s">
        <v>189</v>
      </c>
      <c r="K4794" s="1"/>
      <c r="L4794" s="1" t="str">
        <f t="shared" si="257"/>
        <v xml:space="preserve">Rösjön </v>
      </c>
      <c r="M4794" s="1" t="s">
        <v>285</v>
      </c>
      <c r="N4794" s="1">
        <v>0.5</v>
      </c>
      <c r="O4794" s="1">
        <v>0.5</v>
      </c>
      <c r="P4794" s="1">
        <v>4</v>
      </c>
      <c r="Q4794" s="1">
        <v>10</v>
      </c>
      <c r="R4794" s="1">
        <v>12.7</v>
      </c>
      <c r="S4794" s="1">
        <v>113</v>
      </c>
      <c r="W4794" s="1">
        <v>3.4220000000000002</v>
      </c>
      <c r="X4794" s="1">
        <v>7.8129866386554295E-2</v>
      </c>
      <c r="Y4794" s="1">
        <v>3.9E-2</v>
      </c>
      <c r="Z4794" s="1">
        <v>0.48</v>
      </c>
      <c r="AA4794" s="1">
        <v>1.08</v>
      </c>
      <c r="AD4794" s="1">
        <v>23.1</v>
      </c>
      <c r="AE4794" s="1">
        <v>8.1</v>
      </c>
      <c r="AI4794" s="1">
        <v>9.673</v>
      </c>
      <c r="AJ4794" s="1">
        <v>8.5440000000000005</v>
      </c>
      <c r="AK4794" s="1">
        <v>12.18</v>
      </c>
      <c r="AL4794" s="1">
        <v>527.71</v>
      </c>
      <c r="AR4794" s="1">
        <v>32.9</v>
      </c>
      <c r="AS4794" s="1">
        <v>2.6800000000000001E-2</v>
      </c>
      <c r="AT4794" s="1">
        <v>2.4</v>
      </c>
      <c r="AU4794" s="1">
        <v>4.26</v>
      </c>
      <c r="AW4794" s="1">
        <v>16.7</v>
      </c>
      <c r="AY4794" s="1">
        <v>1.49</v>
      </c>
      <c r="AZ4794" s="1">
        <v>18.100000000000001</v>
      </c>
      <c r="BA4794" s="1">
        <v>0.65800000000000003</v>
      </c>
      <c r="BB4794" s="1">
        <v>15.8</v>
      </c>
      <c r="BC4794" s="1">
        <v>1E-3</v>
      </c>
      <c r="BD4794" s="1">
        <v>2.3900000000000001E-2</v>
      </c>
      <c r="BE4794" s="1">
        <v>5.8400000000000001E-2</v>
      </c>
      <c r="BF4794" s="1">
        <v>0.83799999999999897</v>
      </c>
      <c r="BG4794" s="1">
        <v>1E-3</v>
      </c>
      <c r="BH4794" s="1">
        <v>11</v>
      </c>
      <c r="BI4794" s="1">
        <v>0.64100000000000001</v>
      </c>
      <c r="BJ4794" s="1">
        <v>0.55200000000000005</v>
      </c>
      <c r="BK4794" s="1">
        <v>9.7200000000000006</v>
      </c>
      <c r="BL4794" s="1">
        <v>3.3599999999999901E-2</v>
      </c>
      <c r="BM4794" s="1">
        <v>80.900000000000006</v>
      </c>
      <c r="BN4794" s="1">
        <v>0.19</v>
      </c>
      <c r="BO4794" s="1">
        <v>0.373</v>
      </c>
      <c r="BQ4794" s="1">
        <v>2.98</v>
      </c>
      <c r="BR4794" s="1">
        <v>1E-3</v>
      </c>
      <c r="BS4794" s="1">
        <v>2.8400000000000002E-2</v>
      </c>
      <c r="BT4794" s="1">
        <v>3.9E-2</v>
      </c>
      <c r="BU4794" s="1">
        <v>0.78700000000000003</v>
      </c>
      <c r="BV4794" s="1">
        <v>0.72599999999999898</v>
      </c>
      <c r="BW4794" s="1">
        <v>0.53</v>
      </c>
      <c r="BX4794" s="1">
        <v>5.0000000000000001E-3</v>
      </c>
      <c r="BY4794" s="1">
        <v>1.32</v>
      </c>
      <c r="BZ4794" s="1">
        <v>33</v>
      </c>
      <c r="CA4794" s="1">
        <v>4.28</v>
      </c>
      <c r="CC4794" s="1">
        <v>6.1700000000000001E-3</v>
      </c>
      <c r="CD4794" s="1">
        <v>2.42</v>
      </c>
      <c r="CE4794" s="1">
        <v>16.8</v>
      </c>
      <c r="CF4794" s="1">
        <v>1.43</v>
      </c>
      <c r="CG4794" s="1">
        <v>0.53200000000000003</v>
      </c>
      <c r="CH4794" s="1">
        <v>15.7</v>
      </c>
      <c r="CI4794" s="1">
        <v>1E-3</v>
      </c>
      <c r="CJ4794" s="1">
        <v>0.77800000000000002</v>
      </c>
      <c r="CK4794" s="1">
        <v>5.81</v>
      </c>
      <c r="CL4794" s="1">
        <v>0.17399999999999899</v>
      </c>
      <c r="CM4794" s="1">
        <v>81.7</v>
      </c>
    </row>
    <row r="4795" spans="1:91" x14ac:dyDescent="0.3">
      <c r="A4795" s="1">
        <v>86821</v>
      </c>
      <c r="B4795" s="1" t="s">
        <v>295</v>
      </c>
      <c r="C4795" s="1" t="s">
        <v>296</v>
      </c>
      <c r="D4795" s="2">
        <f t="shared" si="255"/>
        <v>2021</v>
      </c>
      <c r="E4795" s="2">
        <f t="shared" si="256"/>
        <v>4</v>
      </c>
      <c r="G4795" s="4">
        <v>44306</v>
      </c>
      <c r="H4795" s="1">
        <v>6593594</v>
      </c>
      <c r="I4795" s="1">
        <v>669799</v>
      </c>
      <c r="J4795" s="1" t="s">
        <v>189</v>
      </c>
      <c r="K4795" s="1"/>
      <c r="L4795" s="1" t="str">
        <f t="shared" si="257"/>
        <v xml:space="preserve">Rösjön </v>
      </c>
      <c r="M4795" s="1" t="s">
        <v>211</v>
      </c>
      <c r="N4795" s="1">
        <v>1</v>
      </c>
      <c r="O4795" s="1">
        <v>1</v>
      </c>
      <c r="Q4795" s="1">
        <v>8.9</v>
      </c>
      <c r="R4795" s="1">
        <v>12.9</v>
      </c>
      <c r="S4795" s="1">
        <v>112</v>
      </c>
    </row>
    <row r="4796" spans="1:91" x14ac:dyDescent="0.3">
      <c r="A4796" s="1">
        <v>86822</v>
      </c>
      <c r="B4796" s="1" t="s">
        <v>295</v>
      </c>
      <c r="C4796" s="1" t="s">
        <v>296</v>
      </c>
      <c r="D4796" s="2">
        <f t="shared" si="255"/>
        <v>2021</v>
      </c>
      <c r="E4796" s="2">
        <f t="shared" si="256"/>
        <v>4</v>
      </c>
      <c r="G4796" s="4">
        <v>44306</v>
      </c>
      <c r="H4796" s="1">
        <v>6593594</v>
      </c>
      <c r="I4796" s="1">
        <v>669799</v>
      </c>
      <c r="J4796" s="1" t="s">
        <v>189</v>
      </c>
      <c r="K4796" s="1"/>
      <c r="L4796" s="1" t="str">
        <f t="shared" si="257"/>
        <v xml:space="preserve">Rösjön </v>
      </c>
      <c r="M4796" s="1" t="s">
        <v>212</v>
      </c>
      <c r="N4796" s="1">
        <v>2</v>
      </c>
      <c r="O4796" s="1">
        <v>2</v>
      </c>
      <c r="Q4796" s="1">
        <v>8.3000000000000007</v>
      </c>
      <c r="R4796" s="1">
        <v>12.9</v>
      </c>
      <c r="S4796" s="1">
        <v>110</v>
      </c>
    </row>
    <row r="4797" spans="1:91" x14ac:dyDescent="0.3">
      <c r="A4797" s="1">
        <v>86823</v>
      </c>
      <c r="B4797" s="1" t="s">
        <v>295</v>
      </c>
      <c r="C4797" s="1" t="s">
        <v>296</v>
      </c>
      <c r="D4797" s="2">
        <f t="shared" si="255"/>
        <v>2021</v>
      </c>
      <c r="E4797" s="2">
        <f t="shared" si="256"/>
        <v>4</v>
      </c>
      <c r="G4797" s="4">
        <v>44306</v>
      </c>
      <c r="H4797" s="1">
        <v>6593594</v>
      </c>
      <c r="I4797" s="1">
        <v>669799</v>
      </c>
      <c r="J4797" s="1" t="s">
        <v>189</v>
      </c>
      <c r="K4797" s="1"/>
      <c r="L4797" s="1" t="str">
        <f t="shared" si="257"/>
        <v xml:space="preserve">Rösjön </v>
      </c>
      <c r="M4797" s="1" t="s">
        <v>213</v>
      </c>
      <c r="N4797" s="1">
        <v>3</v>
      </c>
      <c r="O4797" s="1">
        <v>3</v>
      </c>
      <c r="Q4797" s="1">
        <v>8.1</v>
      </c>
      <c r="R4797" s="1">
        <v>12.9</v>
      </c>
      <c r="S4797" s="1">
        <v>109</v>
      </c>
    </row>
    <row r="4798" spans="1:91" x14ac:dyDescent="0.3">
      <c r="A4798" s="1">
        <v>86824</v>
      </c>
      <c r="B4798" s="1" t="s">
        <v>295</v>
      </c>
      <c r="C4798" s="1" t="s">
        <v>296</v>
      </c>
      <c r="D4798" s="2">
        <f t="shared" ref="D4798:D4861" si="258">YEAR(G4798)</f>
        <v>2021</v>
      </c>
      <c r="E4798" s="2">
        <f t="shared" ref="E4798:E4861" si="259">MONTH(G4798)</f>
        <v>4</v>
      </c>
      <c r="G4798" s="4">
        <v>44306</v>
      </c>
      <c r="H4798" s="1">
        <v>6593594</v>
      </c>
      <c r="I4798" s="1">
        <v>669799</v>
      </c>
      <c r="J4798" s="1" t="s">
        <v>189</v>
      </c>
      <c r="K4798" s="1"/>
      <c r="L4798" s="1" t="str">
        <f t="shared" ref="L4798:L4861" si="260">CONCATENATE(J4798," ",K4798)</f>
        <v xml:space="preserve">Rösjön </v>
      </c>
      <c r="M4798" s="1" t="s">
        <v>214</v>
      </c>
      <c r="N4798" s="1">
        <v>4</v>
      </c>
      <c r="O4798" s="1">
        <v>4</v>
      </c>
      <c r="Q4798" s="1">
        <v>7.7</v>
      </c>
      <c r="R4798" s="1">
        <v>12.9</v>
      </c>
      <c r="S4798" s="1">
        <v>108</v>
      </c>
    </row>
    <row r="4799" spans="1:91" x14ac:dyDescent="0.3">
      <c r="A4799" s="1">
        <v>86825</v>
      </c>
      <c r="B4799" s="1" t="s">
        <v>295</v>
      </c>
      <c r="C4799" s="1" t="s">
        <v>296</v>
      </c>
      <c r="D4799" s="2">
        <f t="shared" si="258"/>
        <v>2021</v>
      </c>
      <c r="E4799" s="2">
        <f t="shared" si="259"/>
        <v>4</v>
      </c>
      <c r="G4799" s="4">
        <v>44306</v>
      </c>
      <c r="H4799" s="1">
        <v>6593594</v>
      </c>
      <c r="I4799" s="1">
        <v>669799</v>
      </c>
      <c r="J4799" s="1" t="s">
        <v>189</v>
      </c>
      <c r="K4799" s="1"/>
      <c r="L4799" s="1" t="str">
        <f t="shared" si="260"/>
        <v xml:space="preserve">Rösjön </v>
      </c>
      <c r="M4799" s="1" t="s">
        <v>217</v>
      </c>
      <c r="N4799" s="1">
        <v>5</v>
      </c>
      <c r="O4799" s="1">
        <v>5</v>
      </c>
      <c r="Q4799" s="1">
        <v>7.4</v>
      </c>
      <c r="R4799" s="1">
        <v>12.6</v>
      </c>
      <c r="S4799" s="1">
        <v>105</v>
      </c>
    </row>
    <row r="4800" spans="1:91" x14ac:dyDescent="0.3">
      <c r="A4800" s="1">
        <v>86826</v>
      </c>
      <c r="B4800" s="1" t="s">
        <v>295</v>
      </c>
      <c r="C4800" s="1" t="s">
        <v>296</v>
      </c>
      <c r="D4800" s="2">
        <f t="shared" si="258"/>
        <v>2021</v>
      </c>
      <c r="E4800" s="2">
        <f t="shared" si="259"/>
        <v>4</v>
      </c>
      <c r="G4800" s="4">
        <v>44306</v>
      </c>
      <c r="H4800" s="1">
        <v>6593594</v>
      </c>
      <c r="I4800" s="1">
        <v>669799</v>
      </c>
      <c r="J4800" s="1" t="s">
        <v>189</v>
      </c>
      <c r="K4800" s="1"/>
      <c r="L4800" s="1" t="str">
        <f t="shared" si="260"/>
        <v xml:space="preserve">Rösjön </v>
      </c>
      <c r="M4800" s="1" t="s">
        <v>218</v>
      </c>
      <c r="N4800" s="1">
        <v>6</v>
      </c>
      <c r="O4800" s="1">
        <v>6</v>
      </c>
      <c r="Q4800" s="1">
        <v>7.3</v>
      </c>
      <c r="R4800" s="1">
        <v>12.4</v>
      </c>
      <c r="S4800" s="1">
        <v>103</v>
      </c>
    </row>
    <row r="4801" spans="1:91" x14ac:dyDescent="0.3">
      <c r="A4801" s="1">
        <v>86827</v>
      </c>
      <c r="B4801" s="1" t="s">
        <v>295</v>
      </c>
      <c r="C4801" s="1" t="s">
        <v>296</v>
      </c>
      <c r="D4801" s="2">
        <f t="shared" si="258"/>
        <v>2021</v>
      </c>
      <c r="E4801" s="2">
        <f t="shared" si="259"/>
        <v>4</v>
      </c>
      <c r="G4801" s="4">
        <v>44306</v>
      </c>
      <c r="H4801" s="1">
        <v>6593594</v>
      </c>
      <c r="I4801" s="1">
        <v>669799</v>
      </c>
      <c r="J4801" s="1" t="s">
        <v>189</v>
      </c>
      <c r="K4801" s="1"/>
      <c r="L4801" s="1" t="str">
        <f t="shared" si="260"/>
        <v xml:space="preserve">Rösjön </v>
      </c>
      <c r="M4801" s="1" t="s">
        <v>286</v>
      </c>
      <c r="N4801" s="1">
        <v>7</v>
      </c>
      <c r="O4801" s="1">
        <v>7</v>
      </c>
      <c r="Q4801" s="1">
        <v>7.2</v>
      </c>
      <c r="R4801" s="1">
        <v>12.1</v>
      </c>
      <c r="S4801" s="1">
        <v>100</v>
      </c>
    </row>
    <row r="4802" spans="1:91" x14ac:dyDescent="0.3">
      <c r="A4802" s="1">
        <v>86828</v>
      </c>
      <c r="B4802" s="1" t="s">
        <v>295</v>
      </c>
      <c r="C4802" s="1" t="s">
        <v>296</v>
      </c>
      <c r="D4802" s="2">
        <f t="shared" si="258"/>
        <v>2021</v>
      </c>
      <c r="E4802" s="2">
        <f t="shared" si="259"/>
        <v>4</v>
      </c>
      <c r="G4802" s="4">
        <v>44306</v>
      </c>
      <c r="H4802" s="1">
        <v>6594739</v>
      </c>
      <c r="I4802" s="1">
        <v>668531</v>
      </c>
      <c r="J4802" s="1" t="s">
        <v>192</v>
      </c>
      <c r="K4802" s="1"/>
      <c r="L4802" s="1" t="str">
        <f t="shared" si="260"/>
        <v xml:space="preserve">Väsjön </v>
      </c>
      <c r="M4802" s="1" t="s">
        <v>285</v>
      </c>
      <c r="N4802" s="1">
        <v>0.5</v>
      </c>
      <c r="O4802" s="1">
        <v>0.5</v>
      </c>
      <c r="P4802" s="1">
        <v>1.6</v>
      </c>
      <c r="Q4802" s="1">
        <v>10.7</v>
      </c>
      <c r="R4802" s="1">
        <v>13.7</v>
      </c>
      <c r="S4802" s="1">
        <v>123</v>
      </c>
      <c r="W4802" s="1">
        <v>12.2582</v>
      </c>
      <c r="X4802" s="1">
        <v>0.57530021129959996</v>
      </c>
      <c r="Y4802" s="1">
        <v>6.8000000000000005E-2</v>
      </c>
      <c r="Z4802" s="1">
        <v>1.42</v>
      </c>
      <c r="AA4802" s="1">
        <v>3.8</v>
      </c>
      <c r="AD4802" s="1">
        <v>111.53</v>
      </c>
      <c r="AE4802" s="1">
        <v>8.4</v>
      </c>
      <c r="AI4802" s="1">
        <v>12.3</v>
      </c>
      <c r="AJ4802" s="1">
        <v>11.25</v>
      </c>
      <c r="AK4802" s="1">
        <v>26.1</v>
      </c>
      <c r="AL4802" s="1">
        <v>806.35</v>
      </c>
      <c r="AR4802" s="1">
        <v>65.2</v>
      </c>
      <c r="AS4802" s="1">
        <v>4.87E-2</v>
      </c>
      <c r="AT4802" s="1">
        <v>7.06</v>
      </c>
      <c r="AU4802" s="1">
        <v>7.73</v>
      </c>
      <c r="AW4802" s="1">
        <v>38.1</v>
      </c>
      <c r="AY4802" s="1">
        <v>4.13</v>
      </c>
      <c r="AZ4802" s="1">
        <v>53</v>
      </c>
      <c r="BA4802" s="1">
        <v>0.70499999999999896</v>
      </c>
      <c r="BB4802" s="1">
        <v>34.200000000000003</v>
      </c>
      <c r="BC4802" s="1">
        <v>2.78999999999999E-3</v>
      </c>
      <c r="BD4802" s="1">
        <v>8.4099999999999897E-2</v>
      </c>
      <c r="BE4802" s="1">
        <v>0.16700000000000001</v>
      </c>
      <c r="BF4802" s="1">
        <v>0.86199999999999899</v>
      </c>
      <c r="BG4802" s="1">
        <v>1E-3</v>
      </c>
      <c r="BH4802" s="1">
        <v>18.100000000000001</v>
      </c>
      <c r="BI4802" s="1">
        <v>3.68</v>
      </c>
      <c r="BJ4802" s="1">
        <v>0.83699999999999897</v>
      </c>
      <c r="BK4802" s="1">
        <v>15.7</v>
      </c>
      <c r="BL4802" s="1">
        <v>0.19500000000000001</v>
      </c>
      <c r="BM4802" s="1">
        <v>169</v>
      </c>
      <c r="BN4802" s="1">
        <v>0.66300000000000003</v>
      </c>
      <c r="BO4802" s="1">
        <v>3.05</v>
      </c>
      <c r="BQ4802" s="1">
        <v>11.1</v>
      </c>
      <c r="BR4802" s="1">
        <v>1E-3</v>
      </c>
      <c r="BS4802" s="1">
        <v>4.3099999999999902E-2</v>
      </c>
      <c r="BT4802" s="1">
        <v>0.106</v>
      </c>
      <c r="BU4802" s="1">
        <v>0.91900000000000004</v>
      </c>
      <c r="BV4802" s="1">
        <v>0.78200000000000003</v>
      </c>
      <c r="BW4802" s="1">
        <v>0.73599999999999899</v>
      </c>
      <c r="BX4802" s="1">
        <v>1.6199999999999899E-2</v>
      </c>
      <c r="BY4802" s="1">
        <v>3.3</v>
      </c>
      <c r="BZ4802" s="1">
        <v>68</v>
      </c>
      <c r="CA4802" s="1">
        <v>7.96</v>
      </c>
      <c r="CC4802" s="1">
        <v>7.4799999999999901E-3</v>
      </c>
      <c r="CD4802" s="1">
        <v>7.43</v>
      </c>
      <c r="CE4802" s="1">
        <v>39.4</v>
      </c>
      <c r="CF4802" s="1">
        <v>4.04</v>
      </c>
      <c r="CG4802" s="1">
        <v>0.59899999999999898</v>
      </c>
      <c r="CH4802" s="1">
        <v>34.1</v>
      </c>
      <c r="CI4802" s="1">
        <v>1E-3</v>
      </c>
      <c r="CJ4802" s="1">
        <v>3.79</v>
      </c>
      <c r="CK4802" s="1">
        <v>8.11</v>
      </c>
      <c r="CL4802" s="1">
        <v>0.61599999999999899</v>
      </c>
      <c r="CM4802" s="1">
        <v>176</v>
      </c>
    </row>
    <row r="4803" spans="1:91" x14ac:dyDescent="0.3">
      <c r="A4803" s="1">
        <v>86829</v>
      </c>
      <c r="B4803" s="1" t="s">
        <v>295</v>
      </c>
      <c r="C4803" s="1" t="s">
        <v>296</v>
      </c>
      <c r="D4803" s="2">
        <f t="shared" si="258"/>
        <v>2021</v>
      </c>
      <c r="E4803" s="2">
        <f t="shared" si="259"/>
        <v>4</v>
      </c>
      <c r="G4803" s="4">
        <v>44306</v>
      </c>
      <c r="H4803" s="1">
        <v>6594739</v>
      </c>
      <c r="I4803" s="1">
        <v>668531</v>
      </c>
      <c r="J4803" s="1" t="s">
        <v>192</v>
      </c>
      <c r="K4803" s="1"/>
      <c r="L4803" s="1" t="str">
        <f t="shared" si="260"/>
        <v xml:space="preserve">Väsjön </v>
      </c>
      <c r="M4803" s="1" t="s">
        <v>211</v>
      </c>
      <c r="N4803" s="1">
        <v>1</v>
      </c>
      <c r="O4803" s="1">
        <v>1</v>
      </c>
      <c r="Q4803" s="1">
        <v>10.5</v>
      </c>
      <c r="R4803" s="1">
        <v>13.7</v>
      </c>
      <c r="S4803" s="1">
        <v>123</v>
      </c>
    </row>
    <row r="4804" spans="1:91" x14ac:dyDescent="0.3">
      <c r="A4804" s="1">
        <v>86830</v>
      </c>
      <c r="B4804" s="1" t="s">
        <v>295</v>
      </c>
      <c r="C4804" s="1" t="s">
        <v>296</v>
      </c>
      <c r="D4804" s="2">
        <f t="shared" si="258"/>
        <v>2021</v>
      </c>
      <c r="E4804" s="2">
        <f t="shared" si="259"/>
        <v>4</v>
      </c>
      <c r="G4804" s="4">
        <v>44306</v>
      </c>
      <c r="H4804" s="1">
        <v>6594739</v>
      </c>
      <c r="I4804" s="1">
        <v>668531</v>
      </c>
      <c r="J4804" s="1" t="s">
        <v>192</v>
      </c>
      <c r="K4804" s="1"/>
      <c r="L4804" s="1" t="str">
        <f t="shared" si="260"/>
        <v xml:space="preserve">Väsjön </v>
      </c>
      <c r="M4804" s="1" t="s">
        <v>212</v>
      </c>
      <c r="N4804" s="1">
        <v>2</v>
      </c>
      <c r="O4804" s="1">
        <v>2</v>
      </c>
      <c r="Q4804" s="1">
        <v>9.1</v>
      </c>
      <c r="R4804" s="1">
        <v>13.4</v>
      </c>
      <c r="S4804" s="1">
        <v>117</v>
      </c>
    </row>
    <row r="4805" spans="1:91" x14ac:dyDescent="0.3">
      <c r="A4805" s="1">
        <v>86831</v>
      </c>
      <c r="B4805" s="1" t="s">
        <v>295</v>
      </c>
      <c r="C4805" s="1" t="s">
        <v>296</v>
      </c>
      <c r="D4805" s="2">
        <f t="shared" si="258"/>
        <v>2021</v>
      </c>
      <c r="E4805" s="2">
        <f t="shared" si="259"/>
        <v>4</v>
      </c>
      <c r="G4805" s="4">
        <v>44306</v>
      </c>
      <c r="H4805" s="1">
        <v>6594739</v>
      </c>
      <c r="I4805" s="1">
        <v>668531</v>
      </c>
      <c r="J4805" s="1" t="s">
        <v>192</v>
      </c>
      <c r="K4805" s="1"/>
      <c r="L4805" s="1" t="str">
        <f t="shared" si="260"/>
        <v xml:space="preserve">Väsjön </v>
      </c>
      <c r="M4805" s="1" t="s">
        <v>286</v>
      </c>
      <c r="N4805" s="1">
        <v>2.5</v>
      </c>
      <c r="O4805" s="1">
        <v>2.5</v>
      </c>
      <c r="Q4805" s="1">
        <v>8.8000000000000007</v>
      </c>
      <c r="R4805" s="1">
        <v>12.3</v>
      </c>
      <c r="S4805" s="1">
        <v>106</v>
      </c>
    </row>
    <row r="4806" spans="1:91" x14ac:dyDescent="0.3">
      <c r="A4806" s="1">
        <v>89308</v>
      </c>
      <c r="B4806" s="1" t="s">
        <v>293</v>
      </c>
      <c r="C4806" s="1" t="s">
        <v>294</v>
      </c>
      <c r="D4806" s="2">
        <f t="shared" si="258"/>
        <v>2021</v>
      </c>
      <c r="E4806" s="2">
        <f t="shared" si="259"/>
        <v>8</v>
      </c>
      <c r="G4806" s="4">
        <v>44410</v>
      </c>
      <c r="H4806" s="1">
        <v>6595172</v>
      </c>
      <c r="I4806" s="1">
        <v>669610</v>
      </c>
      <c r="J4806" s="1" t="s">
        <v>183</v>
      </c>
      <c r="K4806" s="1"/>
      <c r="L4806" s="1" t="str">
        <f t="shared" si="260"/>
        <v xml:space="preserve">Fjäturen </v>
      </c>
      <c r="M4806" s="1" t="s">
        <v>285</v>
      </c>
      <c r="N4806" s="1">
        <v>0.5</v>
      </c>
      <c r="O4806" s="1">
        <v>0.5</v>
      </c>
      <c r="P4806" s="1">
        <v>3.7</v>
      </c>
      <c r="Q4806" s="1">
        <v>22.2</v>
      </c>
      <c r="R4806" s="1">
        <v>8</v>
      </c>
      <c r="S4806" s="1">
        <v>92</v>
      </c>
      <c r="V4806" s="1">
        <v>2.4325289255999998</v>
      </c>
      <c r="W4806" s="1">
        <v>3.6682000000000001</v>
      </c>
      <c r="X4806" s="1">
        <v>0.18164147858932769</v>
      </c>
      <c r="Y4806" s="1">
        <v>5.2999999999999999E-2</v>
      </c>
      <c r="Z4806" s="1">
        <v>0.77</v>
      </c>
      <c r="AA4806" s="1">
        <v>1.42</v>
      </c>
      <c r="AB4806" s="1">
        <v>6.0473699999999999</v>
      </c>
      <c r="AD4806" s="1">
        <v>1.4</v>
      </c>
      <c r="AE4806" s="1">
        <v>8.0500000000000007</v>
      </c>
      <c r="AK4806" s="1">
        <v>16.75</v>
      </c>
      <c r="AL4806" s="1">
        <v>650.44500000000005</v>
      </c>
    </row>
    <row r="4807" spans="1:91" x14ac:dyDescent="0.3">
      <c r="A4807" s="1">
        <v>89309</v>
      </c>
      <c r="B4807" s="1" t="s">
        <v>293</v>
      </c>
      <c r="C4807" s="1" t="s">
        <v>294</v>
      </c>
      <c r="D4807" s="2">
        <f t="shared" si="258"/>
        <v>2021</v>
      </c>
      <c r="E4807" s="2">
        <f t="shared" si="259"/>
        <v>8</v>
      </c>
      <c r="G4807" s="4">
        <v>44410</v>
      </c>
      <c r="H4807" s="1">
        <v>6595172</v>
      </c>
      <c r="I4807" s="1">
        <v>669610</v>
      </c>
      <c r="J4807" s="1" t="s">
        <v>183</v>
      </c>
      <c r="K4807" s="1"/>
      <c r="L4807" s="1" t="str">
        <f t="shared" si="260"/>
        <v xml:space="preserve">Fjäturen </v>
      </c>
      <c r="M4807" s="1" t="s">
        <v>211</v>
      </c>
      <c r="N4807" s="1">
        <v>1</v>
      </c>
      <c r="O4807" s="1">
        <v>1</v>
      </c>
      <c r="Q4807" s="1">
        <v>22.2</v>
      </c>
      <c r="R4807" s="1">
        <v>8</v>
      </c>
      <c r="S4807" s="1">
        <v>92</v>
      </c>
    </row>
    <row r="4808" spans="1:91" x14ac:dyDescent="0.3">
      <c r="A4808" s="1">
        <v>89310</v>
      </c>
      <c r="B4808" s="1" t="s">
        <v>293</v>
      </c>
      <c r="C4808" s="1" t="s">
        <v>294</v>
      </c>
      <c r="D4808" s="2">
        <f t="shared" si="258"/>
        <v>2021</v>
      </c>
      <c r="E4808" s="2">
        <f t="shared" si="259"/>
        <v>8</v>
      </c>
      <c r="G4808" s="4">
        <v>44410</v>
      </c>
      <c r="H4808" s="1">
        <v>6595172</v>
      </c>
      <c r="I4808" s="1">
        <v>669610</v>
      </c>
      <c r="J4808" s="1" t="s">
        <v>183</v>
      </c>
      <c r="K4808" s="1"/>
      <c r="L4808" s="1" t="str">
        <f t="shared" si="260"/>
        <v xml:space="preserve">Fjäturen </v>
      </c>
      <c r="M4808" s="1" t="s">
        <v>212</v>
      </c>
      <c r="N4808" s="1">
        <v>2</v>
      </c>
      <c r="O4808" s="1">
        <v>2</v>
      </c>
      <c r="Q4808" s="1">
        <v>22.1</v>
      </c>
      <c r="R4808" s="1">
        <v>7.8</v>
      </c>
      <c r="S4808" s="1">
        <v>90</v>
      </c>
    </row>
    <row r="4809" spans="1:91" x14ac:dyDescent="0.3">
      <c r="A4809" s="1">
        <v>89311</v>
      </c>
      <c r="B4809" s="1" t="s">
        <v>293</v>
      </c>
      <c r="C4809" s="1" t="s">
        <v>294</v>
      </c>
      <c r="D4809" s="2">
        <f t="shared" si="258"/>
        <v>2021</v>
      </c>
      <c r="E4809" s="2">
        <f t="shared" si="259"/>
        <v>8</v>
      </c>
      <c r="G4809" s="4">
        <v>44410</v>
      </c>
      <c r="H4809" s="1">
        <v>6595172</v>
      </c>
      <c r="I4809" s="1">
        <v>669610</v>
      </c>
      <c r="J4809" s="1" t="s">
        <v>183</v>
      </c>
      <c r="K4809" s="1"/>
      <c r="L4809" s="1" t="str">
        <f t="shared" si="260"/>
        <v xml:space="preserve">Fjäturen </v>
      </c>
      <c r="M4809" s="1" t="s">
        <v>213</v>
      </c>
      <c r="N4809" s="1">
        <v>3</v>
      </c>
      <c r="O4809" s="1">
        <v>3</v>
      </c>
      <c r="Q4809" s="1">
        <v>22</v>
      </c>
      <c r="R4809" s="1">
        <v>7.8</v>
      </c>
      <c r="S4809" s="1">
        <v>89</v>
      </c>
    </row>
    <row r="4810" spans="1:91" x14ac:dyDescent="0.3">
      <c r="A4810" s="1">
        <v>89312</v>
      </c>
      <c r="B4810" s="1" t="s">
        <v>293</v>
      </c>
      <c r="C4810" s="1" t="s">
        <v>294</v>
      </c>
      <c r="D4810" s="2">
        <f t="shared" si="258"/>
        <v>2021</v>
      </c>
      <c r="E4810" s="2">
        <f t="shared" si="259"/>
        <v>8</v>
      </c>
      <c r="G4810" s="4">
        <v>44410</v>
      </c>
      <c r="H4810" s="1">
        <v>6595172</v>
      </c>
      <c r="I4810" s="1">
        <v>669610</v>
      </c>
      <c r="J4810" s="1" t="s">
        <v>183</v>
      </c>
      <c r="K4810" s="1"/>
      <c r="L4810" s="1" t="str">
        <f t="shared" si="260"/>
        <v xml:space="preserve">Fjäturen </v>
      </c>
      <c r="M4810" s="1" t="s">
        <v>214</v>
      </c>
      <c r="N4810" s="1">
        <v>4</v>
      </c>
      <c r="O4810" s="1">
        <v>4</v>
      </c>
      <c r="Q4810" s="1">
        <v>20.5</v>
      </c>
      <c r="R4810" s="1">
        <v>5</v>
      </c>
      <c r="S4810" s="1">
        <v>56</v>
      </c>
    </row>
    <row r="4811" spans="1:91" x14ac:dyDescent="0.3">
      <c r="A4811" s="1">
        <v>89313</v>
      </c>
      <c r="B4811" s="1" t="s">
        <v>293</v>
      </c>
      <c r="C4811" s="1" t="s">
        <v>294</v>
      </c>
      <c r="D4811" s="2">
        <f t="shared" si="258"/>
        <v>2021</v>
      </c>
      <c r="E4811" s="2">
        <f t="shared" si="259"/>
        <v>8</v>
      </c>
      <c r="G4811" s="4">
        <v>44410</v>
      </c>
      <c r="H4811" s="1">
        <v>6595172</v>
      </c>
      <c r="I4811" s="1">
        <v>669610</v>
      </c>
      <c r="J4811" s="1" t="s">
        <v>183</v>
      </c>
      <c r="K4811" s="1"/>
      <c r="L4811" s="1" t="str">
        <f t="shared" si="260"/>
        <v xml:space="preserve">Fjäturen </v>
      </c>
      <c r="M4811" s="1" t="s">
        <v>217</v>
      </c>
      <c r="N4811" s="1">
        <v>5</v>
      </c>
      <c r="O4811" s="1">
        <v>5</v>
      </c>
      <c r="Q4811" s="1">
        <v>14.3</v>
      </c>
      <c r="R4811" s="1">
        <v>0.1</v>
      </c>
      <c r="S4811" s="1">
        <v>1</v>
      </c>
    </row>
    <row r="4812" spans="1:91" x14ac:dyDescent="0.3">
      <c r="A4812" s="1">
        <v>89314</v>
      </c>
      <c r="B4812" s="1" t="s">
        <v>293</v>
      </c>
      <c r="C4812" s="1" t="s">
        <v>294</v>
      </c>
      <c r="D4812" s="2">
        <f t="shared" si="258"/>
        <v>2021</v>
      </c>
      <c r="E4812" s="2">
        <f t="shared" si="259"/>
        <v>8</v>
      </c>
      <c r="G4812" s="4">
        <v>44410</v>
      </c>
      <c r="H4812" s="1">
        <v>6595172</v>
      </c>
      <c r="I4812" s="1">
        <v>669610</v>
      </c>
      <c r="J4812" s="1" t="s">
        <v>183</v>
      </c>
      <c r="K4812" s="1"/>
      <c r="L4812" s="1" t="str">
        <f t="shared" si="260"/>
        <v xml:space="preserve">Fjäturen </v>
      </c>
      <c r="M4812" s="1" t="s">
        <v>218</v>
      </c>
      <c r="N4812" s="1">
        <v>6</v>
      </c>
      <c r="O4812" s="1">
        <v>6</v>
      </c>
      <c r="Q4812" s="1">
        <v>10.5</v>
      </c>
      <c r="R4812" s="1">
        <v>0.1</v>
      </c>
      <c r="S4812" s="1">
        <v>1</v>
      </c>
    </row>
    <row r="4813" spans="1:91" x14ac:dyDescent="0.3">
      <c r="A4813" s="1">
        <v>89315</v>
      </c>
      <c r="B4813" s="1" t="s">
        <v>293</v>
      </c>
      <c r="C4813" s="1" t="s">
        <v>294</v>
      </c>
      <c r="D4813" s="2">
        <f t="shared" si="258"/>
        <v>2021</v>
      </c>
      <c r="E4813" s="2">
        <f t="shared" si="259"/>
        <v>8</v>
      </c>
      <c r="G4813" s="4">
        <v>44410</v>
      </c>
      <c r="H4813" s="1">
        <v>6595172</v>
      </c>
      <c r="I4813" s="1">
        <v>669610</v>
      </c>
      <c r="J4813" s="1" t="s">
        <v>183</v>
      </c>
      <c r="K4813" s="1"/>
      <c r="L4813" s="1" t="str">
        <f t="shared" si="260"/>
        <v xml:space="preserve">Fjäturen </v>
      </c>
      <c r="M4813" s="1" t="s">
        <v>219</v>
      </c>
      <c r="N4813" s="1">
        <v>7</v>
      </c>
      <c r="O4813" s="1">
        <v>7</v>
      </c>
      <c r="Q4813" s="1">
        <v>9.3000000000000007</v>
      </c>
      <c r="R4813" s="1">
        <v>0.1</v>
      </c>
      <c r="S4813" s="1">
        <v>1</v>
      </c>
    </row>
    <row r="4814" spans="1:91" x14ac:dyDescent="0.3">
      <c r="A4814" s="1">
        <v>89316</v>
      </c>
      <c r="B4814" s="1" t="s">
        <v>293</v>
      </c>
      <c r="C4814" s="1" t="s">
        <v>294</v>
      </c>
      <c r="D4814" s="2">
        <f t="shared" si="258"/>
        <v>2021</v>
      </c>
      <c r="E4814" s="2">
        <f t="shared" si="259"/>
        <v>8</v>
      </c>
      <c r="G4814" s="4">
        <v>44410</v>
      </c>
      <c r="H4814" s="1">
        <v>6595172</v>
      </c>
      <c r="I4814" s="1">
        <v>669610</v>
      </c>
      <c r="J4814" s="1" t="s">
        <v>183</v>
      </c>
      <c r="K4814" s="1"/>
      <c r="L4814" s="1" t="str">
        <f t="shared" si="260"/>
        <v xml:space="preserve">Fjäturen </v>
      </c>
      <c r="M4814" s="1" t="s">
        <v>220</v>
      </c>
      <c r="N4814" s="1">
        <v>8</v>
      </c>
      <c r="O4814" s="1">
        <v>8</v>
      </c>
      <c r="Q4814" s="1">
        <v>8.8000000000000007</v>
      </c>
      <c r="R4814" s="1">
        <v>0.1</v>
      </c>
      <c r="S4814" s="1">
        <v>1</v>
      </c>
    </row>
    <row r="4815" spans="1:91" x14ac:dyDescent="0.3">
      <c r="A4815" s="1">
        <v>89317</v>
      </c>
      <c r="B4815" s="1" t="s">
        <v>293</v>
      </c>
      <c r="C4815" s="1" t="s">
        <v>294</v>
      </c>
      <c r="D4815" s="2">
        <f t="shared" si="258"/>
        <v>2021</v>
      </c>
      <c r="E4815" s="2">
        <f t="shared" si="259"/>
        <v>8</v>
      </c>
      <c r="G4815" s="4">
        <v>44410</v>
      </c>
      <c r="H4815" s="1">
        <v>6595172</v>
      </c>
      <c r="I4815" s="1">
        <v>669610</v>
      </c>
      <c r="J4815" s="1" t="s">
        <v>183</v>
      </c>
      <c r="K4815" s="1"/>
      <c r="L4815" s="1" t="str">
        <f t="shared" si="260"/>
        <v xml:space="preserve">Fjäturen </v>
      </c>
      <c r="M4815" s="1" t="s">
        <v>286</v>
      </c>
      <c r="N4815" s="1">
        <v>9</v>
      </c>
      <c r="O4815" s="1">
        <v>9</v>
      </c>
      <c r="Q4815" s="1">
        <v>8.6</v>
      </c>
      <c r="R4815" s="1">
        <v>0.1</v>
      </c>
      <c r="S4815" s="1">
        <v>1</v>
      </c>
      <c r="V4815" s="1">
        <v>2.7974082644</v>
      </c>
      <c r="W4815" s="1">
        <v>518.13220000000001</v>
      </c>
      <c r="X4815" s="1">
        <v>2.9689692801204468</v>
      </c>
      <c r="Y4815" s="1">
        <v>9.6000000000000002E-2</v>
      </c>
      <c r="Z4815" s="1">
        <v>356.76</v>
      </c>
      <c r="AA4815" s="1">
        <v>5</v>
      </c>
      <c r="AD4815" s="1">
        <v>2.29</v>
      </c>
      <c r="AE4815" s="1">
        <v>7.54</v>
      </c>
      <c r="AK4815" s="1">
        <v>412.54</v>
      </c>
      <c r="AL4815" s="1">
        <v>1353.0650000000001</v>
      </c>
    </row>
    <row r="4816" spans="1:91" x14ac:dyDescent="0.3">
      <c r="A4816" s="1">
        <v>89318</v>
      </c>
      <c r="B4816" s="1" t="s">
        <v>293</v>
      </c>
      <c r="C4816" s="1" t="s">
        <v>294</v>
      </c>
      <c r="D4816" s="2">
        <f t="shared" si="258"/>
        <v>2021</v>
      </c>
      <c r="E4816" s="2">
        <f t="shared" si="259"/>
        <v>8</v>
      </c>
      <c r="G4816" s="4">
        <v>44410</v>
      </c>
      <c r="H4816" s="1">
        <v>6593536</v>
      </c>
      <c r="I4816" s="1">
        <v>664946</v>
      </c>
      <c r="J4816" s="1" t="s">
        <v>188</v>
      </c>
      <c r="K4816" s="1"/>
      <c r="L4816" s="1" t="str">
        <f t="shared" si="260"/>
        <v xml:space="preserve">Ravalen </v>
      </c>
      <c r="M4816" s="1" t="s">
        <v>285</v>
      </c>
      <c r="N4816" s="1">
        <v>0.5</v>
      </c>
      <c r="O4816" s="1">
        <v>0.5</v>
      </c>
      <c r="P4816" s="1">
        <v>1</v>
      </c>
      <c r="Q4816" s="1">
        <v>21.3</v>
      </c>
      <c r="R4816" s="1">
        <v>12.2</v>
      </c>
      <c r="S4816" s="1">
        <v>137</v>
      </c>
      <c r="V4816" s="1">
        <v>1.2568066116000001</v>
      </c>
      <c r="W4816" s="1">
        <v>9.4665999999999997</v>
      </c>
      <c r="X4816" s="1">
        <v>3.3004863417575279</v>
      </c>
      <c r="Y4816" s="1">
        <v>6.6000000000000003E-2</v>
      </c>
      <c r="Z4816" s="1">
        <v>0.27</v>
      </c>
      <c r="AA4816" s="1">
        <v>0.62</v>
      </c>
      <c r="AB4816" s="1">
        <v>2.6577000000000002</v>
      </c>
      <c r="AD4816" s="1">
        <v>1.79</v>
      </c>
      <c r="AE4816" s="1">
        <v>9.09</v>
      </c>
      <c r="AK4816" s="1">
        <v>18.489999999999998</v>
      </c>
      <c r="AL4816" s="1">
        <v>843.84500000000003</v>
      </c>
    </row>
    <row r="4817" spans="1:91" x14ac:dyDescent="0.3">
      <c r="A4817" s="1">
        <v>89319</v>
      </c>
      <c r="B4817" s="1" t="s">
        <v>293</v>
      </c>
      <c r="C4817" s="1" t="s">
        <v>294</v>
      </c>
      <c r="D4817" s="2">
        <f t="shared" si="258"/>
        <v>2021</v>
      </c>
      <c r="E4817" s="2">
        <f t="shared" si="259"/>
        <v>8</v>
      </c>
      <c r="G4817" s="4">
        <v>44410</v>
      </c>
      <c r="H4817" s="1">
        <v>6593536</v>
      </c>
      <c r="I4817" s="1">
        <v>664946</v>
      </c>
      <c r="J4817" s="1" t="s">
        <v>188</v>
      </c>
      <c r="K4817" s="1"/>
      <c r="L4817" s="1" t="str">
        <f t="shared" si="260"/>
        <v xml:space="preserve">Ravalen </v>
      </c>
      <c r="M4817" s="1" t="s">
        <v>211</v>
      </c>
      <c r="N4817" s="1">
        <v>1</v>
      </c>
      <c r="O4817" s="1">
        <v>1</v>
      </c>
    </row>
    <row r="4818" spans="1:91" x14ac:dyDescent="0.3">
      <c r="A4818" s="1">
        <v>89320</v>
      </c>
      <c r="B4818" s="1" t="s">
        <v>293</v>
      </c>
      <c r="C4818" s="1" t="s">
        <v>294</v>
      </c>
      <c r="D4818" s="2">
        <f t="shared" si="258"/>
        <v>2021</v>
      </c>
      <c r="E4818" s="2">
        <f t="shared" si="259"/>
        <v>8</v>
      </c>
      <c r="G4818" s="4">
        <v>44410</v>
      </c>
      <c r="H4818" s="1">
        <v>6593536</v>
      </c>
      <c r="I4818" s="1">
        <v>664946</v>
      </c>
      <c r="J4818" s="1" t="s">
        <v>188</v>
      </c>
      <c r="K4818" s="1"/>
      <c r="L4818" s="1" t="str">
        <f t="shared" si="260"/>
        <v xml:space="preserve">Ravalen </v>
      </c>
      <c r="M4818" s="1" t="s">
        <v>286</v>
      </c>
      <c r="N4818" s="1">
        <v>2</v>
      </c>
      <c r="O4818" s="1">
        <v>2</v>
      </c>
      <c r="Q4818" s="1">
        <v>21.3</v>
      </c>
      <c r="R4818" s="1">
        <v>12.2</v>
      </c>
      <c r="S4818" s="1">
        <v>137</v>
      </c>
      <c r="V4818" s="1">
        <v>1.1757223139999999</v>
      </c>
      <c r="W4818" s="1">
        <v>6.6563999999999997</v>
      </c>
      <c r="X4818" s="1">
        <v>2.3556494683611819</v>
      </c>
      <c r="Y4818" s="1">
        <v>6.7000000000000004E-2</v>
      </c>
      <c r="Z4818" s="1">
        <v>0.56000000000000005</v>
      </c>
      <c r="AA4818" s="1">
        <v>0.69</v>
      </c>
      <c r="AD4818" s="1">
        <v>1.75</v>
      </c>
      <c r="AE4818" s="1">
        <v>9.1</v>
      </c>
      <c r="AK4818" s="1">
        <v>17.16</v>
      </c>
      <c r="AL4818" s="1">
        <v>841.08500000000004</v>
      </c>
    </row>
    <row r="4819" spans="1:91" x14ac:dyDescent="0.3">
      <c r="A4819" s="1">
        <v>89321</v>
      </c>
      <c r="B4819" s="1" t="s">
        <v>293</v>
      </c>
      <c r="C4819" s="1" t="s">
        <v>294</v>
      </c>
      <c r="D4819" s="2">
        <f t="shared" si="258"/>
        <v>2021</v>
      </c>
      <c r="E4819" s="2">
        <f t="shared" si="259"/>
        <v>8</v>
      </c>
      <c r="G4819" s="4">
        <v>44410</v>
      </c>
      <c r="H4819" s="1">
        <v>6594092</v>
      </c>
      <c r="I4819" s="1">
        <v>661375</v>
      </c>
      <c r="J4819" s="1" t="s">
        <v>193</v>
      </c>
      <c r="K4819" s="1"/>
      <c r="L4819" s="1" t="str">
        <f t="shared" si="260"/>
        <v xml:space="preserve">Översjön </v>
      </c>
      <c r="M4819" s="1" t="s">
        <v>285</v>
      </c>
      <c r="N4819" s="1">
        <v>0.5</v>
      </c>
      <c r="O4819" s="1">
        <v>0.5</v>
      </c>
      <c r="P4819" s="1">
        <v>1.4</v>
      </c>
      <c r="Q4819" s="1">
        <v>21.2</v>
      </c>
      <c r="R4819" s="1">
        <v>8.6</v>
      </c>
      <c r="S4819" s="1">
        <v>97</v>
      </c>
      <c r="V4819" s="1">
        <v>1.9257520661</v>
      </c>
      <c r="W4819" s="1">
        <v>3.6347</v>
      </c>
      <c r="X4819" s="1">
        <v>0.20451902373992989</v>
      </c>
      <c r="Y4819" s="1">
        <v>4.5999999999999999E-2</v>
      </c>
      <c r="Z4819" s="1">
        <v>0.37</v>
      </c>
      <c r="AA4819" s="1">
        <v>5.0999999999999996</v>
      </c>
      <c r="AB4819" s="1">
        <v>22.475339999999999</v>
      </c>
      <c r="AD4819" s="1">
        <v>2.0499999999999998</v>
      </c>
      <c r="AE4819" s="1">
        <v>8.14</v>
      </c>
      <c r="AK4819" s="1">
        <v>49.72</v>
      </c>
      <c r="AL4819" s="1">
        <v>1067.9749999999999</v>
      </c>
    </row>
    <row r="4820" spans="1:91" x14ac:dyDescent="0.3">
      <c r="A4820" s="1">
        <v>89322</v>
      </c>
      <c r="B4820" s="1" t="s">
        <v>293</v>
      </c>
      <c r="C4820" s="1" t="s">
        <v>294</v>
      </c>
      <c r="D4820" s="2">
        <f t="shared" si="258"/>
        <v>2021</v>
      </c>
      <c r="E4820" s="2">
        <f t="shared" si="259"/>
        <v>8</v>
      </c>
      <c r="G4820" s="4">
        <v>44410</v>
      </c>
      <c r="H4820" s="1">
        <v>6594092</v>
      </c>
      <c r="I4820" s="1">
        <v>661375</v>
      </c>
      <c r="J4820" s="1" t="s">
        <v>193</v>
      </c>
      <c r="K4820" s="1"/>
      <c r="L4820" s="1" t="str">
        <f t="shared" si="260"/>
        <v xml:space="preserve">Översjön </v>
      </c>
      <c r="M4820" s="1" t="s">
        <v>211</v>
      </c>
      <c r="N4820" s="1">
        <v>1</v>
      </c>
      <c r="O4820" s="1">
        <v>1</v>
      </c>
      <c r="Q4820" s="1">
        <v>21.1</v>
      </c>
      <c r="R4820" s="1">
        <v>8.5</v>
      </c>
      <c r="S4820" s="1">
        <v>96</v>
      </c>
    </row>
    <row r="4821" spans="1:91" x14ac:dyDescent="0.3">
      <c r="A4821" s="1">
        <v>89323</v>
      </c>
      <c r="B4821" s="1" t="s">
        <v>293</v>
      </c>
      <c r="C4821" s="1" t="s">
        <v>294</v>
      </c>
      <c r="D4821" s="2">
        <f t="shared" si="258"/>
        <v>2021</v>
      </c>
      <c r="E4821" s="2">
        <f t="shared" si="259"/>
        <v>8</v>
      </c>
      <c r="G4821" s="4">
        <v>44410</v>
      </c>
      <c r="H4821" s="1">
        <v>6594092</v>
      </c>
      <c r="I4821" s="1">
        <v>661375</v>
      </c>
      <c r="J4821" s="1" t="s">
        <v>193</v>
      </c>
      <c r="K4821" s="1"/>
      <c r="L4821" s="1" t="str">
        <f t="shared" si="260"/>
        <v xml:space="preserve">Översjön </v>
      </c>
      <c r="M4821" s="1" t="s">
        <v>212</v>
      </c>
      <c r="N4821" s="1">
        <v>2</v>
      </c>
      <c r="O4821" s="1">
        <v>2</v>
      </c>
      <c r="Q4821" s="1">
        <v>21</v>
      </c>
      <c r="R4821" s="1">
        <v>8.1</v>
      </c>
      <c r="S4821" s="1">
        <v>91</v>
      </c>
    </row>
    <row r="4822" spans="1:91" x14ac:dyDescent="0.3">
      <c r="A4822" s="1">
        <v>89324</v>
      </c>
      <c r="B4822" s="1" t="s">
        <v>293</v>
      </c>
      <c r="C4822" s="1" t="s">
        <v>294</v>
      </c>
      <c r="D4822" s="2">
        <f t="shared" si="258"/>
        <v>2021</v>
      </c>
      <c r="E4822" s="2">
        <f t="shared" si="259"/>
        <v>8</v>
      </c>
      <c r="G4822" s="4">
        <v>44410</v>
      </c>
      <c r="H4822" s="1">
        <v>6594092</v>
      </c>
      <c r="I4822" s="1">
        <v>661375</v>
      </c>
      <c r="J4822" s="1" t="s">
        <v>193</v>
      </c>
      <c r="K4822" s="1"/>
      <c r="L4822" s="1" t="str">
        <f t="shared" si="260"/>
        <v xml:space="preserve">Översjön </v>
      </c>
      <c r="M4822" s="1" t="s">
        <v>213</v>
      </c>
      <c r="N4822" s="1">
        <v>3</v>
      </c>
      <c r="O4822" s="1">
        <v>3</v>
      </c>
      <c r="Q4822" s="1">
        <v>20.8</v>
      </c>
      <c r="R4822" s="1">
        <v>7.3</v>
      </c>
      <c r="S4822" s="1">
        <v>82</v>
      </c>
    </row>
    <row r="4823" spans="1:91" x14ac:dyDescent="0.3">
      <c r="A4823" s="1">
        <v>89325</v>
      </c>
      <c r="B4823" s="1" t="s">
        <v>293</v>
      </c>
      <c r="C4823" s="1" t="s">
        <v>294</v>
      </c>
      <c r="D4823" s="2">
        <f t="shared" si="258"/>
        <v>2021</v>
      </c>
      <c r="E4823" s="2">
        <f t="shared" si="259"/>
        <v>8</v>
      </c>
      <c r="G4823" s="4">
        <v>44410</v>
      </c>
      <c r="H4823" s="1">
        <v>6594092</v>
      </c>
      <c r="I4823" s="1">
        <v>661375</v>
      </c>
      <c r="J4823" s="1" t="s">
        <v>193</v>
      </c>
      <c r="K4823" s="1"/>
      <c r="L4823" s="1" t="str">
        <f t="shared" si="260"/>
        <v xml:space="preserve">Översjön </v>
      </c>
      <c r="M4823" s="1" t="s">
        <v>286</v>
      </c>
      <c r="N4823" s="1">
        <v>4</v>
      </c>
      <c r="O4823" s="1">
        <v>4</v>
      </c>
      <c r="Q4823" s="1">
        <v>20.8</v>
      </c>
      <c r="R4823" s="1">
        <v>7</v>
      </c>
      <c r="S4823" s="1">
        <v>78</v>
      </c>
      <c r="V4823" s="1">
        <v>1.9054809917</v>
      </c>
      <c r="W4823" s="1">
        <v>8.6030999999999995</v>
      </c>
      <c r="X4823" s="1">
        <v>0.42227317821930022</v>
      </c>
      <c r="Y4823" s="1">
        <v>0.06</v>
      </c>
      <c r="Z4823" s="1">
        <v>2.04</v>
      </c>
      <c r="AA4823" s="1">
        <v>6.2</v>
      </c>
      <c r="AD4823" s="1">
        <v>1.44</v>
      </c>
      <c r="AE4823" s="1">
        <v>8.09</v>
      </c>
      <c r="AK4823" s="1">
        <v>49.7</v>
      </c>
      <c r="AL4823" s="1">
        <v>1057.855</v>
      </c>
    </row>
    <row r="4824" spans="1:91" x14ac:dyDescent="0.3">
      <c r="A4824" s="1">
        <v>89326</v>
      </c>
      <c r="B4824" s="1" t="s">
        <v>293</v>
      </c>
      <c r="C4824" s="1" t="s">
        <v>294</v>
      </c>
      <c r="D4824" s="2">
        <f t="shared" si="258"/>
        <v>2021</v>
      </c>
      <c r="E4824" s="2">
        <f t="shared" si="259"/>
        <v>8</v>
      </c>
      <c r="G4824" s="4">
        <v>44410</v>
      </c>
      <c r="H4824" s="1">
        <v>6593594</v>
      </c>
      <c r="I4824" s="1">
        <v>669799</v>
      </c>
      <c r="J4824" s="1" t="s">
        <v>189</v>
      </c>
      <c r="K4824" s="1"/>
      <c r="L4824" s="1" t="str">
        <f t="shared" si="260"/>
        <v xml:space="preserve">Rösjön </v>
      </c>
      <c r="M4824" s="1" t="s">
        <v>285</v>
      </c>
      <c r="N4824" s="1">
        <v>0.5</v>
      </c>
      <c r="O4824" s="1">
        <v>0.5</v>
      </c>
      <c r="P4824" s="1">
        <v>5.6</v>
      </c>
      <c r="Q4824" s="1">
        <v>22.2</v>
      </c>
      <c r="R4824" s="1">
        <v>8</v>
      </c>
      <c r="S4824" s="1">
        <v>91</v>
      </c>
      <c r="V4824" s="1">
        <v>1.6419570247999999</v>
      </c>
      <c r="W4824" s="1">
        <v>12.5566</v>
      </c>
      <c r="X4824" s="1">
        <v>0.6934544329359299</v>
      </c>
      <c r="Y4824" s="1">
        <v>4.2000000000000003E-2</v>
      </c>
      <c r="Z4824" s="1">
        <v>0.33</v>
      </c>
      <c r="AA4824" s="1">
        <v>0.94</v>
      </c>
      <c r="AB4824" s="1">
        <v>2.5663499999999999</v>
      </c>
      <c r="AD4824" s="1">
        <v>2.33</v>
      </c>
      <c r="AE4824" s="1">
        <v>8.1</v>
      </c>
      <c r="AI4824" s="1">
        <v>10.220000000000001</v>
      </c>
      <c r="AJ4824" s="1">
        <v>9.06</v>
      </c>
      <c r="AK4824" s="1">
        <v>16.690000000000001</v>
      </c>
      <c r="AL4824" s="1">
        <v>574.98500000000001</v>
      </c>
      <c r="AR4824" s="1">
        <v>31.8</v>
      </c>
      <c r="AS4824" s="1">
        <v>1.32E-2</v>
      </c>
      <c r="AT4824" s="1">
        <v>2.39</v>
      </c>
      <c r="AU4824" s="1">
        <v>4.4400000000000004</v>
      </c>
      <c r="AW4824" s="1">
        <v>16.8</v>
      </c>
      <c r="AY4824" s="1">
        <v>0.44400000000000001</v>
      </c>
      <c r="AZ4824" s="1">
        <v>8.36</v>
      </c>
      <c r="BA4824" s="1">
        <v>1.07</v>
      </c>
      <c r="BB4824" s="1">
        <v>18.600000000000001</v>
      </c>
      <c r="BC4824" s="1">
        <v>1E-3</v>
      </c>
      <c r="BD4824" s="1">
        <v>2.3900000000000001E-2</v>
      </c>
      <c r="BE4824" s="1">
        <v>2.52E-2</v>
      </c>
      <c r="BF4824" s="1">
        <v>0.89</v>
      </c>
      <c r="BG4824" s="1">
        <v>1E-3</v>
      </c>
      <c r="BH4824" s="1">
        <v>4.1500000000000004</v>
      </c>
      <c r="BI4824" s="1">
        <v>0.76300000000000001</v>
      </c>
      <c r="BJ4824" s="1">
        <v>0.56399999999999895</v>
      </c>
      <c r="BK4824" s="1">
        <v>12.4</v>
      </c>
      <c r="BL4824" s="1">
        <v>2.23E-2</v>
      </c>
      <c r="BM4824" s="1">
        <v>81.099999999999895</v>
      </c>
      <c r="BN4824" s="1">
        <v>0.34100000000000003</v>
      </c>
      <c r="BO4824" s="1">
        <v>0.54400000000000004</v>
      </c>
      <c r="BQ4824" s="1">
        <v>3.95</v>
      </c>
      <c r="BR4824" s="1">
        <v>1E-3</v>
      </c>
      <c r="BS4824" s="1">
        <v>1.6199999999999899E-2</v>
      </c>
      <c r="BT4824" s="1">
        <v>4.9500000000000002E-2</v>
      </c>
      <c r="BU4824" s="1">
        <v>0.877</v>
      </c>
      <c r="BV4824" s="1">
        <v>0.47</v>
      </c>
      <c r="BW4824" s="1">
        <v>0.60599999999999898</v>
      </c>
      <c r="BX4824" s="1">
        <v>1.34E-2</v>
      </c>
      <c r="BY4824" s="1">
        <v>0.61799999999999899</v>
      </c>
      <c r="BZ4824" s="1">
        <v>32.299999999999898</v>
      </c>
      <c r="CA4824" s="1">
        <v>4.49</v>
      </c>
      <c r="CC4824" s="1">
        <v>7.9799999999999906E-3</v>
      </c>
      <c r="CD4824" s="1">
        <v>2.42</v>
      </c>
      <c r="CE4824" s="1">
        <v>16.899999999999899</v>
      </c>
      <c r="CF4824" s="1">
        <v>0.42399999999999899</v>
      </c>
      <c r="CG4824" s="1">
        <v>1.05</v>
      </c>
      <c r="CH4824" s="1">
        <v>18.5</v>
      </c>
      <c r="CI4824" s="1">
        <v>1E-3</v>
      </c>
      <c r="CJ4824" s="1">
        <v>0.76400000000000001</v>
      </c>
      <c r="CK4824" s="1">
        <v>10.7</v>
      </c>
      <c r="CL4824" s="1">
        <v>0.32</v>
      </c>
      <c r="CM4824" s="1">
        <v>82.1</v>
      </c>
    </row>
    <row r="4825" spans="1:91" x14ac:dyDescent="0.3">
      <c r="A4825" s="1">
        <v>89327</v>
      </c>
      <c r="B4825" s="1" t="s">
        <v>293</v>
      </c>
      <c r="C4825" s="1" t="s">
        <v>294</v>
      </c>
      <c r="D4825" s="2">
        <f t="shared" si="258"/>
        <v>2021</v>
      </c>
      <c r="E4825" s="2">
        <f t="shared" si="259"/>
        <v>8</v>
      </c>
      <c r="G4825" s="4">
        <v>44410</v>
      </c>
      <c r="H4825" s="1">
        <v>6593594</v>
      </c>
      <c r="I4825" s="1">
        <v>669799</v>
      </c>
      <c r="J4825" s="1" t="s">
        <v>189</v>
      </c>
      <c r="K4825" s="1"/>
      <c r="L4825" s="1" t="str">
        <f t="shared" si="260"/>
        <v xml:space="preserve">Rösjön </v>
      </c>
      <c r="M4825" s="1" t="s">
        <v>211</v>
      </c>
      <c r="N4825" s="1">
        <v>1</v>
      </c>
      <c r="O4825" s="1">
        <v>1</v>
      </c>
      <c r="Q4825" s="1">
        <v>22.2</v>
      </c>
      <c r="R4825" s="1">
        <v>8</v>
      </c>
      <c r="S4825" s="1">
        <v>91</v>
      </c>
    </row>
    <row r="4826" spans="1:91" x14ac:dyDescent="0.3">
      <c r="A4826" s="1">
        <v>89328</v>
      </c>
      <c r="B4826" s="1" t="s">
        <v>293</v>
      </c>
      <c r="C4826" s="1" t="s">
        <v>294</v>
      </c>
      <c r="D4826" s="2">
        <f t="shared" si="258"/>
        <v>2021</v>
      </c>
      <c r="E4826" s="2">
        <f t="shared" si="259"/>
        <v>8</v>
      </c>
      <c r="G4826" s="4">
        <v>44410</v>
      </c>
      <c r="H4826" s="1">
        <v>6593594</v>
      </c>
      <c r="I4826" s="1">
        <v>669799</v>
      </c>
      <c r="J4826" s="1" t="s">
        <v>189</v>
      </c>
      <c r="K4826" s="1"/>
      <c r="L4826" s="1" t="str">
        <f t="shared" si="260"/>
        <v xml:space="preserve">Rösjön </v>
      </c>
      <c r="M4826" s="1" t="s">
        <v>212</v>
      </c>
      <c r="N4826" s="1">
        <v>2</v>
      </c>
      <c r="O4826" s="1">
        <v>2</v>
      </c>
      <c r="Q4826" s="1">
        <v>22.2</v>
      </c>
      <c r="R4826" s="1">
        <v>8</v>
      </c>
      <c r="S4826" s="1">
        <v>91</v>
      </c>
    </row>
    <row r="4827" spans="1:91" x14ac:dyDescent="0.3">
      <c r="A4827" s="1">
        <v>89329</v>
      </c>
      <c r="B4827" s="1" t="s">
        <v>293</v>
      </c>
      <c r="C4827" s="1" t="s">
        <v>294</v>
      </c>
      <c r="D4827" s="2">
        <f t="shared" si="258"/>
        <v>2021</v>
      </c>
      <c r="E4827" s="2">
        <f t="shared" si="259"/>
        <v>8</v>
      </c>
      <c r="G4827" s="4">
        <v>44410</v>
      </c>
      <c r="H4827" s="1">
        <v>6593594</v>
      </c>
      <c r="I4827" s="1">
        <v>669799</v>
      </c>
      <c r="J4827" s="1" t="s">
        <v>189</v>
      </c>
      <c r="K4827" s="1"/>
      <c r="L4827" s="1" t="str">
        <f t="shared" si="260"/>
        <v xml:space="preserve">Rösjön </v>
      </c>
      <c r="M4827" s="1" t="s">
        <v>213</v>
      </c>
      <c r="N4827" s="1">
        <v>3</v>
      </c>
      <c r="O4827" s="1">
        <v>3</v>
      </c>
      <c r="Q4827" s="1">
        <v>22.2</v>
      </c>
      <c r="R4827" s="1">
        <v>7.9</v>
      </c>
      <c r="S4827" s="1">
        <v>91</v>
      </c>
    </row>
    <row r="4828" spans="1:91" x14ac:dyDescent="0.3">
      <c r="A4828" s="1">
        <v>89330</v>
      </c>
      <c r="B4828" s="1" t="s">
        <v>293</v>
      </c>
      <c r="C4828" s="1" t="s">
        <v>294</v>
      </c>
      <c r="D4828" s="2">
        <f t="shared" si="258"/>
        <v>2021</v>
      </c>
      <c r="E4828" s="2">
        <f t="shared" si="259"/>
        <v>8</v>
      </c>
      <c r="G4828" s="4">
        <v>44410</v>
      </c>
      <c r="H4828" s="1">
        <v>6593594</v>
      </c>
      <c r="I4828" s="1">
        <v>669799</v>
      </c>
      <c r="J4828" s="1" t="s">
        <v>189</v>
      </c>
      <c r="K4828" s="1"/>
      <c r="L4828" s="1" t="str">
        <f t="shared" si="260"/>
        <v xml:space="preserve">Rösjön </v>
      </c>
      <c r="M4828" s="1" t="s">
        <v>214</v>
      </c>
      <c r="N4828" s="1">
        <v>4</v>
      </c>
      <c r="O4828" s="1">
        <v>4</v>
      </c>
      <c r="Q4828" s="1">
        <v>22.1</v>
      </c>
      <c r="R4828" s="1">
        <v>7.6</v>
      </c>
      <c r="S4828" s="1">
        <v>87</v>
      </c>
    </row>
    <row r="4829" spans="1:91" x14ac:dyDescent="0.3">
      <c r="A4829" s="1">
        <v>89331</v>
      </c>
      <c r="B4829" s="1" t="s">
        <v>293</v>
      </c>
      <c r="C4829" s="1" t="s">
        <v>294</v>
      </c>
      <c r="D4829" s="2">
        <f t="shared" si="258"/>
        <v>2021</v>
      </c>
      <c r="E4829" s="2">
        <f t="shared" si="259"/>
        <v>8</v>
      </c>
      <c r="G4829" s="4">
        <v>44410</v>
      </c>
      <c r="H4829" s="1">
        <v>6593594</v>
      </c>
      <c r="I4829" s="1">
        <v>669799</v>
      </c>
      <c r="J4829" s="1" t="s">
        <v>189</v>
      </c>
      <c r="K4829" s="1"/>
      <c r="L4829" s="1" t="str">
        <f t="shared" si="260"/>
        <v xml:space="preserve">Rösjön </v>
      </c>
      <c r="M4829" s="1" t="s">
        <v>217</v>
      </c>
      <c r="N4829" s="1">
        <v>5</v>
      </c>
      <c r="O4829" s="1">
        <v>5</v>
      </c>
      <c r="Q4829" s="1">
        <v>18</v>
      </c>
      <c r="R4829" s="1">
        <v>0.8</v>
      </c>
      <c r="S4829" s="1">
        <v>8</v>
      </c>
    </row>
    <row r="4830" spans="1:91" x14ac:dyDescent="0.3">
      <c r="A4830" s="1">
        <v>89332</v>
      </c>
      <c r="B4830" s="1" t="s">
        <v>293</v>
      </c>
      <c r="C4830" s="1" t="s">
        <v>294</v>
      </c>
      <c r="D4830" s="2">
        <f t="shared" si="258"/>
        <v>2021</v>
      </c>
      <c r="E4830" s="2">
        <f t="shared" si="259"/>
        <v>8</v>
      </c>
      <c r="G4830" s="4">
        <v>44410</v>
      </c>
      <c r="H4830" s="1">
        <v>6593594</v>
      </c>
      <c r="I4830" s="1">
        <v>669799</v>
      </c>
      <c r="J4830" s="1" t="s">
        <v>189</v>
      </c>
      <c r="K4830" s="1"/>
      <c r="L4830" s="1" t="str">
        <f t="shared" si="260"/>
        <v xml:space="preserve">Rösjön </v>
      </c>
      <c r="M4830" s="1" t="s">
        <v>218</v>
      </c>
      <c r="N4830" s="1">
        <v>6</v>
      </c>
      <c r="O4830" s="1">
        <v>6</v>
      </c>
      <c r="Q4830" s="1">
        <v>14.6</v>
      </c>
      <c r="R4830" s="1">
        <v>0.1</v>
      </c>
      <c r="S4830" s="1">
        <v>1</v>
      </c>
    </row>
    <row r="4831" spans="1:91" x14ac:dyDescent="0.3">
      <c r="A4831" s="1">
        <v>89333</v>
      </c>
      <c r="B4831" s="1" t="s">
        <v>293</v>
      </c>
      <c r="C4831" s="1" t="s">
        <v>294</v>
      </c>
      <c r="D4831" s="2">
        <f t="shared" si="258"/>
        <v>2021</v>
      </c>
      <c r="E4831" s="2">
        <f t="shared" si="259"/>
        <v>8</v>
      </c>
      <c r="G4831" s="4">
        <v>44410</v>
      </c>
      <c r="H4831" s="1">
        <v>6593594</v>
      </c>
      <c r="I4831" s="1">
        <v>669799</v>
      </c>
      <c r="J4831" s="1" t="s">
        <v>189</v>
      </c>
      <c r="K4831" s="1"/>
      <c r="L4831" s="1" t="str">
        <f t="shared" si="260"/>
        <v xml:space="preserve">Rösjön </v>
      </c>
      <c r="M4831" s="1" t="s">
        <v>286</v>
      </c>
      <c r="N4831" s="1">
        <v>7</v>
      </c>
      <c r="O4831" s="1">
        <v>7</v>
      </c>
      <c r="Q4831" s="1">
        <v>14.1</v>
      </c>
      <c r="R4831" s="1">
        <v>0.1</v>
      </c>
      <c r="S4831" s="1">
        <v>1</v>
      </c>
      <c r="V4831" s="1">
        <v>1.8243966942000001</v>
      </c>
      <c r="W4831" s="1">
        <v>2.3826000000000001</v>
      </c>
      <c r="X4831" s="1">
        <v>1.90434639885083E-2</v>
      </c>
      <c r="Y4831" s="1">
        <v>5.8000000000000003E-2</v>
      </c>
      <c r="Z4831" s="1">
        <v>32.29</v>
      </c>
      <c r="AA4831" s="1">
        <v>6.3</v>
      </c>
      <c r="AD4831" s="1">
        <v>1.55</v>
      </c>
      <c r="AE4831" s="1">
        <v>7.5</v>
      </c>
      <c r="AK4831" s="1">
        <v>191.21</v>
      </c>
      <c r="AL4831" s="1">
        <v>977.65499999999997</v>
      </c>
    </row>
    <row r="4832" spans="1:91" x14ac:dyDescent="0.3">
      <c r="A4832" s="1">
        <v>89334</v>
      </c>
      <c r="B4832" s="1" t="s">
        <v>293</v>
      </c>
      <c r="C4832" s="1" t="s">
        <v>294</v>
      </c>
      <c r="D4832" s="2">
        <f t="shared" si="258"/>
        <v>2021</v>
      </c>
      <c r="E4832" s="2">
        <f t="shared" si="259"/>
        <v>8</v>
      </c>
      <c r="G4832" s="4">
        <v>44410</v>
      </c>
      <c r="H4832" s="1">
        <v>6594739</v>
      </c>
      <c r="I4832" s="1">
        <v>668531</v>
      </c>
      <c r="J4832" s="1" t="s">
        <v>192</v>
      </c>
      <c r="K4832" s="1"/>
      <c r="L4832" s="1" t="str">
        <f t="shared" si="260"/>
        <v xml:space="preserve">Väsjön </v>
      </c>
      <c r="M4832" s="1" t="s">
        <v>285</v>
      </c>
      <c r="N4832" s="1">
        <v>0.5</v>
      </c>
      <c r="O4832" s="1">
        <v>0.5</v>
      </c>
      <c r="P4832" s="1">
        <v>2.4</v>
      </c>
      <c r="Q4832" s="1">
        <v>21.4</v>
      </c>
      <c r="R4832" s="1">
        <v>7.4</v>
      </c>
      <c r="S4832" s="1">
        <v>84</v>
      </c>
      <c r="V4832" s="1">
        <v>2.7568661156999998</v>
      </c>
      <c r="W4832" s="1">
        <v>3.7995000000000001</v>
      </c>
      <c r="X4832" s="1">
        <v>0.17420375570012089</v>
      </c>
      <c r="Y4832" s="1">
        <v>0.06</v>
      </c>
      <c r="Z4832" s="1">
        <v>0</v>
      </c>
      <c r="AA4832" s="1">
        <v>1.95</v>
      </c>
      <c r="AB4832" s="1">
        <v>5.2240500000000001</v>
      </c>
      <c r="AD4832" s="1">
        <v>1.86</v>
      </c>
      <c r="AE4832" s="1">
        <v>8.0399999999999991</v>
      </c>
      <c r="AI4832" s="1">
        <v>12.76</v>
      </c>
      <c r="AJ4832" s="1">
        <v>11.462999999999999</v>
      </c>
      <c r="AK4832" s="1">
        <v>19.52</v>
      </c>
      <c r="AL4832" s="1">
        <v>619.755</v>
      </c>
      <c r="AR4832" s="1">
        <v>59.6</v>
      </c>
      <c r="AS4832" s="1">
        <v>6.94E-3</v>
      </c>
      <c r="AT4832" s="1">
        <v>7.62</v>
      </c>
      <c r="AU4832" s="1">
        <v>7.66</v>
      </c>
      <c r="AW4832" s="1">
        <v>37.700000000000003</v>
      </c>
      <c r="AY4832" s="1">
        <v>0.39</v>
      </c>
      <c r="AZ4832" s="1">
        <v>7.65</v>
      </c>
      <c r="BA4832" s="1">
        <v>1.1200000000000001</v>
      </c>
      <c r="BB4832" s="1">
        <v>39.6</v>
      </c>
      <c r="BC4832" s="1">
        <v>1E-3</v>
      </c>
      <c r="BD4832" s="1">
        <v>3.1099999999999899E-2</v>
      </c>
      <c r="BE4832" s="1">
        <v>6.8400000000000002E-2</v>
      </c>
      <c r="BF4832" s="1">
        <v>0.56100000000000005</v>
      </c>
      <c r="BG4832" s="1">
        <v>1E-3</v>
      </c>
      <c r="BH4832" s="1">
        <v>5.75</v>
      </c>
      <c r="BI4832" s="1">
        <v>4.25</v>
      </c>
      <c r="BJ4832" s="1">
        <v>0.69099999999999895</v>
      </c>
      <c r="BK4832" s="1">
        <v>10.5</v>
      </c>
      <c r="BL4832" s="1">
        <v>1.2999999999999901E-2</v>
      </c>
      <c r="BM4832" s="1">
        <v>171</v>
      </c>
      <c r="BN4832" s="1">
        <v>0.59</v>
      </c>
      <c r="BO4832" s="1">
        <v>0.93400000000000005</v>
      </c>
      <c r="BQ4832" s="1">
        <v>3.93</v>
      </c>
      <c r="BR4832" s="1">
        <v>1E-3</v>
      </c>
      <c r="BS4832" s="1">
        <v>3.0499999999999899E-2</v>
      </c>
      <c r="BT4832" s="1">
        <v>7.5999999999999901E-2</v>
      </c>
      <c r="BU4832" s="1">
        <v>0.501</v>
      </c>
      <c r="BV4832" s="1">
        <v>0.17899999999999899</v>
      </c>
      <c r="BW4832" s="1">
        <v>0.73899999999999899</v>
      </c>
      <c r="BX4832" s="1">
        <v>5.0000000000000001E-3</v>
      </c>
      <c r="BY4832" s="1">
        <v>0.45</v>
      </c>
      <c r="BZ4832" s="1">
        <v>61.7</v>
      </c>
      <c r="CA4832" s="1">
        <v>7.9</v>
      </c>
      <c r="CC4832" s="1">
        <v>2.48E-3</v>
      </c>
      <c r="CD4832" s="1">
        <v>7.89</v>
      </c>
      <c r="CE4832" s="1">
        <v>39.200000000000003</v>
      </c>
      <c r="CF4832" s="1">
        <v>0.39</v>
      </c>
      <c r="CG4832" s="1">
        <v>1.1399999999999899</v>
      </c>
      <c r="CH4832" s="1">
        <v>40.200000000000003</v>
      </c>
      <c r="CI4832" s="1">
        <v>1E-3</v>
      </c>
      <c r="CJ4832" s="1">
        <v>4.46</v>
      </c>
      <c r="CK4832" s="1">
        <v>7.14</v>
      </c>
      <c r="CL4832" s="1">
        <v>0.56699999999999895</v>
      </c>
      <c r="CM4832" s="1">
        <v>176</v>
      </c>
    </row>
    <row r="4833" spans="1:50" x14ac:dyDescent="0.3">
      <c r="A4833" s="1">
        <v>89335</v>
      </c>
      <c r="B4833" s="1" t="s">
        <v>293</v>
      </c>
      <c r="C4833" s="1" t="s">
        <v>294</v>
      </c>
      <c r="D4833" s="2">
        <f t="shared" si="258"/>
        <v>2021</v>
      </c>
      <c r="E4833" s="2">
        <f t="shared" si="259"/>
        <v>8</v>
      </c>
      <c r="G4833" s="4">
        <v>44410</v>
      </c>
      <c r="H4833" s="1">
        <v>6594739</v>
      </c>
      <c r="I4833" s="1">
        <v>668531</v>
      </c>
      <c r="J4833" s="1" t="s">
        <v>192</v>
      </c>
      <c r="K4833" s="1"/>
      <c r="L4833" s="1" t="str">
        <f t="shared" si="260"/>
        <v xml:space="preserve">Väsjön </v>
      </c>
      <c r="M4833" s="1" t="s">
        <v>211</v>
      </c>
      <c r="N4833" s="1">
        <v>1</v>
      </c>
      <c r="O4833" s="1">
        <v>1</v>
      </c>
      <c r="Q4833" s="1">
        <v>21.4</v>
      </c>
      <c r="R4833" s="1">
        <v>7.4</v>
      </c>
      <c r="S4833" s="1">
        <v>84</v>
      </c>
    </row>
    <row r="4834" spans="1:50" x14ac:dyDescent="0.3">
      <c r="A4834" s="1">
        <v>89336</v>
      </c>
      <c r="B4834" s="1" t="s">
        <v>293</v>
      </c>
      <c r="C4834" s="1" t="s">
        <v>294</v>
      </c>
      <c r="D4834" s="2">
        <f t="shared" si="258"/>
        <v>2021</v>
      </c>
      <c r="E4834" s="2">
        <f t="shared" si="259"/>
        <v>8</v>
      </c>
      <c r="G4834" s="4">
        <v>44410</v>
      </c>
      <c r="H4834" s="1">
        <v>6594739</v>
      </c>
      <c r="I4834" s="1">
        <v>668531</v>
      </c>
      <c r="J4834" s="1" t="s">
        <v>192</v>
      </c>
      <c r="K4834" s="1"/>
      <c r="L4834" s="1" t="str">
        <f t="shared" si="260"/>
        <v xml:space="preserve">Väsjön </v>
      </c>
      <c r="M4834" s="1" t="s">
        <v>212</v>
      </c>
      <c r="N4834" s="1">
        <v>2</v>
      </c>
      <c r="O4834" s="1">
        <v>2</v>
      </c>
      <c r="Q4834" s="1">
        <v>21.2</v>
      </c>
      <c r="R4834" s="1">
        <v>7.4</v>
      </c>
      <c r="S4834" s="1">
        <v>84</v>
      </c>
    </row>
    <row r="4835" spans="1:50" x14ac:dyDescent="0.3">
      <c r="A4835" s="1">
        <v>89337</v>
      </c>
      <c r="B4835" s="1" t="s">
        <v>293</v>
      </c>
      <c r="C4835" s="1" t="s">
        <v>294</v>
      </c>
      <c r="D4835" s="2">
        <f t="shared" si="258"/>
        <v>2021</v>
      </c>
      <c r="E4835" s="2">
        <f t="shared" si="259"/>
        <v>8</v>
      </c>
      <c r="G4835" s="4">
        <v>44410</v>
      </c>
      <c r="H4835" s="1">
        <v>6594739</v>
      </c>
      <c r="I4835" s="1">
        <v>668531</v>
      </c>
      <c r="J4835" s="1" t="s">
        <v>192</v>
      </c>
      <c r="K4835" s="1"/>
      <c r="L4835" s="1" t="str">
        <f t="shared" si="260"/>
        <v xml:space="preserve">Väsjön </v>
      </c>
      <c r="M4835" s="1" t="s">
        <v>286</v>
      </c>
      <c r="N4835" s="1">
        <v>2.5</v>
      </c>
      <c r="O4835" s="1">
        <v>2.5</v>
      </c>
      <c r="Q4835" s="1">
        <v>21</v>
      </c>
      <c r="R4835" s="1">
        <v>0.3</v>
      </c>
      <c r="S4835" s="1">
        <v>3</v>
      </c>
      <c r="V4835" s="1">
        <v>2.8176793388000001</v>
      </c>
      <c r="W4835" s="1">
        <v>1.6600999999999999</v>
      </c>
      <c r="X4835" s="1">
        <v>7.5679995046985096E-2</v>
      </c>
      <c r="Y4835" s="1">
        <v>6.4000000000000001E-2</v>
      </c>
      <c r="Z4835" s="1">
        <v>0.26</v>
      </c>
      <c r="AA4835" s="1">
        <v>1.65</v>
      </c>
      <c r="AD4835" s="1">
        <v>0.5</v>
      </c>
      <c r="AE4835" s="1">
        <v>8.0500000000000007</v>
      </c>
      <c r="AK4835" s="1">
        <v>16.8</v>
      </c>
      <c r="AL4835" s="1">
        <v>734.94500000000005</v>
      </c>
    </row>
    <row r="4836" spans="1:50" x14ac:dyDescent="0.3">
      <c r="A4836" s="1">
        <v>89338</v>
      </c>
      <c r="B4836" s="1" t="s">
        <v>293</v>
      </c>
      <c r="C4836" s="1" t="s">
        <v>294</v>
      </c>
      <c r="D4836" s="2">
        <f t="shared" si="258"/>
        <v>2021</v>
      </c>
      <c r="E4836" s="2">
        <f t="shared" si="259"/>
        <v>8</v>
      </c>
      <c r="G4836" s="4">
        <v>44410</v>
      </c>
      <c r="H4836" s="1">
        <v>6595222</v>
      </c>
      <c r="I4836" s="1">
        <v>667935</v>
      </c>
      <c r="J4836" s="1" t="s">
        <v>190</v>
      </c>
      <c r="K4836" s="1"/>
      <c r="L4836" s="1" t="str">
        <f t="shared" si="260"/>
        <v xml:space="preserve">Snuggan </v>
      </c>
      <c r="M4836" s="1" t="s">
        <v>285</v>
      </c>
      <c r="N4836" s="1">
        <v>0.5</v>
      </c>
      <c r="O4836" s="1">
        <v>0.5</v>
      </c>
      <c r="P4836" s="1">
        <v>0.8</v>
      </c>
      <c r="Q4836" s="1">
        <v>21.6</v>
      </c>
      <c r="R4836" s="1">
        <v>9.6</v>
      </c>
      <c r="S4836" s="1">
        <v>109</v>
      </c>
      <c r="V4836" s="1">
        <v>3.6337777777999999E-2</v>
      </c>
      <c r="W4836" s="1">
        <v>4.9154999999999998</v>
      </c>
      <c r="X4836" s="1">
        <v>1.3166009463789999E-3</v>
      </c>
      <c r="Y4836" s="1">
        <v>0.73199999999999998</v>
      </c>
      <c r="Z4836" s="1">
        <v>0.5</v>
      </c>
      <c r="AA4836" s="1">
        <v>2.5</v>
      </c>
      <c r="AB4836" s="1">
        <v>195.5385</v>
      </c>
      <c r="AD4836" s="1">
        <v>0.81</v>
      </c>
      <c r="AE4836" s="1">
        <v>5.78</v>
      </c>
      <c r="AI4836" s="1">
        <v>43.53</v>
      </c>
      <c r="AK4836" s="1">
        <v>55.67</v>
      </c>
      <c r="AL4836" s="1">
        <v>1872.7349999999999</v>
      </c>
      <c r="AR4836" s="1">
        <v>4.1399999999999899</v>
      </c>
      <c r="AT4836" s="1">
        <v>0.64100000000000001</v>
      </c>
      <c r="AU4836" s="1">
        <v>0.998</v>
      </c>
      <c r="AV4836" s="1">
        <v>7.88</v>
      </c>
      <c r="AW4836" s="1">
        <v>7.17</v>
      </c>
      <c r="AX4836" s="1">
        <v>2.5</v>
      </c>
    </row>
    <row r="4837" spans="1:50" x14ac:dyDescent="0.3">
      <c r="A4837" s="1">
        <v>89339</v>
      </c>
      <c r="B4837" s="1" t="s">
        <v>293</v>
      </c>
      <c r="C4837" s="1" t="s">
        <v>294</v>
      </c>
      <c r="D4837" s="2">
        <f t="shared" si="258"/>
        <v>2021</v>
      </c>
      <c r="E4837" s="2">
        <f t="shared" si="259"/>
        <v>8</v>
      </c>
      <c r="G4837" s="4">
        <v>44410</v>
      </c>
      <c r="H4837" s="1">
        <v>6595222</v>
      </c>
      <c r="I4837" s="1">
        <v>667935</v>
      </c>
      <c r="J4837" s="1" t="s">
        <v>190</v>
      </c>
      <c r="K4837" s="1"/>
      <c r="L4837" s="1" t="str">
        <f t="shared" si="260"/>
        <v xml:space="preserve">Snuggan </v>
      </c>
      <c r="M4837" s="1" t="s">
        <v>211</v>
      </c>
      <c r="N4837" s="1">
        <v>1</v>
      </c>
      <c r="O4837" s="1">
        <v>1</v>
      </c>
      <c r="Q4837" s="1">
        <v>18.600000000000001</v>
      </c>
      <c r="R4837" s="1">
        <v>7.5</v>
      </c>
      <c r="S4837" s="1">
        <v>80</v>
      </c>
    </row>
    <row r="4838" spans="1:50" x14ac:dyDescent="0.3">
      <c r="A4838" s="1">
        <v>89340</v>
      </c>
      <c r="B4838" s="1" t="s">
        <v>293</v>
      </c>
      <c r="C4838" s="1" t="s">
        <v>294</v>
      </c>
      <c r="D4838" s="2">
        <f t="shared" si="258"/>
        <v>2021</v>
      </c>
      <c r="E4838" s="2">
        <f t="shared" si="259"/>
        <v>8</v>
      </c>
      <c r="G4838" s="4">
        <v>44410</v>
      </c>
      <c r="H4838" s="1">
        <v>6595222</v>
      </c>
      <c r="I4838" s="1">
        <v>667935</v>
      </c>
      <c r="J4838" s="1" t="s">
        <v>190</v>
      </c>
      <c r="K4838" s="1"/>
      <c r="L4838" s="1" t="str">
        <f t="shared" si="260"/>
        <v xml:space="preserve">Snuggan </v>
      </c>
      <c r="M4838" s="1" t="s">
        <v>212</v>
      </c>
      <c r="N4838" s="1">
        <v>2</v>
      </c>
      <c r="O4838" s="1">
        <v>2</v>
      </c>
      <c r="Q4838" s="1">
        <v>13.7</v>
      </c>
      <c r="R4838" s="1">
        <v>0.1</v>
      </c>
      <c r="S4838" s="1">
        <v>1</v>
      </c>
    </row>
    <row r="4839" spans="1:50" x14ac:dyDescent="0.3">
      <c r="A4839" s="1">
        <v>89341</v>
      </c>
      <c r="B4839" s="1" t="s">
        <v>293</v>
      </c>
      <c r="C4839" s="1" t="s">
        <v>294</v>
      </c>
      <c r="D4839" s="2">
        <f t="shared" si="258"/>
        <v>2021</v>
      </c>
      <c r="E4839" s="2">
        <f t="shared" si="259"/>
        <v>8</v>
      </c>
      <c r="G4839" s="4">
        <v>44410</v>
      </c>
      <c r="H4839" s="1">
        <v>6595222</v>
      </c>
      <c r="I4839" s="1">
        <v>667935</v>
      </c>
      <c r="J4839" s="1" t="s">
        <v>190</v>
      </c>
      <c r="K4839" s="1"/>
      <c r="L4839" s="1" t="str">
        <f t="shared" si="260"/>
        <v xml:space="preserve">Snuggan </v>
      </c>
      <c r="M4839" s="1" t="s">
        <v>286</v>
      </c>
      <c r="N4839" s="1">
        <v>3</v>
      </c>
      <c r="O4839" s="1">
        <v>3</v>
      </c>
      <c r="Q4839" s="1">
        <v>11.2</v>
      </c>
      <c r="R4839" s="1">
        <v>0.1</v>
      </c>
      <c r="S4839" s="1">
        <v>1</v>
      </c>
      <c r="V4839" s="1">
        <v>0.14131358024999999</v>
      </c>
      <c r="W4839" s="1">
        <v>61.089500000000001</v>
      </c>
      <c r="X4839" s="1">
        <v>9.0189849388614997E-3</v>
      </c>
      <c r="Y4839" s="1">
        <v>0.98699999999999999</v>
      </c>
      <c r="Z4839" s="1">
        <v>0</v>
      </c>
      <c r="AA4839" s="1">
        <v>3.3</v>
      </c>
      <c r="AD4839" s="1">
        <v>0</v>
      </c>
      <c r="AE4839" s="1">
        <v>5.86</v>
      </c>
      <c r="AI4839" s="1">
        <v>40.54</v>
      </c>
      <c r="AK4839" s="1">
        <v>45.75</v>
      </c>
      <c r="AL4839" s="1">
        <v>1282.9349999999999</v>
      </c>
    </row>
    <row r="4840" spans="1:50" x14ac:dyDescent="0.3">
      <c r="A4840" s="1">
        <v>89342</v>
      </c>
      <c r="B4840" s="1" t="s">
        <v>293</v>
      </c>
      <c r="C4840" s="1" t="s">
        <v>294</v>
      </c>
      <c r="D4840" s="2">
        <f t="shared" si="258"/>
        <v>2021</v>
      </c>
      <c r="E4840" s="2">
        <f t="shared" si="259"/>
        <v>8</v>
      </c>
      <c r="G4840" s="4">
        <v>44410</v>
      </c>
      <c r="H4840" s="1">
        <v>6597388</v>
      </c>
      <c r="I4840" s="1">
        <v>674663</v>
      </c>
      <c r="J4840" s="1" t="s">
        <v>185</v>
      </c>
      <c r="K4840" s="1"/>
      <c r="L4840" s="1" t="str">
        <f t="shared" si="260"/>
        <v xml:space="preserve">Gullsjön </v>
      </c>
      <c r="M4840" s="1" t="s">
        <v>285</v>
      </c>
      <c r="N4840" s="1">
        <v>0.5</v>
      </c>
      <c r="O4840" s="1">
        <v>0.5</v>
      </c>
      <c r="P4840" s="1">
        <v>1.7</v>
      </c>
      <c r="Q4840" s="1">
        <v>20.5</v>
      </c>
      <c r="R4840" s="1">
        <v>5.0999999999999996</v>
      </c>
      <c r="S4840" s="1">
        <v>57</v>
      </c>
      <c r="V4840" s="1">
        <v>1.7433123966999999</v>
      </c>
      <c r="W4840" s="1">
        <v>2.5644</v>
      </c>
      <c r="X4840" s="1">
        <v>2.23099899128348E-2</v>
      </c>
      <c r="Y4840" s="1">
        <v>0.19800000000000001</v>
      </c>
      <c r="Z4840" s="1">
        <v>0</v>
      </c>
      <c r="AA4840" s="1">
        <v>0.8</v>
      </c>
      <c r="AB4840" s="1">
        <v>5.0626800000000003</v>
      </c>
      <c r="AD4840" s="1">
        <v>1.06</v>
      </c>
      <c r="AE4840" s="1">
        <v>7.33</v>
      </c>
      <c r="AK4840" s="1">
        <v>14.66</v>
      </c>
      <c r="AL4840" s="1">
        <v>791.76499999999999</v>
      </c>
    </row>
    <row r="4841" spans="1:50" x14ac:dyDescent="0.3">
      <c r="A4841" s="1">
        <v>89343</v>
      </c>
      <c r="B4841" s="1" t="s">
        <v>293</v>
      </c>
      <c r="C4841" s="1" t="s">
        <v>294</v>
      </c>
      <c r="D4841" s="2">
        <f t="shared" si="258"/>
        <v>2021</v>
      </c>
      <c r="E4841" s="2">
        <f t="shared" si="259"/>
        <v>8</v>
      </c>
      <c r="G4841" s="4">
        <v>44410</v>
      </c>
      <c r="H4841" s="1">
        <v>6597388</v>
      </c>
      <c r="I4841" s="1">
        <v>674663</v>
      </c>
      <c r="J4841" s="1" t="s">
        <v>185</v>
      </c>
      <c r="K4841" s="1"/>
      <c r="L4841" s="1" t="str">
        <f t="shared" si="260"/>
        <v xml:space="preserve">Gullsjön </v>
      </c>
      <c r="M4841" s="1" t="s">
        <v>211</v>
      </c>
      <c r="N4841" s="1">
        <v>1</v>
      </c>
      <c r="O4841" s="1">
        <v>1</v>
      </c>
      <c r="Q4841" s="1">
        <v>20.399999999999999</v>
      </c>
      <c r="R4841" s="1">
        <v>4.5999999999999996</v>
      </c>
      <c r="S4841" s="1">
        <v>51</v>
      </c>
    </row>
    <row r="4842" spans="1:50" x14ac:dyDescent="0.3">
      <c r="A4842" s="1">
        <v>89344</v>
      </c>
      <c r="B4842" s="1" t="s">
        <v>293</v>
      </c>
      <c r="C4842" s="1" t="s">
        <v>294</v>
      </c>
      <c r="D4842" s="2">
        <f t="shared" si="258"/>
        <v>2021</v>
      </c>
      <c r="E4842" s="2">
        <f t="shared" si="259"/>
        <v>8</v>
      </c>
      <c r="G4842" s="4">
        <v>44410</v>
      </c>
      <c r="H4842" s="1">
        <v>6597388</v>
      </c>
      <c r="I4842" s="1">
        <v>674663</v>
      </c>
      <c r="J4842" s="1" t="s">
        <v>185</v>
      </c>
      <c r="K4842" s="1"/>
      <c r="L4842" s="1" t="str">
        <f t="shared" si="260"/>
        <v xml:space="preserve">Gullsjön </v>
      </c>
      <c r="M4842" s="1" t="s">
        <v>286</v>
      </c>
      <c r="N4842" s="1">
        <v>2</v>
      </c>
      <c r="O4842" s="1">
        <v>2</v>
      </c>
      <c r="Q4842" s="1">
        <v>18</v>
      </c>
      <c r="R4842" s="1">
        <v>0.1</v>
      </c>
      <c r="S4842" s="1">
        <v>51</v>
      </c>
      <c r="V4842" s="1">
        <v>1.8243966942000001</v>
      </c>
      <c r="W4842" s="1">
        <v>0</v>
      </c>
      <c r="X4842" s="1">
        <v>0</v>
      </c>
      <c r="Y4842" s="1">
        <v>0.21099999999999999</v>
      </c>
      <c r="Z4842" s="1">
        <v>0.32</v>
      </c>
      <c r="AA4842" s="1">
        <v>1.38</v>
      </c>
      <c r="AD4842" s="1">
        <v>0</v>
      </c>
      <c r="AE4842" s="1">
        <v>7.12</v>
      </c>
      <c r="AK4842" s="1">
        <v>24.27</v>
      </c>
      <c r="AL4842" s="1">
        <v>930.69500000000005</v>
      </c>
    </row>
    <row r="4843" spans="1:50" x14ac:dyDescent="0.3">
      <c r="A4843" s="1">
        <v>89345</v>
      </c>
      <c r="B4843" s="1" t="s">
        <v>293</v>
      </c>
      <c r="C4843" s="1" t="s">
        <v>294</v>
      </c>
      <c r="D4843" s="2">
        <f t="shared" si="258"/>
        <v>2021</v>
      </c>
      <c r="E4843" s="2">
        <f t="shared" si="259"/>
        <v>8</v>
      </c>
      <c r="G4843" s="4">
        <v>44410</v>
      </c>
      <c r="H4843" s="1">
        <v>6595294</v>
      </c>
      <c r="I4843" s="1">
        <v>670194</v>
      </c>
      <c r="J4843" s="1" t="s">
        <v>207</v>
      </c>
      <c r="K4843" s="1"/>
      <c r="L4843" s="1" t="str">
        <f t="shared" si="260"/>
        <v xml:space="preserve">Käringsjön </v>
      </c>
      <c r="M4843" s="1" t="s">
        <v>285</v>
      </c>
      <c r="N4843" s="1">
        <v>0.5</v>
      </c>
      <c r="O4843" s="1">
        <v>1</v>
      </c>
      <c r="Q4843" s="1">
        <v>22.9</v>
      </c>
      <c r="R4843" s="1">
        <v>8.6</v>
      </c>
      <c r="S4843" s="1">
        <v>103</v>
      </c>
      <c r="V4843" s="1">
        <v>0.61572345678999996</v>
      </c>
      <c r="W4843" s="1">
        <v>0</v>
      </c>
      <c r="X4843" s="1">
        <v>0</v>
      </c>
      <c r="Y4843" s="1">
        <v>0.61199999999999999</v>
      </c>
      <c r="Z4843" s="1">
        <v>0</v>
      </c>
      <c r="AA4843" s="1">
        <v>1.36</v>
      </c>
      <c r="AB4843" s="1">
        <v>60.845399999999998</v>
      </c>
      <c r="AD4843" s="1">
        <v>1.56</v>
      </c>
      <c r="AE4843" s="1">
        <v>7.38</v>
      </c>
      <c r="AK4843" s="1">
        <v>47.32</v>
      </c>
      <c r="AL4843" s="1">
        <v>1195.5050000000001</v>
      </c>
    </row>
    <row r="4844" spans="1:50" x14ac:dyDescent="0.3">
      <c r="A4844" s="1">
        <v>89346</v>
      </c>
      <c r="B4844" s="1" t="s">
        <v>293</v>
      </c>
      <c r="C4844" s="1" t="s">
        <v>294</v>
      </c>
      <c r="D4844" s="2">
        <f t="shared" si="258"/>
        <v>2021</v>
      </c>
      <c r="E4844" s="2">
        <f t="shared" si="259"/>
        <v>8</v>
      </c>
      <c r="G4844" s="4">
        <v>44410</v>
      </c>
      <c r="H4844" s="1">
        <v>6595294</v>
      </c>
      <c r="I4844" s="1">
        <v>670194</v>
      </c>
      <c r="J4844" s="1" t="s">
        <v>207</v>
      </c>
      <c r="K4844" s="1"/>
      <c r="L4844" s="1" t="str">
        <f t="shared" si="260"/>
        <v xml:space="preserve">Käringsjön </v>
      </c>
      <c r="M4844" s="1" t="s">
        <v>211</v>
      </c>
      <c r="N4844" s="1">
        <v>1</v>
      </c>
      <c r="O4844" s="1">
        <v>1</v>
      </c>
      <c r="Q4844" s="1">
        <v>19</v>
      </c>
      <c r="R4844" s="1">
        <v>6</v>
      </c>
      <c r="S4844" s="1">
        <v>65</v>
      </c>
    </row>
    <row r="4845" spans="1:50" x14ac:dyDescent="0.3">
      <c r="A4845" s="1">
        <v>89347</v>
      </c>
      <c r="B4845" s="1" t="s">
        <v>293</v>
      </c>
      <c r="C4845" s="1" t="s">
        <v>294</v>
      </c>
      <c r="D4845" s="2">
        <f t="shared" si="258"/>
        <v>2021</v>
      </c>
      <c r="E4845" s="2">
        <f t="shared" si="259"/>
        <v>8</v>
      </c>
      <c r="G4845" s="4">
        <v>44410</v>
      </c>
      <c r="H4845" s="1">
        <v>6595294</v>
      </c>
      <c r="I4845" s="1">
        <v>670194</v>
      </c>
      <c r="J4845" s="1" t="s">
        <v>207</v>
      </c>
      <c r="K4845" s="1"/>
      <c r="L4845" s="1" t="str">
        <f t="shared" si="260"/>
        <v xml:space="preserve">Käringsjön </v>
      </c>
      <c r="M4845" s="1" t="s">
        <v>212</v>
      </c>
      <c r="N4845" s="1">
        <v>2</v>
      </c>
      <c r="O4845" s="1">
        <v>2</v>
      </c>
      <c r="Q4845" s="1">
        <v>13.1</v>
      </c>
      <c r="R4845" s="1">
        <v>0.1</v>
      </c>
      <c r="S4845" s="1">
        <v>1</v>
      </c>
    </row>
    <row r="4846" spans="1:50" x14ac:dyDescent="0.3">
      <c r="A4846" s="1">
        <v>89348</v>
      </c>
      <c r="B4846" s="1" t="s">
        <v>293</v>
      </c>
      <c r="C4846" s="1" t="s">
        <v>294</v>
      </c>
      <c r="D4846" s="2">
        <f t="shared" si="258"/>
        <v>2021</v>
      </c>
      <c r="E4846" s="2">
        <f t="shared" si="259"/>
        <v>8</v>
      </c>
      <c r="G4846" s="4">
        <v>44410</v>
      </c>
      <c r="H4846" s="1">
        <v>6595294</v>
      </c>
      <c r="I4846" s="1">
        <v>670194</v>
      </c>
      <c r="J4846" s="1" t="s">
        <v>207</v>
      </c>
      <c r="K4846" s="1"/>
      <c r="L4846" s="1" t="str">
        <f t="shared" si="260"/>
        <v xml:space="preserve">Käringsjön </v>
      </c>
      <c r="M4846" s="1" t="s">
        <v>213</v>
      </c>
      <c r="N4846" s="1">
        <v>3</v>
      </c>
      <c r="O4846" s="1">
        <v>3</v>
      </c>
      <c r="Q4846" s="1">
        <v>9.4</v>
      </c>
      <c r="R4846" s="1">
        <v>0.1</v>
      </c>
      <c r="S4846" s="1">
        <v>1</v>
      </c>
    </row>
    <row r="4847" spans="1:50" x14ac:dyDescent="0.3">
      <c r="A4847" s="1">
        <v>89349</v>
      </c>
      <c r="B4847" s="1" t="s">
        <v>293</v>
      </c>
      <c r="C4847" s="1" t="s">
        <v>294</v>
      </c>
      <c r="D4847" s="2">
        <f t="shared" si="258"/>
        <v>2021</v>
      </c>
      <c r="E4847" s="2">
        <f t="shared" si="259"/>
        <v>8</v>
      </c>
      <c r="G4847" s="4">
        <v>44410</v>
      </c>
      <c r="H4847" s="1">
        <v>6595294</v>
      </c>
      <c r="I4847" s="1">
        <v>670194</v>
      </c>
      <c r="J4847" s="1" t="s">
        <v>207</v>
      </c>
      <c r="K4847" s="1"/>
      <c r="L4847" s="1" t="str">
        <f t="shared" si="260"/>
        <v xml:space="preserve">Käringsjön </v>
      </c>
      <c r="M4847" s="1" t="s">
        <v>286</v>
      </c>
      <c r="N4847" s="1">
        <v>4</v>
      </c>
      <c r="O4847" s="1">
        <v>4</v>
      </c>
      <c r="Q4847" s="1">
        <v>8.9</v>
      </c>
      <c r="R4847" s="1">
        <v>0.1</v>
      </c>
      <c r="S4847" s="1">
        <v>1</v>
      </c>
      <c r="V4847" s="1">
        <v>0.72675555556000004</v>
      </c>
      <c r="W4847" s="1">
        <v>5.9058999999999999</v>
      </c>
      <c r="X4847" s="1">
        <v>5.0336430046479001E-3</v>
      </c>
      <c r="Y4847" s="1">
        <v>0.66600000000000004</v>
      </c>
      <c r="Z4847" s="1">
        <v>0.37</v>
      </c>
      <c r="AA4847" s="1">
        <v>2.7</v>
      </c>
      <c r="AD4847" s="1">
        <v>1.61</v>
      </c>
      <c r="AE4847" s="1">
        <v>6.7</v>
      </c>
      <c r="AK4847" s="1">
        <v>29.95</v>
      </c>
      <c r="AL4847" s="1">
        <v>1302.4749999999999</v>
      </c>
    </row>
    <row r="4848" spans="1:50" x14ac:dyDescent="0.3">
      <c r="A4848" s="1">
        <v>89350</v>
      </c>
      <c r="B4848" s="1" t="s">
        <v>293</v>
      </c>
      <c r="C4848" s="1" t="s">
        <v>294</v>
      </c>
      <c r="D4848" s="2">
        <f t="shared" si="258"/>
        <v>2021</v>
      </c>
      <c r="E4848" s="2">
        <f t="shared" si="259"/>
        <v>8</v>
      </c>
      <c r="G4848" s="4">
        <v>44410</v>
      </c>
      <c r="H4848" s="1">
        <v>6594218</v>
      </c>
      <c r="I4848" s="1">
        <v>670947</v>
      </c>
      <c r="J4848" s="1" t="s">
        <v>201</v>
      </c>
      <c r="K4848" s="1"/>
      <c r="L4848" s="1" t="str">
        <f t="shared" si="260"/>
        <v xml:space="preserve">Mörtsjön </v>
      </c>
      <c r="M4848" s="1" t="s">
        <v>285</v>
      </c>
      <c r="N4848" s="1">
        <v>0.5</v>
      </c>
      <c r="O4848" s="1">
        <v>0.5</v>
      </c>
      <c r="P4848" s="1">
        <v>1.7</v>
      </c>
      <c r="Q4848" s="1">
        <v>22.6</v>
      </c>
      <c r="R4848" s="1">
        <v>7.2</v>
      </c>
      <c r="S4848" s="1">
        <v>84</v>
      </c>
      <c r="V4848" s="1">
        <v>2.1197037036999999</v>
      </c>
      <c r="W4848" s="1">
        <v>0</v>
      </c>
      <c r="X4848" s="1">
        <v>0</v>
      </c>
      <c r="Y4848" s="1">
        <v>0.18099999999999999</v>
      </c>
      <c r="Z4848" s="1">
        <v>1.18</v>
      </c>
      <c r="AA4848" s="1">
        <v>3.5</v>
      </c>
      <c r="AB4848" s="1">
        <v>9.3623142857000001</v>
      </c>
      <c r="AD4848" s="1">
        <v>1.07</v>
      </c>
      <c r="AE4848" s="1">
        <v>7.89</v>
      </c>
      <c r="AK4848" s="1">
        <v>46.79</v>
      </c>
      <c r="AL4848" s="1">
        <v>913.02499999999998</v>
      </c>
    </row>
    <row r="4849" spans="1:38" x14ac:dyDescent="0.3">
      <c r="A4849" s="1">
        <v>89351</v>
      </c>
      <c r="B4849" s="1" t="s">
        <v>293</v>
      </c>
      <c r="C4849" s="1" t="s">
        <v>294</v>
      </c>
      <c r="D4849" s="2">
        <f t="shared" si="258"/>
        <v>2021</v>
      </c>
      <c r="E4849" s="2">
        <f t="shared" si="259"/>
        <v>8</v>
      </c>
      <c r="G4849" s="4">
        <v>44410</v>
      </c>
      <c r="H4849" s="1">
        <v>6594218</v>
      </c>
      <c r="I4849" s="1">
        <v>670947</v>
      </c>
      <c r="J4849" s="1" t="s">
        <v>201</v>
      </c>
      <c r="K4849" s="1"/>
      <c r="L4849" s="1" t="str">
        <f t="shared" si="260"/>
        <v xml:space="preserve">Mörtsjön </v>
      </c>
      <c r="M4849" s="1" t="s">
        <v>211</v>
      </c>
      <c r="N4849" s="1">
        <v>1</v>
      </c>
      <c r="O4849" s="1">
        <v>1</v>
      </c>
      <c r="Q4849" s="1">
        <v>20.6</v>
      </c>
      <c r="R4849" s="1">
        <v>6.7</v>
      </c>
      <c r="S4849" s="1">
        <v>75</v>
      </c>
    </row>
    <row r="4850" spans="1:38" x14ac:dyDescent="0.3">
      <c r="A4850" s="1">
        <v>89352</v>
      </c>
      <c r="B4850" s="1" t="s">
        <v>293</v>
      </c>
      <c r="C4850" s="1" t="s">
        <v>294</v>
      </c>
      <c r="D4850" s="2">
        <f t="shared" si="258"/>
        <v>2021</v>
      </c>
      <c r="E4850" s="2">
        <f t="shared" si="259"/>
        <v>8</v>
      </c>
      <c r="G4850" s="4">
        <v>44410</v>
      </c>
      <c r="H4850" s="1">
        <v>6594218</v>
      </c>
      <c r="I4850" s="1">
        <v>670947</v>
      </c>
      <c r="J4850" s="1" t="s">
        <v>201</v>
      </c>
      <c r="K4850" s="1"/>
      <c r="L4850" s="1" t="str">
        <f t="shared" si="260"/>
        <v xml:space="preserve">Mörtsjön </v>
      </c>
      <c r="M4850" s="1" t="s">
        <v>212</v>
      </c>
      <c r="N4850" s="1">
        <v>2</v>
      </c>
      <c r="O4850" s="1">
        <v>2</v>
      </c>
      <c r="Q4850" s="1">
        <v>20.100000000000001</v>
      </c>
      <c r="R4850" s="1">
        <v>5.7</v>
      </c>
      <c r="S4850" s="1">
        <v>63</v>
      </c>
    </row>
    <row r="4851" spans="1:38" x14ac:dyDescent="0.3">
      <c r="A4851" s="1">
        <v>89353</v>
      </c>
      <c r="B4851" s="1" t="s">
        <v>293</v>
      </c>
      <c r="C4851" s="1" t="s">
        <v>294</v>
      </c>
      <c r="D4851" s="2">
        <f t="shared" si="258"/>
        <v>2021</v>
      </c>
      <c r="E4851" s="2">
        <f t="shared" si="259"/>
        <v>8</v>
      </c>
      <c r="G4851" s="4">
        <v>44410</v>
      </c>
      <c r="H4851" s="1">
        <v>6594218</v>
      </c>
      <c r="I4851" s="1">
        <v>670947</v>
      </c>
      <c r="J4851" s="1" t="s">
        <v>201</v>
      </c>
      <c r="K4851" s="1"/>
      <c r="L4851" s="1" t="str">
        <f t="shared" si="260"/>
        <v xml:space="preserve">Mörtsjön </v>
      </c>
      <c r="M4851" s="1" t="s">
        <v>213</v>
      </c>
      <c r="N4851" s="1">
        <v>3</v>
      </c>
      <c r="O4851" s="1">
        <v>3</v>
      </c>
      <c r="Q4851" s="1">
        <v>14.5</v>
      </c>
      <c r="R4851" s="1">
        <v>0.1</v>
      </c>
      <c r="S4851" s="1">
        <v>1</v>
      </c>
    </row>
    <row r="4852" spans="1:38" x14ac:dyDescent="0.3">
      <c r="A4852" s="1">
        <v>89354</v>
      </c>
      <c r="B4852" s="1" t="s">
        <v>293</v>
      </c>
      <c r="C4852" s="1" t="s">
        <v>294</v>
      </c>
      <c r="D4852" s="2">
        <f t="shared" si="258"/>
        <v>2021</v>
      </c>
      <c r="E4852" s="2">
        <f t="shared" si="259"/>
        <v>8</v>
      </c>
      <c r="G4852" s="4">
        <v>44410</v>
      </c>
      <c r="H4852" s="1">
        <v>6594218</v>
      </c>
      <c r="I4852" s="1">
        <v>670947</v>
      </c>
      <c r="J4852" s="1" t="s">
        <v>201</v>
      </c>
      <c r="K4852" s="1"/>
      <c r="L4852" s="1" t="str">
        <f t="shared" si="260"/>
        <v xml:space="preserve">Mörtsjön </v>
      </c>
      <c r="M4852" s="1" t="s">
        <v>184</v>
      </c>
      <c r="N4852" s="1">
        <v>4</v>
      </c>
      <c r="O4852" s="1">
        <v>4</v>
      </c>
      <c r="Q4852" s="1">
        <v>10.9</v>
      </c>
      <c r="R4852" s="1">
        <v>0.1</v>
      </c>
      <c r="S4852" s="1">
        <v>1</v>
      </c>
      <c r="V4852" s="1">
        <v>2.7858962962999998</v>
      </c>
      <c r="W4852" s="1">
        <v>1072.3687</v>
      </c>
      <c r="X4852" s="1">
        <v>4.2436315224826746</v>
      </c>
      <c r="Y4852" s="1">
        <v>0.249</v>
      </c>
      <c r="Z4852" s="1">
        <v>92.28</v>
      </c>
      <c r="AA4852" s="1">
        <v>12</v>
      </c>
      <c r="AD4852" s="1">
        <v>1.0900000000000001</v>
      </c>
      <c r="AE4852" s="1">
        <v>7.3</v>
      </c>
      <c r="AK4852" s="1">
        <v>168.39</v>
      </c>
      <c r="AL4852" s="1">
        <v>1999.0250000000001</v>
      </c>
    </row>
    <row r="4853" spans="1:38" x14ac:dyDescent="0.3">
      <c r="A4853" s="1">
        <v>89355</v>
      </c>
      <c r="B4853" s="1" t="s">
        <v>293</v>
      </c>
      <c r="C4853" s="1" t="s">
        <v>294</v>
      </c>
      <c r="D4853" s="2">
        <f t="shared" si="258"/>
        <v>2021</v>
      </c>
      <c r="E4853" s="2">
        <f t="shared" si="259"/>
        <v>8</v>
      </c>
      <c r="G4853" s="4">
        <v>44410</v>
      </c>
      <c r="H4853" s="1">
        <v>6598995</v>
      </c>
      <c r="I4853" s="1">
        <v>667864</v>
      </c>
      <c r="J4853" s="1" t="s">
        <v>186</v>
      </c>
      <c r="K4853" s="1" t="s">
        <v>211</v>
      </c>
      <c r="L4853" s="1" t="str">
        <f t="shared" si="260"/>
        <v>Norrviken 1</v>
      </c>
      <c r="M4853" s="1" t="s">
        <v>285</v>
      </c>
      <c r="N4853" s="1">
        <v>0.5</v>
      </c>
      <c r="O4853" s="1">
        <v>0.5</v>
      </c>
      <c r="P4853" s="1">
        <v>1.1000000000000001</v>
      </c>
      <c r="Q4853" s="1">
        <v>21</v>
      </c>
      <c r="R4853" s="1">
        <v>12.1</v>
      </c>
      <c r="S4853" s="1">
        <v>136</v>
      </c>
      <c r="V4853" s="1">
        <v>2.7253333333</v>
      </c>
      <c r="W4853" s="1">
        <v>2.2938000000000001</v>
      </c>
      <c r="X4853" s="1">
        <v>0.2407222203026789</v>
      </c>
      <c r="Y4853" s="1">
        <v>7.0000000000000007E-2</v>
      </c>
      <c r="Z4853" s="1">
        <v>5.22</v>
      </c>
      <c r="AA4853" s="1">
        <v>9.1</v>
      </c>
      <c r="AB4853" s="1">
        <v>49.948920000000001</v>
      </c>
      <c r="AD4853" s="1">
        <v>0.79</v>
      </c>
      <c r="AE4853" s="1">
        <v>8.44</v>
      </c>
      <c r="AK4853" s="1">
        <v>78.709999999999994</v>
      </c>
      <c r="AL4853" s="1">
        <v>1108.075</v>
      </c>
    </row>
    <row r="4854" spans="1:38" x14ac:dyDescent="0.3">
      <c r="A4854" s="1">
        <v>89356</v>
      </c>
      <c r="B4854" s="1" t="s">
        <v>293</v>
      </c>
      <c r="C4854" s="1" t="s">
        <v>294</v>
      </c>
      <c r="D4854" s="2">
        <f t="shared" si="258"/>
        <v>2021</v>
      </c>
      <c r="E4854" s="2">
        <f t="shared" si="259"/>
        <v>8</v>
      </c>
      <c r="G4854" s="4">
        <v>44410</v>
      </c>
      <c r="H4854" s="1">
        <v>6598995</v>
      </c>
      <c r="I4854" s="1">
        <v>667864</v>
      </c>
      <c r="J4854" s="1" t="s">
        <v>186</v>
      </c>
      <c r="K4854" s="1" t="s">
        <v>211</v>
      </c>
      <c r="L4854" s="1" t="str">
        <f t="shared" si="260"/>
        <v>Norrviken 1</v>
      </c>
      <c r="M4854" s="1" t="s">
        <v>211</v>
      </c>
      <c r="N4854" s="1">
        <v>1</v>
      </c>
      <c r="O4854" s="1">
        <v>1</v>
      </c>
      <c r="Q4854" s="1">
        <v>20.100000000000001</v>
      </c>
      <c r="R4854" s="1">
        <v>10.8</v>
      </c>
      <c r="S4854" s="1">
        <v>120</v>
      </c>
    </row>
    <row r="4855" spans="1:38" x14ac:dyDescent="0.3">
      <c r="A4855" s="1">
        <v>89357</v>
      </c>
      <c r="B4855" s="1" t="s">
        <v>293</v>
      </c>
      <c r="C4855" s="1" t="s">
        <v>294</v>
      </c>
      <c r="D4855" s="2">
        <f t="shared" si="258"/>
        <v>2021</v>
      </c>
      <c r="E4855" s="2">
        <f t="shared" si="259"/>
        <v>8</v>
      </c>
      <c r="G4855" s="4">
        <v>44410</v>
      </c>
      <c r="H4855" s="1">
        <v>6598995</v>
      </c>
      <c r="I4855" s="1">
        <v>667864</v>
      </c>
      <c r="J4855" s="1" t="s">
        <v>186</v>
      </c>
      <c r="K4855" s="1" t="s">
        <v>211</v>
      </c>
      <c r="L4855" s="1" t="str">
        <f t="shared" si="260"/>
        <v>Norrviken 1</v>
      </c>
      <c r="M4855" s="1" t="s">
        <v>212</v>
      </c>
      <c r="N4855" s="1">
        <v>2</v>
      </c>
      <c r="O4855" s="1">
        <v>2</v>
      </c>
      <c r="Q4855" s="1">
        <v>20</v>
      </c>
      <c r="R4855" s="1">
        <v>7.5</v>
      </c>
      <c r="S4855" s="1">
        <v>82</v>
      </c>
    </row>
    <row r="4856" spans="1:38" x14ac:dyDescent="0.3">
      <c r="A4856" s="1">
        <v>89358</v>
      </c>
      <c r="B4856" s="1" t="s">
        <v>293</v>
      </c>
      <c r="C4856" s="1" t="s">
        <v>294</v>
      </c>
      <c r="D4856" s="2">
        <f t="shared" si="258"/>
        <v>2021</v>
      </c>
      <c r="E4856" s="2">
        <f t="shared" si="259"/>
        <v>8</v>
      </c>
      <c r="G4856" s="4">
        <v>44410</v>
      </c>
      <c r="H4856" s="1">
        <v>6598995</v>
      </c>
      <c r="I4856" s="1">
        <v>667864</v>
      </c>
      <c r="J4856" s="1" t="s">
        <v>186</v>
      </c>
      <c r="K4856" s="1" t="s">
        <v>211</v>
      </c>
      <c r="L4856" s="1" t="str">
        <f t="shared" si="260"/>
        <v>Norrviken 1</v>
      </c>
      <c r="M4856" s="1" t="s">
        <v>286</v>
      </c>
      <c r="N4856" s="1">
        <v>2.5</v>
      </c>
      <c r="O4856" s="1">
        <v>2.5</v>
      </c>
      <c r="Q4856" s="1">
        <v>19.8</v>
      </c>
      <c r="R4856" s="1">
        <v>5.4</v>
      </c>
      <c r="S4856" s="1">
        <v>59</v>
      </c>
      <c r="V4856" s="1">
        <v>2.7253333333</v>
      </c>
      <c r="W4856" s="1">
        <v>3.0857000000000001</v>
      </c>
      <c r="X4856" s="1">
        <v>0.23750072511472489</v>
      </c>
      <c r="Y4856" s="1">
        <v>0.105</v>
      </c>
      <c r="Z4856" s="1">
        <v>8.2899999999999991</v>
      </c>
      <c r="AA4856" s="1">
        <v>6.2</v>
      </c>
      <c r="AD4856" s="1">
        <v>0.59</v>
      </c>
      <c r="AE4856" s="1">
        <v>8.33</v>
      </c>
      <c r="AK4856" s="1">
        <v>91.75</v>
      </c>
      <c r="AL4856" s="1">
        <v>1142.0250000000001</v>
      </c>
    </row>
    <row r="4857" spans="1:38" x14ac:dyDescent="0.3">
      <c r="A4857" s="1">
        <v>89359</v>
      </c>
      <c r="B4857" s="1" t="s">
        <v>293</v>
      </c>
      <c r="C4857" s="1" t="s">
        <v>294</v>
      </c>
      <c r="D4857" s="2">
        <f t="shared" si="258"/>
        <v>2021</v>
      </c>
      <c r="E4857" s="2">
        <f t="shared" si="259"/>
        <v>8</v>
      </c>
      <c r="G4857" s="4">
        <v>44410</v>
      </c>
      <c r="H4857" s="1">
        <v>6596347</v>
      </c>
      <c r="I4857" s="1">
        <v>665902</v>
      </c>
      <c r="J4857" s="1" t="s">
        <v>186</v>
      </c>
      <c r="K4857" s="1" t="s">
        <v>212</v>
      </c>
      <c r="L4857" s="1" t="str">
        <f t="shared" si="260"/>
        <v>Norrviken 2</v>
      </c>
      <c r="M4857" s="1" t="s">
        <v>285</v>
      </c>
      <c r="N4857" s="1">
        <v>0.5</v>
      </c>
      <c r="O4857" s="1">
        <v>0.5</v>
      </c>
      <c r="P4857" s="1">
        <v>3.6</v>
      </c>
      <c r="Q4857" s="1">
        <v>21.4</v>
      </c>
      <c r="R4857" s="1">
        <v>7.3</v>
      </c>
      <c r="S4857" s="1">
        <v>82</v>
      </c>
      <c r="V4857" s="1">
        <v>2.6042074074000001</v>
      </c>
      <c r="W4857" s="1">
        <v>8.1568000000000005</v>
      </c>
      <c r="X4857" s="1">
        <v>0.45529176666668802</v>
      </c>
      <c r="Y4857" s="1">
        <v>6.6000000000000003E-2</v>
      </c>
      <c r="Z4857" s="1">
        <v>6.24</v>
      </c>
      <c r="AA4857" s="1">
        <v>2.4</v>
      </c>
      <c r="AB4857" s="1">
        <v>7.1138700000000004</v>
      </c>
      <c r="AD4857" s="1">
        <v>2.84</v>
      </c>
      <c r="AE4857" s="1">
        <v>8.1300000000000008</v>
      </c>
      <c r="AK4857" s="1">
        <v>37.69</v>
      </c>
      <c r="AL4857" s="1">
        <v>741.505</v>
      </c>
    </row>
    <row r="4858" spans="1:38" x14ac:dyDescent="0.3">
      <c r="A4858" s="1">
        <v>89360</v>
      </c>
      <c r="B4858" s="1" t="s">
        <v>293</v>
      </c>
      <c r="C4858" s="1" t="s">
        <v>294</v>
      </c>
      <c r="D4858" s="2">
        <f t="shared" si="258"/>
        <v>2021</v>
      </c>
      <c r="E4858" s="2">
        <f t="shared" si="259"/>
        <v>8</v>
      </c>
      <c r="G4858" s="4">
        <v>44410</v>
      </c>
      <c r="H4858" s="1">
        <v>6596347</v>
      </c>
      <c r="I4858" s="1">
        <v>665902</v>
      </c>
      <c r="J4858" s="1" t="s">
        <v>186</v>
      </c>
      <c r="K4858" s="1" t="s">
        <v>212</v>
      </c>
      <c r="L4858" s="1" t="str">
        <f t="shared" si="260"/>
        <v>Norrviken 2</v>
      </c>
      <c r="M4858" s="1" t="s">
        <v>211</v>
      </c>
      <c r="N4858" s="1">
        <v>1</v>
      </c>
      <c r="O4858" s="1">
        <v>1</v>
      </c>
      <c r="Q4858" s="1">
        <v>21.3</v>
      </c>
      <c r="R4858" s="1">
        <v>7.3</v>
      </c>
      <c r="S4858" s="1">
        <v>82</v>
      </c>
    </row>
    <row r="4859" spans="1:38" x14ac:dyDescent="0.3">
      <c r="A4859" s="1">
        <v>89361</v>
      </c>
      <c r="B4859" s="1" t="s">
        <v>293</v>
      </c>
      <c r="C4859" s="1" t="s">
        <v>294</v>
      </c>
      <c r="D4859" s="2">
        <f t="shared" si="258"/>
        <v>2021</v>
      </c>
      <c r="E4859" s="2">
        <f t="shared" si="259"/>
        <v>8</v>
      </c>
      <c r="G4859" s="4">
        <v>44410</v>
      </c>
      <c r="H4859" s="1">
        <v>6596347</v>
      </c>
      <c r="I4859" s="1">
        <v>665902</v>
      </c>
      <c r="J4859" s="1" t="s">
        <v>186</v>
      </c>
      <c r="K4859" s="1" t="s">
        <v>212</v>
      </c>
      <c r="L4859" s="1" t="str">
        <f t="shared" si="260"/>
        <v>Norrviken 2</v>
      </c>
      <c r="M4859" s="1" t="s">
        <v>212</v>
      </c>
      <c r="N4859" s="1">
        <v>2</v>
      </c>
      <c r="O4859" s="1">
        <v>2</v>
      </c>
      <c r="Q4859" s="1">
        <v>21.1</v>
      </c>
      <c r="R4859" s="1">
        <v>7.3</v>
      </c>
      <c r="S4859" s="1">
        <v>82</v>
      </c>
    </row>
    <row r="4860" spans="1:38" x14ac:dyDescent="0.3">
      <c r="A4860" s="1">
        <v>89362</v>
      </c>
      <c r="B4860" s="1" t="s">
        <v>293</v>
      </c>
      <c r="C4860" s="1" t="s">
        <v>294</v>
      </c>
      <c r="D4860" s="2">
        <f t="shared" si="258"/>
        <v>2021</v>
      </c>
      <c r="E4860" s="2">
        <f t="shared" si="259"/>
        <v>8</v>
      </c>
      <c r="G4860" s="4">
        <v>44410</v>
      </c>
      <c r="H4860" s="1">
        <v>6596347</v>
      </c>
      <c r="I4860" s="1">
        <v>665902</v>
      </c>
      <c r="J4860" s="1" t="s">
        <v>186</v>
      </c>
      <c r="K4860" s="1" t="s">
        <v>212</v>
      </c>
      <c r="L4860" s="1" t="str">
        <f t="shared" si="260"/>
        <v>Norrviken 2</v>
      </c>
      <c r="M4860" s="1" t="s">
        <v>213</v>
      </c>
      <c r="N4860" s="1">
        <v>3</v>
      </c>
      <c r="O4860" s="1">
        <v>3</v>
      </c>
      <c r="Q4860" s="1">
        <v>21</v>
      </c>
      <c r="R4860" s="1">
        <v>7.2</v>
      </c>
      <c r="S4860" s="1">
        <v>81</v>
      </c>
    </row>
    <row r="4861" spans="1:38" x14ac:dyDescent="0.3">
      <c r="A4861" s="1">
        <v>89363</v>
      </c>
      <c r="B4861" s="1" t="s">
        <v>293</v>
      </c>
      <c r="C4861" s="1" t="s">
        <v>294</v>
      </c>
      <c r="D4861" s="2">
        <f t="shared" si="258"/>
        <v>2021</v>
      </c>
      <c r="E4861" s="2">
        <f t="shared" si="259"/>
        <v>8</v>
      </c>
      <c r="G4861" s="4">
        <v>44410</v>
      </c>
      <c r="H4861" s="1">
        <v>6596347</v>
      </c>
      <c r="I4861" s="1">
        <v>665902</v>
      </c>
      <c r="J4861" s="1" t="s">
        <v>186</v>
      </c>
      <c r="K4861" s="1" t="s">
        <v>212</v>
      </c>
      <c r="L4861" s="1" t="str">
        <f t="shared" si="260"/>
        <v>Norrviken 2</v>
      </c>
      <c r="M4861" s="1" t="s">
        <v>214</v>
      </c>
      <c r="N4861" s="1">
        <v>4</v>
      </c>
      <c r="O4861" s="1">
        <v>4</v>
      </c>
      <c r="Q4861" s="1">
        <v>21</v>
      </c>
      <c r="R4861" s="1">
        <v>6.9</v>
      </c>
      <c r="S4861" s="1">
        <v>78</v>
      </c>
    </row>
    <row r="4862" spans="1:38" x14ac:dyDescent="0.3">
      <c r="A4862" s="1">
        <v>89364</v>
      </c>
      <c r="B4862" s="1" t="s">
        <v>293</v>
      </c>
      <c r="C4862" s="1" t="s">
        <v>294</v>
      </c>
      <c r="D4862" s="2">
        <f t="shared" ref="D4862:D4907" si="261">YEAR(G4862)</f>
        <v>2021</v>
      </c>
      <c r="E4862" s="2">
        <f t="shared" ref="E4862:E4907" si="262">MONTH(G4862)</f>
        <v>8</v>
      </c>
      <c r="G4862" s="4">
        <v>44410</v>
      </c>
      <c r="H4862" s="1">
        <v>6596347</v>
      </c>
      <c r="I4862" s="1">
        <v>665902</v>
      </c>
      <c r="J4862" s="1" t="s">
        <v>186</v>
      </c>
      <c r="K4862" s="1" t="s">
        <v>212</v>
      </c>
      <c r="L4862" s="1" t="str">
        <f t="shared" ref="L4862:L4921" si="263">CONCATENATE(J4862," ",K4862)</f>
        <v>Norrviken 2</v>
      </c>
      <c r="M4862" s="1" t="s">
        <v>217</v>
      </c>
      <c r="N4862" s="1">
        <v>5</v>
      </c>
      <c r="O4862" s="1">
        <v>5</v>
      </c>
      <c r="Q4862" s="1">
        <v>20.8</v>
      </c>
      <c r="R4862" s="1">
        <v>5.9</v>
      </c>
      <c r="S4862" s="1">
        <v>67</v>
      </c>
    </row>
    <row r="4863" spans="1:38" x14ac:dyDescent="0.3">
      <c r="A4863" s="1">
        <v>89365</v>
      </c>
      <c r="B4863" s="1" t="s">
        <v>293</v>
      </c>
      <c r="C4863" s="1" t="s">
        <v>294</v>
      </c>
      <c r="D4863" s="2">
        <f t="shared" si="261"/>
        <v>2021</v>
      </c>
      <c r="E4863" s="2">
        <f t="shared" si="262"/>
        <v>8</v>
      </c>
      <c r="G4863" s="4">
        <v>44410</v>
      </c>
      <c r="H4863" s="1">
        <v>6596347</v>
      </c>
      <c r="I4863" s="1">
        <v>665902</v>
      </c>
      <c r="J4863" s="1" t="s">
        <v>186</v>
      </c>
      <c r="K4863" s="1" t="s">
        <v>212</v>
      </c>
      <c r="L4863" s="1" t="str">
        <f t="shared" si="263"/>
        <v>Norrviken 2</v>
      </c>
      <c r="M4863" s="1" t="s">
        <v>218</v>
      </c>
      <c r="N4863" s="1">
        <v>6</v>
      </c>
      <c r="O4863" s="1">
        <v>6</v>
      </c>
      <c r="Q4863" s="1">
        <v>20.6</v>
      </c>
      <c r="R4863" s="1">
        <v>4.3</v>
      </c>
      <c r="S4863" s="1">
        <v>48</v>
      </c>
    </row>
    <row r="4864" spans="1:38" x14ac:dyDescent="0.3">
      <c r="A4864" s="1">
        <v>89366</v>
      </c>
      <c r="B4864" s="1" t="s">
        <v>293</v>
      </c>
      <c r="C4864" s="1" t="s">
        <v>294</v>
      </c>
      <c r="D4864" s="2">
        <f t="shared" si="261"/>
        <v>2021</v>
      </c>
      <c r="E4864" s="2">
        <f t="shared" si="262"/>
        <v>8</v>
      </c>
      <c r="G4864" s="4">
        <v>44410</v>
      </c>
      <c r="H4864" s="1">
        <v>6596347</v>
      </c>
      <c r="I4864" s="1">
        <v>665902</v>
      </c>
      <c r="J4864" s="1" t="s">
        <v>186</v>
      </c>
      <c r="K4864" s="1" t="s">
        <v>212</v>
      </c>
      <c r="L4864" s="1" t="str">
        <f t="shared" si="263"/>
        <v>Norrviken 2</v>
      </c>
      <c r="M4864" s="1" t="s">
        <v>219</v>
      </c>
      <c r="N4864" s="1">
        <v>7</v>
      </c>
      <c r="O4864" s="1">
        <v>7</v>
      </c>
      <c r="Q4864" s="1">
        <v>14</v>
      </c>
      <c r="R4864" s="1">
        <v>0.1</v>
      </c>
      <c r="S4864" s="1">
        <v>1</v>
      </c>
    </row>
    <row r="4865" spans="1:38" x14ac:dyDescent="0.3">
      <c r="A4865" s="1">
        <v>89367</v>
      </c>
      <c r="B4865" s="1" t="s">
        <v>293</v>
      </c>
      <c r="C4865" s="1" t="s">
        <v>294</v>
      </c>
      <c r="D4865" s="2">
        <f t="shared" si="261"/>
        <v>2021</v>
      </c>
      <c r="E4865" s="2">
        <f t="shared" si="262"/>
        <v>8</v>
      </c>
      <c r="G4865" s="4">
        <v>44410</v>
      </c>
      <c r="H4865" s="1">
        <v>6596347</v>
      </c>
      <c r="I4865" s="1">
        <v>665902</v>
      </c>
      <c r="J4865" s="1" t="s">
        <v>186</v>
      </c>
      <c r="K4865" s="1" t="s">
        <v>212</v>
      </c>
      <c r="L4865" s="1" t="str">
        <f t="shared" si="263"/>
        <v>Norrviken 2</v>
      </c>
      <c r="M4865" s="1" t="s">
        <v>220</v>
      </c>
      <c r="N4865" s="1">
        <v>8</v>
      </c>
      <c r="O4865" s="1">
        <v>8</v>
      </c>
      <c r="Q4865" s="1">
        <v>11.7</v>
      </c>
      <c r="R4865" s="1">
        <v>0.1</v>
      </c>
      <c r="S4865" s="1">
        <v>1</v>
      </c>
    </row>
    <row r="4866" spans="1:38" x14ac:dyDescent="0.3">
      <c r="A4866" s="1">
        <v>89368</v>
      </c>
      <c r="B4866" s="1" t="s">
        <v>293</v>
      </c>
      <c r="C4866" s="1" t="s">
        <v>294</v>
      </c>
      <c r="D4866" s="2">
        <f t="shared" si="261"/>
        <v>2021</v>
      </c>
      <c r="E4866" s="2">
        <f t="shared" si="262"/>
        <v>8</v>
      </c>
      <c r="G4866" s="4">
        <v>44410</v>
      </c>
      <c r="H4866" s="1">
        <v>6596347</v>
      </c>
      <c r="I4866" s="1">
        <v>665902</v>
      </c>
      <c r="J4866" s="1" t="s">
        <v>186</v>
      </c>
      <c r="K4866" s="1" t="s">
        <v>212</v>
      </c>
      <c r="L4866" s="1" t="str">
        <f t="shared" si="263"/>
        <v>Norrviken 2</v>
      </c>
      <c r="M4866" s="1" t="s">
        <v>286</v>
      </c>
      <c r="N4866" s="1">
        <v>9</v>
      </c>
      <c r="O4866" s="1">
        <v>9</v>
      </c>
      <c r="Q4866" s="1">
        <v>11</v>
      </c>
      <c r="R4866" s="1">
        <v>0.1</v>
      </c>
      <c r="S4866" s="1">
        <v>1</v>
      </c>
      <c r="V4866" s="1">
        <v>2.7455209877</v>
      </c>
      <c r="W4866" s="1">
        <v>292.4701</v>
      </c>
      <c r="X4866" s="1">
        <v>2.2656969495851373</v>
      </c>
      <c r="Y4866" s="1">
        <v>7.0000000000000007E-2</v>
      </c>
      <c r="Z4866" s="1">
        <v>16.72</v>
      </c>
      <c r="AA4866" s="1">
        <v>6.2</v>
      </c>
      <c r="AD4866" s="1">
        <v>46.99</v>
      </c>
      <c r="AE4866" s="1">
        <v>7.59</v>
      </c>
      <c r="AK4866" s="1">
        <v>42.9</v>
      </c>
      <c r="AL4866" s="1">
        <v>961.09500000000003</v>
      </c>
    </row>
    <row r="4867" spans="1:38" x14ac:dyDescent="0.3">
      <c r="A4867" s="1">
        <v>89369</v>
      </c>
      <c r="B4867" s="1" t="s">
        <v>293</v>
      </c>
      <c r="C4867" s="1" t="s">
        <v>294</v>
      </c>
      <c r="D4867" s="2">
        <f t="shared" si="261"/>
        <v>2021</v>
      </c>
      <c r="E4867" s="2">
        <f t="shared" si="262"/>
        <v>8</v>
      </c>
      <c r="G4867" s="4">
        <v>44410</v>
      </c>
      <c r="H4867" s="1">
        <v>6594617</v>
      </c>
      <c r="I4867" s="1">
        <v>666323</v>
      </c>
      <c r="J4867" s="1" t="s">
        <v>186</v>
      </c>
      <c r="K4867" s="1" t="s">
        <v>213</v>
      </c>
      <c r="L4867" s="1" t="str">
        <f t="shared" si="263"/>
        <v>Norrviken 3</v>
      </c>
      <c r="M4867" s="1" t="s">
        <v>285</v>
      </c>
      <c r="N4867" s="1">
        <v>0.5</v>
      </c>
      <c r="O4867" s="1">
        <v>0.5</v>
      </c>
      <c r="P4867" s="1">
        <v>4</v>
      </c>
      <c r="Q4867" s="1">
        <v>21.7</v>
      </c>
      <c r="R4867" s="1">
        <v>7.8</v>
      </c>
      <c r="S4867" s="1">
        <v>89</v>
      </c>
      <c r="V4867" s="1">
        <v>2.5638320987999998</v>
      </c>
      <c r="W4867" s="1">
        <v>8.7165999999999997</v>
      </c>
      <c r="X4867" s="1">
        <v>0.57770912033246313</v>
      </c>
      <c r="Y4867" s="1">
        <v>5.3999999999999999E-2</v>
      </c>
      <c r="Z4867" s="1">
        <v>3.03</v>
      </c>
      <c r="AA4867" s="1">
        <v>1.91</v>
      </c>
      <c r="AB4867" s="1">
        <v>9.5714100000000002</v>
      </c>
      <c r="AD4867" s="1">
        <v>1.21</v>
      </c>
      <c r="AE4867" s="1">
        <v>8.1999999999999993</v>
      </c>
      <c r="AK4867" s="1">
        <v>29.6</v>
      </c>
      <c r="AL4867" s="1">
        <v>718.875</v>
      </c>
    </row>
    <row r="4868" spans="1:38" x14ac:dyDescent="0.3">
      <c r="A4868" s="1">
        <v>89370</v>
      </c>
      <c r="B4868" s="1" t="s">
        <v>293</v>
      </c>
      <c r="C4868" s="1" t="s">
        <v>294</v>
      </c>
      <c r="D4868" s="2">
        <f t="shared" si="261"/>
        <v>2021</v>
      </c>
      <c r="E4868" s="2">
        <f t="shared" si="262"/>
        <v>8</v>
      </c>
      <c r="G4868" s="4">
        <v>44410</v>
      </c>
      <c r="H4868" s="1">
        <v>6594617</v>
      </c>
      <c r="I4868" s="1">
        <v>666323</v>
      </c>
      <c r="J4868" s="1" t="s">
        <v>186</v>
      </c>
      <c r="K4868" s="1" t="s">
        <v>213</v>
      </c>
      <c r="L4868" s="1" t="str">
        <f t="shared" si="263"/>
        <v>Norrviken 3</v>
      </c>
      <c r="M4868" s="1" t="s">
        <v>211</v>
      </c>
      <c r="N4868" s="1">
        <v>1</v>
      </c>
      <c r="O4868" s="1">
        <v>1</v>
      </c>
      <c r="Q4868" s="1">
        <v>21.3</v>
      </c>
      <c r="R4868" s="1">
        <v>7.7</v>
      </c>
      <c r="S4868" s="1">
        <v>87</v>
      </c>
    </row>
    <row r="4869" spans="1:38" x14ac:dyDescent="0.3">
      <c r="A4869" s="1">
        <v>89371</v>
      </c>
      <c r="B4869" s="1" t="s">
        <v>293</v>
      </c>
      <c r="C4869" s="1" t="s">
        <v>294</v>
      </c>
      <c r="D4869" s="2">
        <f t="shared" si="261"/>
        <v>2021</v>
      </c>
      <c r="E4869" s="2">
        <f t="shared" si="262"/>
        <v>8</v>
      </c>
      <c r="G4869" s="4">
        <v>44410</v>
      </c>
      <c r="H4869" s="1">
        <v>6594617</v>
      </c>
      <c r="I4869" s="1">
        <v>666323</v>
      </c>
      <c r="J4869" s="1" t="s">
        <v>186</v>
      </c>
      <c r="K4869" s="1" t="s">
        <v>213</v>
      </c>
      <c r="L4869" s="1" t="str">
        <f t="shared" si="263"/>
        <v>Norrviken 3</v>
      </c>
      <c r="M4869" s="1" t="s">
        <v>212</v>
      </c>
      <c r="N4869" s="1">
        <v>2</v>
      </c>
      <c r="O4869" s="1">
        <v>2</v>
      </c>
      <c r="Q4869" s="1">
        <v>21.2</v>
      </c>
      <c r="R4869" s="1">
        <v>7.5</v>
      </c>
      <c r="S4869" s="1">
        <v>85</v>
      </c>
    </row>
    <row r="4870" spans="1:38" x14ac:dyDescent="0.3">
      <c r="A4870" s="1">
        <v>89372</v>
      </c>
      <c r="B4870" s="1" t="s">
        <v>293</v>
      </c>
      <c r="C4870" s="1" t="s">
        <v>294</v>
      </c>
      <c r="D4870" s="2">
        <f t="shared" si="261"/>
        <v>2021</v>
      </c>
      <c r="E4870" s="2">
        <f t="shared" si="262"/>
        <v>8</v>
      </c>
      <c r="G4870" s="4">
        <v>44410</v>
      </c>
      <c r="H4870" s="1">
        <v>6594617</v>
      </c>
      <c r="I4870" s="1">
        <v>666323</v>
      </c>
      <c r="J4870" s="1" t="s">
        <v>186</v>
      </c>
      <c r="K4870" s="1" t="s">
        <v>213</v>
      </c>
      <c r="L4870" s="1" t="str">
        <f t="shared" si="263"/>
        <v>Norrviken 3</v>
      </c>
      <c r="M4870" s="1" t="s">
        <v>213</v>
      </c>
      <c r="N4870" s="1">
        <v>3</v>
      </c>
      <c r="O4870" s="1">
        <v>3</v>
      </c>
      <c r="Q4870" s="1">
        <v>21.2</v>
      </c>
      <c r="R4870" s="1">
        <v>7.4</v>
      </c>
      <c r="S4870" s="1">
        <v>84</v>
      </c>
    </row>
    <row r="4871" spans="1:38" x14ac:dyDescent="0.3">
      <c r="A4871" s="1">
        <v>89373</v>
      </c>
      <c r="B4871" s="1" t="s">
        <v>293</v>
      </c>
      <c r="C4871" s="1" t="s">
        <v>294</v>
      </c>
      <c r="D4871" s="2">
        <f t="shared" si="261"/>
        <v>2021</v>
      </c>
      <c r="E4871" s="2">
        <f t="shared" si="262"/>
        <v>8</v>
      </c>
      <c r="G4871" s="4">
        <v>44410</v>
      </c>
      <c r="H4871" s="1">
        <v>6594617</v>
      </c>
      <c r="I4871" s="1">
        <v>666323</v>
      </c>
      <c r="J4871" s="1" t="s">
        <v>186</v>
      </c>
      <c r="K4871" s="1" t="s">
        <v>213</v>
      </c>
      <c r="L4871" s="1" t="str">
        <f t="shared" si="263"/>
        <v>Norrviken 3</v>
      </c>
      <c r="M4871" s="1" t="s">
        <v>214</v>
      </c>
      <c r="N4871" s="1">
        <v>4</v>
      </c>
      <c r="O4871" s="1">
        <v>4</v>
      </c>
      <c r="Q4871" s="1">
        <v>21.1</v>
      </c>
      <c r="R4871" s="1">
        <v>7.4</v>
      </c>
      <c r="S4871" s="1">
        <v>83</v>
      </c>
    </row>
    <row r="4872" spans="1:38" x14ac:dyDescent="0.3">
      <c r="A4872" s="1">
        <v>89374</v>
      </c>
      <c r="B4872" s="1" t="s">
        <v>293</v>
      </c>
      <c r="C4872" s="1" t="s">
        <v>294</v>
      </c>
      <c r="D4872" s="2">
        <f t="shared" si="261"/>
        <v>2021</v>
      </c>
      <c r="E4872" s="2">
        <f t="shared" si="262"/>
        <v>8</v>
      </c>
      <c r="G4872" s="4">
        <v>44410</v>
      </c>
      <c r="H4872" s="1">
        <v>6594617</v>
      </c>
      <c r="I4872" s="1">
        <v>666323</v>
      </c>
      <c r="J4872" s="1" t="s">
        <v>186</v>
      </c>
      <c r="K4872" s="1" t="s">
        <v>213</v>
      </c>
      <c r="L4872" s="1" t="str">
        <f t="shared" si="263"/>
        <v>Norrviken 3</v>
      </c>
      <c r="M4872" s="1" t="s">
        <v>217</v>
      </c>
      <c r="N4872" s="1">
        <v>5</v>
      </c>
      <c r="O4872" s="1">
        <v>5</v>
      </c>
      <c r="Q4872" s="1">
        <v>21.1</v>
      </c>
      <c r="R4872" s="1">
        <v>7.2</v>
      </c>
      <c r="S4872" s="1">
        <v>81</v>
      </c>
    </row>
    <row r="4873" spans="1:38" x14ac:dyDescent="0.3">
      <c r="A4873" s="1">
        <v>89375</v>
      </c>
      <c r="B4873" s="1" t="s">
        <v>293</v>
      </c>
      <c r="C4873" s="1" t="s">
        <v>294</v>
      </c>
      <c r="D4873" s="2">
        <f t="shared" si="261"/>
        <v>2021</v>
      </c>
      <c r="E4873" s="2">
        <f t="shared" si="262"/>
        <v>8</v>
      </c>
      <c r="G4873" s="4">
        <v>44410</v>
      </c>
      <c r="H4873" s="1">
        <v>6594617</v>
      </c>
      <c r="I4873" s="1">
        <v>666323</v>
      </c>
      <c r="J4873" s="1" t="s">
        <v>186</v>
      </c>
      <c r="K4873" s="1" t="s">
        <v>213</v>
      </c>
      <c r="L4873" s="1" t="str">
        <f t="shared" si="263"/>
        <v>Norrviken 3</v>
      </c>
      <c r="M4873" s="1" t="s">
        <v>218</v>
      </c>
      <c r="N4873" s="1">
        <v>6</v>
      </c>
      <c r="O4873" s="1">
        <v>6</v>
      </c>
      <c r="Q4873" s="1">
        <v>19.899999999999999</v>
      </c>
      <c r="R4873" s="1">
        <v>2.7</v>
      </c>
      <c r="S4873" s="1">
        <v>30</v>
      </c>
    </row>
    <row r="4874" spans="1:38" x14ac:dyDescent="0.3">
      <c r="A4874" s="1">
        <v>89376</v>
      </c>
      <c r="B4874" s="1" t="s">
        <v>293</v>
      </c>
      <c r="C4874" s="1" t="s">
        <v>294</v>
      </c>
      <c r="D4874" s="2">
        <f t="shared" si="261"/>
        <v>2021</v>
      </c>
      <c r="E4874" s="2">
        <f t="shared" si="262"/>
        <v>8</v>
      </c>
      <c r="G4874" s="4">
        <v>44410</v>
      </c>
      <c r="H4874" s="1">
        <v>6594617</v>
      </c>
      <c r="I4874" s="1">
        <v>666323</v>
      </c>
      <c r="J4874" s="1" t="s">
        <v>186</v>
      </c>
      <c r="K4874" s="1" t="s">
        <v>213</v>
      </c>
      <c r="L4874" s="1" t="str">
        <f t="shared" si="263"/>
        <v>Norrviken 3</v>
      </c>
      <c r="M4874" s="1" t="s">
        <v>219</v>
      </c>
      <c r="N4874" s="1">
        <v>7</v>
      </c>
      <c r="O4874" s="1">
        <v>7</v>
      </c>
      <c r="Q4874" s="1">
        <v>14.2</v>
      </c>
      <c r="R4874" s="1">
        <v>0.1</v>
      </c>
      <c r="S4874" s="1">
        <v>1</v>
      </c>
    </row>
    <row r="4875" spans="1:38" x14ac:dyDescent="0.3">
      <c r="A4875" s="1">
        <v>89377</v>
      </c>
      <c r="B4875" s="1" t="s">
        <v>293</v>
      </c>
      <c r="C4875" s="1" t="s">
        <v>294</v>
      </c>
      <c r="D4875" s="2">
        <f t="shared" si="261"/>
        <v>2021</v>
      </c>
      <c r="E4875" s="2">
        <f t="shared" si="262"/>
        <v>8</v>
      </c>
      <c r="G4875" s="4">
        <v>44410</v>
      </c>
      <c r="H4875" s="1">
        <v>6594617</v>
      </c>
      <c r="I4875" s="1">
        <v>666323</v>
      </c>
      <c r="J4875" s="1" t="s">
        <v>186</v>
      </c>
      <c r="K4875" s="1" t="s">
        <v>213</v>
      </c>
      <c r="L4875" s="1" t="str">
        <f t="shared" si="263"/>
        <v>Norrviken 3</v>
      </c>
      <c r="M4875" s="1" t="s">
        <v>220</v>
      </c>
      <c r="N4875" s="1">
        <v>8</v>
      </c>
      <c r="O4875" s="1">
        <v>8</v>
      </c>
      <c r="Q4875" s="1">
        <v>11.6</v>
      </c>
      <c r="R4875" s="1">
        <v>0.1</v>
      </c>
      <c r="S4875" s="1">
        <v>1</v>
      </c>
    </row>
    <row r="4876" spans="1:38" x14ac:dyDescent="0.3">
      <c r="A4876" s="1">
        <v>89378</v>
      </c>
      <c r="B4876" s="1" t="s">
        <v>293</v>
      </c>
      <c r="C4876" s="1" t="s">
        <v>294</v>
      </c>
      <c r="D4876" s="2">
        <f t="shared" si="261"/>
        <v>2021</v>
      </c>
      <c r="E4876" s="2">
        <f t="shared" si="262"/>
        <v>8</v>
      </c>
      <c r="G4876" s="4">
        <v>44410</v>
      </c>
      <c r="H4876" s="1">
        <v>6594617</v>
      </c>
      <c r="I4876" s="1">
        <v>666323</v>
      </c>
      <c r="J4876" s="1" t="s">
        <v>186</v>
      </c>
      <c r="K4876" s="1" t="s">
        <v>213</v>
      </c>
      <c r="L4876" s="1" t="str">
        <f t="shared" si="263"/>
        <v>Norrviken 3</v>
      </c>
      <c r="M4876" s="1" t="s">
        <v>221</v>
      </c>
      <c r="N4876" s="1">
        <v>9</v>
      </c>
      <c r="O4876" s="1">
        <v>9</v>
      </c>
      <c r="Q4876" s="1">
        <v>10.4</v>
      </c>
      <c r="R4876" s="1">
        <v>0.1</v>
      </c>
      <c r="S4876" s="1">
        <v>1</v>
      </c>
    </row>
    <row r="4877" spans="1:38" x14ac:dyDescent="0.3">
      <c r="A4877" s="1">
        <v>89379</v>
      </c>
      <c r="B4877" s="1" t="s">
        <v>293</v>
      </c>
      <c r="C4877" s="1" t="s">
        <v>294</v>
      </c>
      <c r="D4877" s="2">
        <f t="shared" si="261"/>
        <v>2021</v>
      </c>
      <c r="E4877" s="2">
        <f t="shared" si="262"/>
        <v>8</v>
      </c>
      <c r="G4877" s="4">
        <v>44410</v>
      </c>
      <c r="H4877" s="1">
        <v>6594617</v>
      </c>
      <c r="I4877" s="1">
        <v>666323</v>
      </c>
      <c r="J4877" s="1" t="s">
        <v>186</v>
      </c>
      <c r="K4877" s="1" t="s">
        <v>213</v>
      </c>
      <c r="L4877" s="1" t="str">
        <f t="shared" si="263"/>
        <v>Norrviken 3</v>
      </c>
      <c r="M4877" s="1" t="s">
        <v>222</v>
      </c>
      <c r="N4877" s="1">
        <v>10</v>
      </c>
      <c r="O4877" s="1">
        <v>10</v>
      </c>
      <c r="Q4877" s="1">
        <v>9.5</v>
      </c>
      <c r="R4877" s="1">
        <v>0.1</v>
      </c>
      <c r="S4877" s="1">
        <v>1</v>
      </c>
    </row>
    <row r="4878" spans="1:38" x14ac:dyDescent="0.3">
      <c r="A4878" s="1">
        <v>89380</v>
      </c>
      <c r="B4878" s="1" t="s">
        <v>293</v>
      </c>
      <c r="C4878" s="1" t="s">
        <v>294</v>
      </c>
      <c r="D4878" s="2">
        <f t="shared" si="261"/>
        <v>2021</v>
      </c>
      <c r="E4878" s="2">
        <f t="shared" si="262"/>
        <v>8</v>
      </c>
      <c r="G4878" s="4">
        <v>44410</v>
      </c>
      <c r="H4878" s="1">
        <v>6594617</v>
      </c>
      <c r="I4878" s="1">
        <v>666323</v>
      </c>
      <c r="J4878" s="1" t="s">
        <v>186</v>
      </c>
      <c r="K4878" s="1" t="s">
        <v>213</v>
      </c>
      <c r="L4878" s="1" t="str">
        <f t="shared" si="263"/>
        <v>Norrviken 3</v>
      </c>
      <c r="M4878" s="1" t="s">
        <v>223</v>
      </c>
      <c r="N4878" s="1">
        <v>11</v>
      </c>
      <c r="O4878" s="1">
        <v>11</v>
      </c>
      <c r="Q4878" s="1">
        <v>9.4</v>
      </c>
      <c r="R4878" s="1">
        <v>0.1</v>
      </c>
      <c r="S4878" s="1">
        <v>1</v>
      </c>
    </row>
    <row r="4879" spans="1:38" x14ac:dyDescent="0.3">
      <c r="A4879" s="1">
        <v>89381</v>
      </c>
      <c r="B4879" s="1" t="s">
        <v>293</v>
      </c>
      <c r="C4879" s="1" t="s">
        <v>294</v>
      </c>
      <c r="D4879" s="2">
        <f t="shared" si="261"/>
        <v>2021</v>
      </c>
      <c r="E4879" s="2">
        <f t="shared" si="262"/>
        <v>8</v>
      </c>
      <c r="G4879" s="4">
        <v>44410</v>
      </c>
      <c r="H4879" s="1">
        <v>6594617</v>
      </c>
      <c r="I4879" s="1">
        <v>666323</v>
      </c>
      <c r="J4879" s="1" t="s">
        <v>186</v>
      </c>
      <c r="K4879" s="1" t="s">
        <v>213</v>
      </c>
      <c r="L4879" s="1" t="str">
        <f t="shared" si="263"/>
        <v>Norrviken 3</v>
      </c>
      <c r="M4879" s="1" t="s">
        <v>286</v>
      </c>
      <c r="N4879" s="1">
        <v>11.5</v>
      </c>
      <c r="O4879" s="1">
        <v>11.5</v>
      </c>
      <c r="Q4879" s="1">
        <v>9.1999999999999993</v>
      </c>
      <c r="R4879" s="1">
        <v>0.1</v>
      </c>
      <c r="S4879" s="1">
        <v>1</v>
      </c>
      <c r="V4879" s="1">
        <v>3.3511506173000001</v>
      </c>
      <c r="W4879" s="1">
        <v>958.47209999999995</v>
      </c>
      <c r="X4879" s="1">
        <v>6.9133117850484265</v>
      </c>
      <c r="Y4879" s="1">
        <v>7.2999999999999995E-2</v>
      </c>
      <c r="Z4879" s="1">
        <v>153.85</v>
      </c>
      <c r="AA4879" s="1">
        <v>9.1</v>
      </c>
      <c r="AD4879" s="1">
        <v>3.81</v>
      </c>
      <c r="AE4879" s="1">
        <v>7.62</v>
      </c>
      <c r="AK4879" s="1">
        <v>179.99</v>
      </c>
      <c r="AL4879" s="1">
        <v>1449.7049999999999</v>
      </c>
    </row>
    <row r="4880" spans="1:38" x14ac:dyDescent="0.3">
      <c r="A4880" s="1">
        <v>89382</v>
      </c>
      <c r="B4880" s="1" t="s">
        <v>293</v>
      </c>
      <c r="C4880" s="1" t="s">
        <v>294</v>
      </c>
      <c r="D4880" s="2">
        <f t="shared" si="261"/>
        <v>2021</v>
      </c>
      <c r="E4880" s="2">
        <f t="shared" si="262"/>
        <v>8</v>
      </c>
      <c r="G4880" s="4">
        <v>44410</v>
      </c>
      <c r="H4880" s="1">
        <v>6597022</v>
      </c>
      <c r="I4880" s="1">
        <v>665518</v>
      </c>
      <c r="J4880" s="1" t="s">
        <v>186</v>
      </c>
      <c r="K4880" s="1" t="s">
        <v>214</v>
      </c>
      <c r="L4880" s="1" t="str">
        <f t="shared" si="263"/>
        <v>Norrviken 4</v>
      </c>
      <c r="M4880" s="1" t="s">
        <v>285</v>
      </c>
      <c r="N4880" s="1">
        <v>0.5</v>
      </c>
      <c r="O4880" s="1">
        <v>0.5</v>
      </c>
      <c r="P4880" s="1">
        <v>2</v>
      </c>
      <c r="Q4880" s="1">
        <v>21.8</v>
      </c>
      <c r="R4880" s="1">
        <v>7.2</v>
      </c>
      <c r="S4880" s="1">
        <v>83</v>
      </c>
      <c r="V4880" s="1">
        <v>2.5032691358000001</v>
      </c>
      <c r="W4880" s="1">
        <v>15.186199999999999</v>
      </c>
      <c r="X4880" s="1">
        <v>0.81609906839822799</v>
      </c>
      <c r="Y4880" s="1">
        <v>4.3999999999999997E-2</v>
      </c>
      <c r="Z4880" s="1">
        <v>9.6</v>
      </c>
      <c r="AA4880" s="1">
        <v>2.7</v>
      </c>
      <c r="AB4880" s="1">
        <v>4.6271699999999996</v>
      </c>
      <c r="AD4880" s="1">
        <v>5.87</v>
      </c>
      <c r="AE4880" s="1">
        <v>8.1</v>
      </c>
      <c r="AK4880" s="1">
        <v>35.43</v>
      </c>
      <c r="AL4880" s="1">
        <v>743.495</v>
      </c>
    </row>
    <row r="4881" spans="1:91" x14ac:dyDescent="0.3">
      <c r="A4881" s="1">
        <v>89383</v>
      </c>
      <c r="B4881" s="1" t="s">
        <v>293</v>
      </c>
      <c r="C4881" s="1" t="s">
        <v>294</v>
      </c>
      <c r="D4881" s="2">
        <f t="shared" si="261"/>
        <v>2021</v>
      </c>
      <c r="E4881" s="2">
        <f t="shared" si="262"/>
        <v>8</v>
      </c>
      <c r="G4881" s="4">
        <v>44410</v>
      </c>
      <c r="H4881" s="1">
        <v>6597022</v>
      </c>
      <c r="I4881" s="1">
        <v>665518</v>
      </c>
      <c r="J4881" s="1" t="s">
        <v>186</v>
      </c>
      <c r="K4881" s="1" t="s">
        <v>214</v>
      </c>
      <c r="L4881" s="1" t="str">
        <f t="shared" si="263"/>
        <v>Norrviken 4</v>
      </c>
      <c r="M4881" s="1" t="s">
        <v>211</v>
      </c>
      <c r="N4881" s="1">
        <v>1</v>
      </c>
      <c r="O4881" s="1">
        <v>1</v>
      </c>
      <c r="Q4881" s="1">
        <v>21.4</v>
      </c>
      <c r="R4881" s="1">
        <v>7.2</v>
      </c>
      <c r="S4881" s="1">
        <v>82</v>
      </c>
    </row>
    <row r="4882" spans="1:91" x14ac:dyDescent="0.3">
      <c r="A4882" s="1">
        <v>89384</v>
      </c>
      <c r="B4882" s="1" t="s">
        <v>293</v>
      </c>
      <c r="C4882" s="1" t="s">
        <v>294</v>
      </c>
      <c r="D4882" s="2">
        <f t="shared" si="261"/>
        <v>2021</v>
      </c>
      <c r="E4882" s="2">
        <f t="shared" si="262"/>
        <v>8</v>
      </c>
      <c r="G4882" s="4">
        <v>44410</v>
      </c>
      <c r="H4882" s="1">
        <v>6597022</v>
      </c>
      <c r="I4882" s="1">
        <v>665518</v>
      </c>
      <c r="J4882" s="1" t="s">
        <v>186</v>
      </c>
      <c r="K4882" s="1" t="s">
        <v>214</v>
      </c>
      <c r="L4882" s="1" t="str">
        <f t="shared" si="263"/>
        <v>Norrviken 4</v>
      </c>
      <c r="M4882" s="1" t="s">
        <v>286</v>
      </c>
      <c r="N4882" s="1">
        <v>2</v>
      </c>
      <c r="O4882" s="1">
        <v>2</v>
      </c>
      <c r="Q4882" s="1">
        <v>20.5</v>
      </c>
      <c r="R4882" s="1">
        <v>6.8</v>
      </c>
      <c r="S4882" s="1">
        <v>76</v>
      </c>
      <c r="V4882" s="1">
        <v>2.6849580246999998</v>
      </c>
      <c r="W4882" s="1">
        <v>9.9555000000000007</v>
      </c>
      <c r="X4882" s="1">
        <v>0.51107425738755552</v>
      </c>
      <c r="Y4882" s="1">
        <v>4.9000000000000002E-2</v>
      </c>
      <c r="Z4882" s="1">
        <v>8.34</v>
      </c>
      <c r="AA4882" s="1">
        <v>2.4</v>
      </c>
      <c r="AD4882" s="1">
        <v>5.63</v>
      </c>
      <c r="AE4882" s="1">
        <v>8.1199999999999992</v>
      </c>
      <c r="AK4882" s="1">
        <v>31.62</v>
      </c>
      <c r="AL4882" s="1">
        <v>757.07500000000005</v>
      </c>
    </row>
    <row r="4883" spans="1:91" x14ac:dyDescent="0.3">
      <c r="A4883" s="1">
        <v>89385</v>
      </c>
      <c r="B4883" s="1" t="s">
        <v>293</v>
      </c>
      <c r="C4883" s="1" t="s">
        <v>294</v>
      </c>
      <c r="D4883" s="2">
        <f t="shared" si="261"/>
        <v>2021</v>
      </c>
      <c r="E4883" s="2">
        <f t="shared" si="262"/>
        <v>8</v>
      </c>
      <c r="G4883" s="4">
        <v>44410</v>
      </c>
      <c r="H4883" s="1">
        <v>6599384</v>
      </c>
      <c r="I4883" s="1">
        <v>662805</v>
      </c>
      <c r="J4883" s="1" t="s">
        <v>182</v>
      </c>
      <c r="K4883" s="1"/>
      <c r="L4883" s="1" t="str">
        <f t="shared" si="263"/>
        <v xml:space="preserve">Edssjön </v>
      </c>
      <c r="M4883" s="1" t="s">
        <v>285</v>
      </c>
      <c r="N4883" s="1">
        <v>0.5</v>
      </c>
      <c r="O4883" s="1">
        <v>0.5</v>
      </c>
      <c r="P4883" s="1">
        <v>1</v>
      </c>
      <c r="Q4883" s="1">
        <v>21.6</v>
      </c>
      <c r="R4883" s="1">
        <v>10.9</v>
      </c>
      <c r="S4883" s="1">
        <v>125</v>
      </c>
      <c r="V4883" s="1">
        <v>2.6757818181999999</v>
      </c>
      <c r="W4883" s="1">
        <v>1.1493</v>
      </c>
      <c r="X4883" s="1">
        <v>0.1504833876504646</v>
      </c>
      <c r="Y4883" s="1">
        <v>0.06</v>
      </c>
      <c r="Z4883" s="1">
        <v>20.84</v>
      </c>
      <c r="AA4883" s="1">
        <v>11.7</v>
      </c>
      <c r="AB4883" s="1">
        <v>93.458519999999993</v>
      </c>
      <c r="AD4883" s="1">
        <v>1.0900000000000001</v>
      </c>
      <c r="AE4883" s="1">
        <v>8.5299999999999994</v>
      </c>
      <c r="AK4883" s="1">
        <v>94.96</v>
      </c>
      <c r="AL4883" s="1">
        <v>1238.5450000000001</v>
      </c>
    </row>
    <row r="4884" spans="1:91" x14ac:dyDescent="0.3">
      <c r="A4884" s="1">
        <v>89386</v>
      </c>
      <c r="B4884" s="1" t="s">
        <v>293</v>
      </c>
      <c r="C4884" s="1" t="s">
        <v>294</v>
      </c>
      <c r="D4884" s="2">
        <f t="shared" si="261"/>
        <v>2021</v>
      </c>
      <c r="E4884" s="2">
        <f t="shared" si="262"/>
        <v>8</v>
      </c>
      <c r="G4884" s="4">
        <v>44410</v>
      </c>
      <c r="H4884" s="1">
        <v>6599384</v>
      </c>
      <c r="I4884" s="1">
        <v>662805</v>
      </c>
      <c r="J4884" s="1" t="s">
        <v>182</v>
      </c>
      <c r="K4884" s="1"/>
      <c r="L4884" s="1" t="str">
        <f t="shared" si="263"/>
        <v xml:space="preserve">Edssjön </v>
      </c>
      <c r="M4884" s="1" t="s">
        <v>211</v>
      </c>
      <c r="N4884" s="1">
        <v>1</v>
      </c>
      <c r="O4884" s="1">
        <v>1</v>
      </c>
      <c r="Q4884" s="1">
        <v>21.7</v>
      </c>
      <c r="R4884" s="1">
        <v>10.8</v>
      </c>
      <c r="S4884" s="1">
        <v>123</v>
      </c>
    </row>
    <row r="4885" spans="1:91" x14ac:dyDescent="0.3">
      <c r="A4885" s="1">
        <v>89387</v>
      </c>
      <c r="B4885" s="1" t="s">
        <v>293</v>
      </c>
      <c r="C4885" s="1" t="s">
        <v>294</v>
      </c>
      <c r="D4885" s="2">
        <f t="shared" si="261"/>
        <v>2021</v>
      </c>
      <c r="E4885" s="2">
        <f t="shared" si="262"/>
        <v>8</v>
      </c>
      <c r="G4885" s="4">
        <v>44410</v>
      </c>
      <c r="H4885" s="1">
        <v>6599384</v>
      </c>
      <c r="I4885" s="1">
        <v>662805</v>
      </c>
      <c r="J4885" s="1" t="s">
        <v>182</v>
      </c>
      <c r="K4885" s="1"/>
      <c r="L4885" s="1" t="str">
        <f t="shared" si="263"/>
        <v xml:space="preserve">Edssjön </v>
      </c>
      <c r="M4885" s="1" t="s">
        <v>212</v>
      </c>
      <c r="N4885" s="1">
        <v>2</v>
      </c>
      <c r="O4885" s="1">
        <v>2</v>
      </c>
      <c r="Q4885" s="1">
        <v>21.7</v>
      </c>
      <c r="R4885" s="1">
        <v>11</v>
      </c>
      <c r="S4885" s="1">
        <v>125</v>
      </c>
    </row>
    <row r="4886" spans="1:91" x14ac:dyDescent="0.3">
      <c r="A4886" s="1">
        <v>89388</v>
      </c>
      <c r="B4886" s="1" t="s">
        <v>293</v>
      </c>
      <c r="C4886" s="1" t="s">
        <v>294</v>
      </c>
      <c r="D4886" s="2">
        <f t="shared" si="261"/>
        <v>2021</v>
      </c>
      <c r="E4886" s="2">
        <f t="shared" si="262"/>
        <v>8</v>
      </c>
      <c r="G4886" s="4">
        <v>44410</v>
      </c>
      <c r="H4886" s="1">
        <v>6599384</v>
      </c>
      <c r="I4886" s="1">
        <v>662805</v>
      </c>
      <c r="J4886" s="1" t="s">
        <v>182</v>
      </c>
      <c r="K4886" s="1"/>
      <c r="L4886" s="1" t="str">
        <f t="shared" si="263"/>
        <v xml:space="preserve">Edssjön </v>
      </c>
      <c r="M4886" s="1" t="s">
        <v>213</v>
      </c>
      <c r="N4886" s="1">
        <v>3</v>
      </c>
      <c r="O4886" s="1">
        <v>3</v>
      </c>
      <c r="Q4886" s="1">
        <v>21.7</v>
      </c>
      <c r="R4886" s="1">
        <v>10.6</v>
      </c>
      <c r="S4886" s="1">
        <v>121</v>
      </c>
    </row>
    <row r="4887" spans="1:91" x14ac:dyDescent="0.3">
      <c r="A4887" s="1">
        <v>89389</v>
      </c>
      <c r="B4887" s="1" t="s">
        <v>293</v>
      </c>
      <c r="C4887" s="1" t="s">
        <v>294</v>
      </c>
      <c r="D4887" s="2">
        <f t="shared" si="261"/>
        <v>2021</v>
      </c>
      <c r="E4887" s="2">
        <f t="shared" si="262"/>
        <v>8</v>
      </c>
      <c r="G4887" s="4">
        <v>44410</v>
      </c>
      <c r="H4887" s="1">
        <v>6599384</v>
      </c>
      <c r="I4887" s="1">
        <v>662805</v>
      </c>
      <c r="J4887" s="1" t="s">
        <v>182</v>
      </c>
      <c r="K4887" s="1"/>
      <c r="L4887" s="1" t="str">
        <f t="shared" si="263"/>
        <v xml:space="preserve">Edssjön </v>
      </c>
      <c r="M4887" s="1" t="s">
        <v>214</v>
      </c>
      <c r="N4887" s="1">
        <v>4</v>
      </c>
      <c r="O4887" s="1">
        <v>4</v>
      </c>
      <c r="Q4887" s="1">
        <v>21.7</v>
      </c>
      <c r="R4887" s="1">
        <v>10.5</v>
      </c>
      <c r="S4887" s="1">
        <v>120</v>
      </c>
    </row>
    <row r="4888" spans="1:91" x14ac:dyDescent="0.3">
      <c r="A4888" s="1">
        <v>89390</v>
      </c>
      <c r="B4888" s="1" t="s">
        <v>293</v>
      </c>
      <c r="C4888" s="1" t="s">
        <v>294</v>
      </c>
      <c r="D4888" s="2">
        <f t="shared" si="261"/>
        <v>2021</v>
      </c>
      <c r="E4888" s="2">
        <f t="shared" si="262"/>
        <v>8</v>
      </c>
      <c r="G4888" s="4">
        <v>44410</v>
      </c>
      <c r="H4888" s="1">
        <v>6599384</v>
      </c>
      <c r="I4888" s="1">
        <v>662805</v>
      </c>
      <c r="J4888" s="1" t="s">
        <v>182</v>
      </c>
      <c r="K4888" s="1"/>
      <c r="L4888" s="1" t="str">
        <f t="shared" si="263"/>
        <v xml:space="preserve">Edssjön </v>
      </c>
      <c r="M4888" s="1" t="s">
        <v>286</v>
      </c>
      <c r="N4888" s="1">
        <v>4.5</v>
      </c>
      <c r="O4888" s="1">
        <v>4.5</v>
      </c>
      <c r="Q4888" s="1">
        <v>19.8</v>
      </c>
      <c r="R4888" s="1">
        <v>0.1</v>
      </c>
      <c r="S4888" s="1">
        <v>1</v>
      </c>
      <c r="V4888" s="1">
        <v>2.8987636363</v>
      </c>
      <c r="W4888" s="1">
        <v>278.06700000000001</v>
      </c>
      <c r="X4888" s="1">
        <v>5.0957887446921175</v>
      </c>
      <c r="Y4888" s="1">
        <v>7.3999999999999996E-2</v>
      </c>
      <c r="Z4888" s="1">
        <v>131.69999999999999</v>
      </c>
      <c r="AA4888" s="1">
        <v>19.8</v>
      </c>
      <c r="AD4888" s="1">
        <v>0.6</v>
      </c>
      <c r="AE4888" s="1">
        <v>7.68</v>
      </c>
      <c r="AK4888" s="1">
        <v>193.23</v>
      </c>
      <c r="AL4888" s="1">
        <v>1472.085</v>
      </c>
    </row>
    <row r="4889" spans="1:91" x14ac:dyDescent="0.3">
      <c r="A4889" s="1">
        <v>89391</v>
      </c>
      <c r="B4889" s="1" t="s">
        <v>293</v>
      </c>
      <c r="C4889" s="1" t="s">
        <v>294</v>
      </c>
      <c r="D4889" s="2">
        <f t="shared" si="261"/>
        <v>2021</v>
      </c>
      <c r="E4889" s="2">
        <f t="shared" si="262"/>
        <v>8</v>
      </c>
      <c r="G4889" s="4">
        <v>44410</v>
      </c>
      <c r="H4889" s="1">
        <v>6605701</v>
      </c>
      <c r="I4889" s="1">
        <v>661059</v>
      </c>
      <c r="J4889" s="1" t="s">
        <v>187</v>
      </c>
      <c r="K4889" s="1"/>
      <c r="L4889" s="1" t="str">
        <f t="shared" si="263"/>
        <v xml:space="preserve">Oxundasjön </v>
      </c>
      <c r="M4889" s="1" t="s">
        <v>285</v>
      </c>
      <c r="N4889" s="1">
        <v>0.5</v>
      </c>
      <c r="O4889" s="1">
        <v>0.5</v>
      </c>
      <c r="P4889" s="1">
        <v>2.4</v>
      </c>
      <c r="Q4889" s="1">
        <v>22.2</v>
      </c>
      <c r="R4889" s="1">
        <v>6.6</v>
      </c>
      <c r="S4889" s="1">
        <v>76</v>
      </c>
      <c r="V4889" s="1">
        <v>2.6757818181999999</v>
      </c>
      <c r="W4889" s="1">
        <v>25.991599999999998</v>
      </c>
      <c r="X4889" s="1">
        <v>1.1035911809719499</v>
      </c>
      <c r="Y4889" s="1">
        <v>5.1999999999999998E-2</v>
      </c>
      <c r="Z4889" s="1">
        <v>48.51</v>
      </c>
      <c r="AA4889" s="1">
        <v>3.5</v>
      </c>
      <c r="AB4889" s="1">
        <v>10.392659999999999</v>
      </c>
      <c r="AD4889" s="1">
        <v>2.37</v>
      </c>
      <c r="AE4889" s="1">
        <v>7.98</v>
      </c>
      <c r="AK4889" s="1">
        <v>71.02</v>
      </c>
      <c r="AL4889" s="1">
        <v>841.03499999999997</v>
      </c>
    </row>
    <row r="4890" spans="1:91" x14ac:dyDescent="0.3">
      <c r="A4890" s="1">
        <v>89392</v>
      </c>
      <c r="B4890" s="1" t="s">
        <v>293</v>
      </c>
      <c r="C4890" s="1" t="s">
        <v>294</v>
      </c>
      <c r="D4890" s="2">
        <f t="shared" si="261"/>
        <v>2021</v>
      </c>
      <c r="E4890" s="2">
        <f t="shared" si="262"/>
        <v>8</v>
      </c>
      <c r="G4890" s="4">
        <v>44410</v>
      </c>
      <c r="H4890" s="1">
        <v>6605701</v>
      </c>
      <c r="I4890" s="1">
        <v>661059</v>
      </c>
      <c r="J4890" s="1" t="s">
        <v>187</v>
      </c>
      <c r="K4890" s="1"/>
      <c r="L4890" s="1" t="str">
        <f t="shared" si="263"/>
        <v xml:space="preserve">Oxundasjön </v>
      </c>
      <c r="M4890" s="1" t="s">
        <v>211</v>
      </c>
      <c r="N4890" s="1">
        <v>1</v>
      </c>
      <c r="O4890" s="1">
        <v>1</v>
      </c>
      <c r="Q4890" s="1">
        <v>22.2</v>
      </c>
      <c r="R4890" s="1">
        <v>6.6</v>
      </c>
      <c r="S4890" s="1">
        <v>76</v>
      </c>
    </row>
    <row r="4891" spans="1:91" x14ac:dyDescent="0.3">
      <c r="A4891" s="1">
        <v>89393</v>
      </c>
      <c r="B4891" s="1" t="s">
        <v>293</v>
      </c>
      <c r="C4891" s="1" t="s">
        <v>294</v>
      </c>
      <c r="D4891" s="2">
        <f t="shared" si="261"/>
        <v>2021</v>
      </c>
      <c r="E4891" s="2">
        <f t="shared" si="262"/>
        <v>8</v>
      </c>
      <c r="G4891" s="4">
        <v>44410</v>
      </c>
      <c r="H4891" s="1">
        <v>6605701</v>
      </c>
      <c r="I4891" s="1">
        <v>661059</v>
      </c>
      <c r="J4891" s="1" t="s">
        <v>187</v>
      </c>
      <c r="K4891" s="1"/>
      <c r="L4891" s="1" t="str">
        <f t="shared" si="263"/>
        <v xml:space="preserve">Oxundasjön </v>
      </c>
      <c r="M4891" s="1" t="s">
        <v>212</v>
      </c>
      <c r="N4891" s="1">
        <v>2</v>
      </c>
      <c r="O4891" s="1">
        <v>2</v>
      </c>
      <c r="Q4891" s="1">
        <v>22.2</v>
      </c>
      <c r="R4891" s="1">
        <v>6.6</v>
      </c>
      <c r="S4891" s="1">
        <v>76</v>
      </c>
    </row>
    <row r="4892" spans="1:91" x14ac:dyDescent="0.3">
      <c r="A4892" s="1">
        <v>89394</v>
      </c>
      <c r="B4892" s="1" t="s">
        <v>293</v>
      </c>
      <c r="C4892" s="1" t="s">
        <v>294</v>
      </c>
      <c r="D4892" s="2">
        <f t="shared" si="261"/>
        <v>2021</v>
      </c>
      <c r="E4892" s="2">
        <f t="shared" si="262"/>
        <v>8</v>
      </c>
      <c r="G4892" s="4">
        <v>44410</v>
      </c>
      <c r="H4892" s="1">
        <v>6605701</v>
      </c>
      <c r="I4892" s="1">
        <v>661059</v>
      </c>
      <c r="J4892" s="1" t="s">
        <v>187</v>
      </c>
      <c r="K4892" s="1"/>
      <c r="L4892" s="1" t="str">
        <f t="shared" si="263"/>
        <v xml:space="preserve">Oxundasjön </v>
      </c>
      <c r="M4892" s="1" t="s">
        <v>213</v>
      </c>
      <c r="N4892" s="1">
        <v>3</v>
      </c>
      <c r="O4892" s="1">
        <v>3</v>
      </c>
      <c r="Q4892" s="1">
        <v>22.2</v>
      </c>
      <c r="R4892" s="1">
        <v>6.5</v>
      </c>
      <c r="S4892" s="1">
        <v>75</v>
      </c>
    </row>
    <row r="4893" spans="1:91" x14ac:dyDescent="0.3">
      <c r="A4893" s="1">
        <v>89395</v>
      </c>
      <c r="B4893" s="1" t="s">
        <v>293</v>
      </c>
      <c r="C4893" s="1" t="s">
        <v>294</v>
      </c>
      <c r="D4893" s="2">
        <f t="shared" si="261"/>
        <v>2021</v>
      </c>
      <c r="E4893" s="2">
        <f t="shared" si="262"/>
        <v>8</v>
      </c>
      <c r="G4893" s="4">
        <v>44410</v>
      </c>
      <c r="H4893" s="1">
        <v>6605701</v>
      </c>
      <c r="I4893" s="1">
        <v>661059</v>
      </c>
      <c r="J4893" s="1" t="s">
        <v>187</v>
      </c>
      <c r="K4893" s="1"/>
      <c r="L4893" s="1" t="str">
        <f t="shared" si="263"/>
        <v xml:space="preserve">Oxundasjön </v>
      </c>
      <c r="M4893" s="1" t="s">
        <v>214</v>
      </c>
      <c r="N4893" s="1">
        <v>4</v>
      </c>
      <c r="O4893" s="1">
        <v>4</v>
      </c>
      <c r="Q4893" s="1">
        <v>22.1</v>
      </c>
      <c r="R4893" s="1">
        <v>6</v>
      </c>
      <c r="S4893" s="1">
        <v>69</v>
      </c>
    </row>
    <row r="4894" spans="1:91" x14ac:dyDescent="0.3">
      <c r="A4894" s="1">
        <v>89396</v>
      </c>
      <c r="B4894" s="1" t="s">
        <v>293</v>
      </c>
      <c r="C4894" s="1" t="s">
        <v>294</v>
      </c>
      <c r="D4894" s="2">
        <f t="shared" si="261"/>
        <v>2021</v>
      </c>
      <c r="E4894" s="2">
        <f t="shared" si="262"/>
        <v>8</v>
      </c>
      <c r="G4894" s="4">
        <v>44410</v>
      </c>
      <c r="H4894" s="1">
        <v>6605701</v>
      </c>
      <c r="I4894" s="1">
        <v>661059</v>
      </c>
      <c r="J4894" s="1" t="s">
        <v>187</v>
      </c>
      <c r="K4894" s="1"/>
      <c r="L4894" s="1" t="str">
        <f t="shared" si="263"/>
        <v xml:space="preserve">Oxundasjön </v>
      </c>
      <c r="M4894" s="1" t="s">
        <v>217</v>
      </c>
      <c r="N4894" s="1">
        <v>5</v>
      </c>
      <c r="O4894" s="1">
        <v>5</v>
      </c>
      <c r="Q4894" s="1">
        <v>21.2</v>
      </c>
      <c r="R4894" s="1">
        <v>0.5</v>
      </c>
      <c r="S4894" s="1">
        <v>6</v>
      </c>
    </row>
    <row r="4895" spans="1:91" x14ac:dyDescent="0.3">
      <c r="A4895" s="1">
        <v>89397</v>
      </c>
      <c r="B4895" s="1" t="s">
        <v>293</v>
      </c>
      <c r="C4895" s="1" t="s">
        <v>294</v>
      </c>
      <c r="D4895" s="2">
        <f t="shared" si="261"/>
        <v>2021</v>
      </c>
      <c r="E4895" s="2">
        <f t="shared" si="262"/>
        <v>8</v>
      </c>
      <c r="G4895" s="4">
        <v>44410</v>
      </c>
      <c r="H4895" s="1">
        <v>6605701</v>
      </c>
      <c r="I4895" s="1">
        <v>661059</v>
      </c>
      <c r="J4895" s="1" t="s">
        <v>187</v>
      </c>
      <c r="K4895" s="1"/>
      <c r="L4895" s="1" t="str">
        <f t="shared" si="263"/>
        <v xml:space="preserve">Oxundasjön </v>
      </c>
      <c r="M4895" s="1" t="s">
        <v>286</v>
      </c>
      <c r="N4895" s="1">
        <v>5.5</v>
      </c>
      <c r="O4895" s="1">
        <v>5.5</v>
      </c>
      <c r="Q4895" s="1">
        <v>18.100000000000001</v>
      </c>
      <c r="R4895" s="1">
        <v>0.1</v>
      </c>
      <c r="S4895" s="1">
        <v>1</v>
      </c>
      <c r="V4895" s="1">
        <v>2.7568661156999998</v>
      </c>
      <c r="W4895" s="1">
        <v>245.33580000000001</v>
      </c>
      <c r="X4895" s="1">
        <v>5.453805815964186</v>
      </c>
      <c r="Y4895" s="1">
        <v>5.7000000000000002E-2</v>
      </c>
      <c r="Z4895" s="1">
        <v>99.21</v>
      </c>
      <c r="AA4895" s="1">
        <v>7.4</v>
      </c>
      <c r="AD4895" s="1">
        <v>2.75</v>
      </c>
      <c r="AE4895" s="1">
        <v>7.82</v>
      </c>
      <c r="AK4895" s="1">
        <v>127.03</v>
      </c>
      <c r="AL4895" s="1">
        <v>943.33500000000004</v>
      </c>
    </row>
    <row r="4896" spans="1:91" x14ac:dyDescent="0.3">
      <c r="A4896" s="1">
        <v>91184</v>
      </c>
      <c r="B4896" s="1" t="s">
        <v>295</v>
      </c>
      <c r="C4896" s="1" t="s">
        <v>296</v>
      </c>
      <c r="D4896" s="2">
        <f t="shared" si="261"/>
        <v>2021</v>
      </c>
      <c r="E4896" s="2">
        <f t="shared" si="262"/>
        <v>10</v>
      </c>
      <c r="G4896" s="4">
        <v>44487</v>
      </c>
      <c r="H4896" s="1">
        <v>6593594</v>
      </c>
      <c r="I4896" s="1">
        <v>669799</v>
      </c>
      <c r="J4896" s="1" t="s">
        <v>189</v>
      </c>
      <c r="K4896" s="1"/>
      <c r="L4896" s="1" t="str">
        <f t="shared" si="263"/>
        <v xml:space="preserve">Rösjön </v>
      </c>
      <c r="M4896" s="1" t="s">
        <v>285</v>
      </c>
      <c r="N4896" s="1">
        <v>0.5</v>
      </c>
      <c r="O4896" s="1">
        <v>0.5</v>
      </c>
      <c r="P4896" s="1">
        <v>4.0999999999999996</v>
      </c>
      <c r="Q4896" s="1">
        <v>9.4</v>
      </c>
      <c r="R4896" s="1">
        <v>10.1</v>
      </c>
      <c r="S4896" s="1">
        <v>88</v>
      </c>
      <c r="W4896" s="1">
        <v>14.7767</v>
      </c>
      <c r="X4896" s="1">
        <v>0.22954736245203111</v>
      </c>
      <c r="Y4896" s="1">
        <v>0.04</v>
      </c>
      <c r="Z4896" s="1">
        <v>3.51</v>
      </c>
      <c r="AA4896" s="1">
        <v>1.4</v>
      </c>
      <c r="AD4896" s="1">
        <v>7.1</v>
      </c>
      <c r="AE4896" s="1">
        <v>7.95</v>
      </c>
      <c r="AI4896" s="1">
        <v>8.4670000000000005</v>
      </c>
      <c r="AJ4896" s="1">
        <v>8.3160000000000007</v>
      </c>
      <c r="AK4896" s="1">
        <v>19.344999999999999</v>
      </c>
      <c r="AL4896" s="1">
        <v>521.59</v>
      </c>
      <c r="AR4896" s="1">
        <v>32.200000000000003</v>
      </c>
      <c r="AS4896" s="1">
        <v>6.6600000000000006E-2</v>
      </c>
      <c r="AT4896" s="1">
        <v>2.6</v>
      </c>
      <c r="AU4896" s="1">
        <v>4.71</v>
      </c>
      <c r="AW4896" s="1">
        <v>17.399999999999899</v>
      </c>
      <c r="AY4896" s="1">
        <v>0.47099999999999898</v>
      </c>
      <c r="AZ4896" s="1">
        <v>42</v>
      </c>
      <c r="BA4896" s="1">
        <v>0.71199999999999897</v>
      </c>
      <c r="BB4896" s="1">
        <v>18.5</v>
      </c>
      <c r="BC4896" s="1">
        <v>1E-3</v>
      </c>
      <c r="BD4896" s="1">
        <v>5.5399999999999901E-2</v>
      </c>
      <c r="BE4896" s="1">
        <v>9.69E-2</v>
      </c>
      <c r="BF4896" s="1">
        <v>0.94799999999999895</v>
      </c>
      <c r="BG4896" s="1">
        <v>1E-3</v>
      </c>
      <c r="BH4896" s="1">
        <v>15.5</v>
      </c>
      <c r="BI4896" s="1">
        <v>0.76300000000000001</v>
      </c>
      <c r="BJ4896" s="1">
        <v>0.47799999999999898</v>
      </c>
      <c r="BK4896" s="1">
        <v>14.1</v>
      </c>
      <c r="BL4896" s="1">
        <v>0.30199999999999899</v>
      </c>
      <c r="BM4896" s="1">
        <v>82.2</v>
      </c>
      <c r="BN4896" s="1">
        <v>0.36399999999999899</v>
      </c>
      <c r="BO4896" s="1">
        <v>27</v>
      </c>
      <c r="BQ4896" s="1">
        <v>3.44</v>
      </c>
      <c r="BR4896" s="1">
        <v>1E-3</v>
      </c>
      <c r="BS4896" s="1">
        <v>2.3900000000000001E-2</v>
      </c>
      <c r="BT4896" s="1">
        <v>2.6599999999999902E-2</v>
      </c>
      <c r="BU4896" s="1">
        <v>0.69599999999999895</v>
      </c>
      <c r="BV4896" s="1">
        <v>0.78</v>
      </c>
      <c r="BW4896" s="1">
        <v>0.41499999999999898</v>
      </c>
      <c r="BX4896" s="1">
        <v>2.4899999999999901E-2</v>
      </c>
      <c r="BY4896" s="1">
        <v>1.6</v>
      </c>
      <c r="BZ4896" s="1">
        <v>34.1</v>
      </c>
      <c r="CA4896" s="1">
        <v>5.0199999999999898</v>
      </c>
      <c r="CC4896" s="1">
        <v>7.5300000000000002E-3</v>
      </c>
      <c r="CD4896" s="1">
        <v>2.76</v>
      </c>
      <c r="CE4896" s="1">
        <v>18.5</v>
      </c>
      <c r="CF4896" s="1">
        <v>0.40699999999999897</v>
      </c>
      <c r="CG4896" s="1">
        <v>0.78200000000000003</v>
      </c>
      <c r="CH4896" s="1">
        <v>18.100000000000001</v>
      </c>
      <c r="CI4896" s="1">
        <v>1E-3</v>
      </c>
      <c r="CJ4896" s="1">
        <v>0.79400000000000004</v>
      </c>
      <c r="CK4896" s="1">
        <v>11</v>
      </c>
      <c r="CL4896" s="1">
        <v>0.30299999999999899</v>
      </c>
      <c r="CM4896" s="1">
        <v>87.2</v>
      </c>
    </row>
    <row r="4897" spans="1:91" x14ac:dyDescent="0.3">
      <c r="A4897" s="1">
        <v>91185</v>
      </c>
      <c r="B4897" s="1" t="s">
        <v>295</v>
      </c>
      <c r="C4897" s="1" t="s">
        <v>296</v>
      </c>
      <c r="D4897" s="2">
        <f t="shared" si="261"/>
        <v>2021</v>
      </c>
      <c r="E4897" s="2">
        <f t="shared" si="262"/>
        <v>10</v>
      </c>
      <c r="G4897" s="4">
        <v>44487</v>
      </c>
      <c r="H4897" s="1">
        <v>6593594</v>
      </c>
      <c r="I4897" s="1">
        <v>669799</v>
      </c>
      <c r="J4897" s="1" t="s">
        <v>189</v>
      </c>
      <c r="K4897" s="1"/>
      <c r="L4897" s="1" t="str">
        <f t="shared" si="263"/>
        <v xml:space="preserve">Rösjön </v>
      </c>
      <c r="M4897" s="1" t="s">
        <v>211</v>
      </c>
      <c r="N4897" s="1">
        <v>1</v>
      </c>
      <c r="O4897" s="1">
        <v>1</v>
      </c>
      <c r="Q4897" s="1">
        <v>9.4</v>
      </c>
      <c r="R4897" s="1">
        <v>10.1</v>
      </c>
      <c r="S4897" s="1">
        <v>88</v>
      </c>
    </row>
    <row r="4898" spans="1:91" x14ac:dyDescent="0.3">
      <c r="A4898" s="1">
        <v>91186</v>
      </c>
      <c r="B4898" s="1" t="s">
        <v>295</v>
      </c>
      <c r="C4898" s="1" t="s">
        <v>296</v>
      </c>
      <c r="D4898" s="2">
        <f t="shared" si="261"/>
        <v>2021</v>
      </c>
      <c r="E4898" s="2">
        <f t="shared" si="262"/>
        <v>10</v>
      </c>
      <c r="G4898" s="4">
        <v>44487</v>
      </c>
      <c r="H4898" s="1">
        <v>6593594</v>
      </c>
      <c r="I4898" s="1">
        <v>669799</v>
      </c>
      <c r="J4898" s="1" t="s">
        <v>189</v>
      </c>
      <c r="K4898" s="1"/>
      <c r="L4898" s="1" t="str">
        <f t="shared" si="263"/>
        <v xml:space="preserve">Rösjön </v>
      </c>
      <c r="M4898" s="1" t="s">
        <v>212</v>
      </c>
      <c r="N4898" s="1">
        <v>2</v>
      </c>
      <c r="O4898" s="1">
        <v>2</v>
      </c>
      <c r="Q4898" s="1">
        <v>9.4</v>
      </c>
      <c r="R4898" s="1">
        <v>10</v>
      </c>
      <c r="S4898" s="1">
        <v>88</v>
      </c>
    </row>
    <row r="4899" spans="1:91" x14ac:dyDescent="0.3">
      <c r="A4899" s="1">
        <v>91187</v>
      </c>
      <c r="B4899" s="1" t="s">
        <v>295</v>
      </c>
      <c r="C4899" s="1" t="s">
        <v>296</v>
      </c>
      <c r="D4899" s="2">
        <f t="shared" si="261"/>
        <v>2021</v>
      </c>
      <c r="E4899" s="2">
        <f t="shared" si="262"/>
        <v>10</v>
      </c>
      <c r="G4899" s="4">
        <v>44487</v>
      </c>
      <c r="H4899" s="1">
        <v>6593594</v>
      </c>
      <c r="I4899" s="1">
        <v>669799</v>
      </c>
      <c r="J4899" s="1" t="s">
        <v>189</v>
      </c>
      <c r="K4899" s="1"/>
      <c r="L4899" s="1" t="str">
        <f t="shared" si="263"/>
        <v xml:space="preserve">Rösjön </v>
      </c>
      <c r="M4899" s="1" t="s">
        <v>213</v>
      </c>
      <c r="N4899" s="1">
        <v>3</v>
      </c>
      <c r="O4899" s="1">
        <v>3</v>
      </c>
      <c r="Q4899" s="1">
        <v>9.4</v>
      </c>
      <c r="R4899" s="1">
        <v>10</v>
      </c>
      <c r="S4899" s="1">
        <v>88</v>
      </c>
    </row>
    <row r="4900" spans="1:91" x14ac:dyDescent="0.3">
      <c r="A4900" s="1">
        <v>91188</v>
      </c>
      <c r="B4900" s="1" t="s">
        <v>295</v>
      </c>
      <c r="C4900" s="1" t="s">
        <v>296</v>
      </c>
      <c r="D4900" s="2">
        <f t="shared" si="261"/>
        <v>2021</v>
      </c>
      <c r="E4900" s="2">
        <f t="shared" si="262"/>
        <v>10</v>
      </c>
      <c r="G4900" s="4">
        <v>44487</v>
      </c>
      <c r="H4900" s="1">
        <v>6593594</v>
      </c>
      <c r="I4900" s="1">
        <v>669799</v>
      </c>
      <c r="J4900" s="1" t="s">
        <v>189</v>
      </c>
      <c r="K4900" s="1"/>
      <c r="L4900" s="1" t="str">
        <f t="shared" si="263"/>
        <v xml:space="preserve">Rösjön </v>
      </c>
      <c r="M4900" s="1" t="s">
        <v>214</v>
      </c>
      <c r="N4900" s="1">
        <v>4</v>
      </c>
      <c r="O4900" s="1">
        <v>4</v>
      </c>
      <c r="Q4900" s="1">
        <v>9.4</v>
      </c>
      <c r="R4900" s="1">
        <v>10</v>
      </c>
      <c r="S4900" s="1">
        <v>87</v>
      </c>
    </row>
    <row r="4901" spans="1:91" x14ac:dyDescent="0.3">
      <c r="A4901" s="1">
        <v>91189</v>
      </c>
      <c r="B4901" s="1" t="s">
        <v>295</v>
      </c>
      <c r="C4901" s="1" t="s">
        <v>296</v>
      </c>
      <c r="D4901" s="2">
        <f t="shared" si="261"/>
        <v>2021</v>
      </c>
      <c r="E4901" s="2">
        <f t="shared" si="262"/>
        <v>10</v>
      </c>
      <c r="G4901" s="4">
        <v>44487</v>
      </c>
      <c r="H4901" s="1">
        <v>6593594</v>
      </c>
      <c r="I4901" s="1">
        <v>669799</v>
      </c>
      <c r="J4901" s="1" t="s">
        <v>189</v>
      </c>
      <c r="K4901" s="1"/>
      <c r="L4901" s="1" t="str">
        <f t="shared" si="263"/>
        <v xml:space="preserve">Rösjön </v>
      </c>
      <c r="M4901" s="1" t="s">
        <v>217</v>
      </c>
      <c r="N4901" s="1">
        <v>5</v>
      </c>
      <c r="O4901" s="1">
        <v>5</v>
      </c>
      <c r="Q4901" s="1">
        <v>9.4</v>
      </c>
      <c r="R4901" s="1">
        <v>10</v>
      </c>
      <c r="S4901" s="1">
        <v>87</v>
      </c>
    </row>
    <row r="4902" spans="1:91" x14ac:dyDescent="0.3">
      <c r="A4902" s="1">
        <v>91190</v>
      </c>
      <c r="B4902" s="1" t="s">
        <v>295</v>
      </c>
      <c r="C4902" s="1" t="s">
        <v>296</v>
      </c>
      <c r="D4902" s="2">
        <f t="shared" si="261"/>
        <v>2021</v>
      </c>
      <c r="E4902" s="2">
        <f t="shared" si="262"/>
        <v>10</v>
      </c>
      <c r="G4902" s="4">
        <v>44487</v>
      </c>
      <c r="H4902" s="1">
        <v>6593594</v>
      </c>
      <c r="I4902" s="1">
        <v>669799</v>
      </c>
      <c r="J4902" s="1" t="s">
        <v>189</v>
      </c>
      <c r="K4902" s="1"/>
      <c r="L4902" s="1" t="str">
        <f t="shared" si="263"/>
        <v xml:space="preserve">Rösjön </v>
      </c>
      <c r="M4902" s="1" t="s">
        <v>218</v>
      </c>
      <c r="N4902" s="1">
        <v>6</v>
      </c>
      <c r="O4902" s="1">
        <v>6</v>
      </c>
      <c r="Q4902" s="1">
        <v>9.4</v>
      </c>
      <c r="R4902" s="1">
        <v>10</v>
      </c>
      <c r="S4902" s="1">
        <v>87</v>
      </c>
    </row>
    <row r="4903" spans="1:91" x14ac:dyDescent="0.3">
      <c r="A4903" s="1">
        <v>91191</v>
      </c>
      <c r="B4903" s="1" t="s">
        <v>295</v>
      </c>
      <c r="C4903" s="1" t="s">
        <v>296</v>
      </c>
      <c r="D4903" s="2">
        <f t="shared" si="261"/>
        <v>2021</v>
      </c>
      <c r="E4903" s="2">
        <f t="shared" si="262"/>
        <v>10</v>
      </c>
      <c r="G4903" s="4">
        <v>44487</v>
      </c>
      <c r="H4903" s="1">
        <v>6593594</v>
      </c>
      <c r="I4903" s="1">
        <v>669799</v>
      </c>
      <c r="J4903" s="1" t="s">
        <v>189</v>
      </c>
      <c r="K4903" s="1"/>
      <c r="L4903" s="1" t="str">
        <f t="shared" si="263"/>
        <v xml:space="preserve">Rösjön </v>
      </c>
      <c r="M4903" s="1" t="s">
        <v>286</v>
      </c>
      <c r="N4903" s="1">
        <v>7</v>
      </c>
      <c r="O4903" s="1">
        <v>7</v>
      </c>
    </row>
    <row r="4904" spans="1:91" x14ac:dyDescent="0.3">
      <c r="A4904" s="1">
        <v>91192</v>
      </c>
      <c r="B4904" s="1" t="s">
        <v>295</v>
      </c>
      <c r="C4904" s="1" t="s">
        <v>296</v>
      </c>
      <c r="D4904" s="2">
        <f t="shared" si="261"/>
        <v>2021</v>
      </c>
      <c r="E4904" s="2">
        <f t="shared" si="262"/>
        <v>10</v>
      </c>
      <c r="G4904" s="4">
        <v>44487</v>
      </c>
      <c r="H4904" s="1">
        <v>6594739</v>
      </c>
      <c r="I4904" s="1">
        <v>668531</v>
      </c>
      <c r="J4904" s="1" t="s">
        <v>192</v>
      </c>
      <c r="K4904" s="1"/>
      <c r="L4904" s="1" t="str">
        <f t="shared" si="263"/>
        <v xml:space="preserve">Väsjön </v>
      </c>
      <c r="M4904" s="1" t="s">
        <v>285</v>
      </c>
      <c r="N4904" s="1">
        <v>0.5</v>
      </c>
      <c r="O4904" s="1">
        <v>0.5</v>
      </c>
      <c r="P4904" s="1">
        <v>2.5</v>
      </c>
      <c r="Q4904" s="1">
        <v>7.5</v>
      </c>
      <c r="R4904" s="1">
        <v>10.4</v>
      </c>
      <c r="S4904" s="1">
        <v>87</v>
      </c>
      <c r="W4904" s="1">
        <v>4.6173999999999999</v>
      </c>
      <c r="X4904" s="1">
        <v>7.2478770970281298E-2</v>
      </c>
      <c r="Y4904" s="1">
        <v>6.2E-2</v>
      </c>
      <c r="Z4904" s="1">
        <v>0.5</v>
      </c>
      <c r="AA4904" s="1">
        <v>1.03</v>
      </c>
      <c r="AD4904" s="1">
        <v>5.0199999999999996</v>
      </c>
      <c r="AE4904" s="1">
        <v>8.02</v>
      </c>
      <c r="AI4904" s="1">
        <v>10.71</v>
      </c>
      <c r="AJ4904" s="1">
        <v>9.8539999999999992</v>
      </c>
      <c r="AK4904" s="1">
        <v>21.824999999999999</v>
      </c>
      <c r="AL4904" s="1">
        <v>650.85</v>
      </c>
      <c r="AR4904" s="1">
        <v>62.4</v>
      </c>
      <c r="AS4904" s="1">
        <v>2.2100000000000002E-2</v>
      </c>
      <c r="AT4904" s="1">
        <v>8.74</v>
      </c>
      <c r="AU4904" s="1">
        <v>8.11</v>
      </c>
      <c r="AW4904" s="1">
        <v>39.299999999999898</v>
      </c>
      <c r="AY4904" s="1">
        <v>0.86299999999999899</v>
      </c>
      <c r="AZ4904" s="1">
        <v>7.36</v>
      </c>
      <c r="BA4904" s="1">
        <v>0.91100000000000003</v>
      </c>
      <c r="BB4904" s="1">
        <v>37.6</v>
      </c>
      <c r="BC4904" s="1">
        <v>1E-3</v>
      </c>
      <c r="BD4904" s="1">
        <v>7.1400000000000005E-2</v>
      </c>
      <c r="BE4904" s="1">
        <v>7.7600000000000002E-2</v>
      </c>
      <c r="BF4904" s="1">
        <v>0.55800000000000005</v>
      </c>
      <c r="BG4904" s="1">
        <v>1E-3</v>
      </c>
      <c r="BH4904" s="1">
        <v>16.8</v>
      </c>
      <c r="BI4904" s="1">
        <v>3.27</v>
      </c>
      <c r="BJ4904" s="1">
        <v>0.69499999999999895</v>
      </c>
      <c r="BK4904" s="1">
        <v>16.899999999999899</v>
      </c>
      <c r="BL4904" s="1">
        <v>0.122</v>
      </c>
      <c r="BM4904" s="1">
        <v>176</v>
      </c>
      <c r="BN4904" s="1">
        <v>0.39</v>
      </c>
      <c r="BO4904" s="1">
        <v>27.1</v>
      </c>
      <c r="BQ4904" s="1">
        <v>1.33</v>
      </c>
      <c r="BR4904" s="1">
        <v>1E-3</v>
      </c>
      <c r="BS4904" s="1">
        <v>3.4599999999999902E-2</v>
      </c>
      <c r="BT4904" s="1">
        <v>6.5199999999999897E-2</v>
      </c>
      <c r="BU4904" s="1">
        <v>0.69099999999999895</v>
      </c>
      <c r="BV4904" s="1">
        <v>0.495</v>
      </c>
      <c r="BW4904" s="1">
        <v>0.66</v>
      </c>
      <c r="BX4904" s="1">
        <v>5.0000000000000001E-3</v>
      </c>
      <c r="BY4904" s="1">
        <v>1.7</v>
      </c>
      <c r="BZ4904" s="1">
        <v>63.7</v>
      </c>
      <c r="CA4904" s="1">
        <v>8.2799999999999905</v>
      </c>
      <c r="CC4904" s="1">
        <v>3.7000000000000002E-3</v>
      </c>
      <c r="CD4904" s="1">
        <v>8.85</v>
      </c>
      <c r="CE4904" s="1">
        <v>39.6</v>
      </c>
      <c r="CF4904" s="1">
        <v>0.84599999999999898</v>
      </c>
      <c r="CG4904" s="1">
        <v>0.78600000000000003</v>
      </c>
      <c r="CH4904" s="1">
        <v>37.1</v>
      </c>
      <c r="CI4904" s="1">
        <v>1E-3</v>
      </c>
      <c r="CJ4904" s="1">
        <v>3.27</v>
      </c>
      <c r="CK4904" s="1">
        <v>8.81</v>
      </c>
      <c r="CL4904" s="1">
        <v>0.39200000000000002</v>
      </c>
      <c r="CM4904" s="1">
        <v>180</v>
      </c>
    </row>
    <row r="4905" spans="1:91" x14ac:dyDescent="0.3">
      <c r="A4905" s="1">
        <v>91193</v>
      </c>
      <c r="B4905" s="1" t="s">
        <v>295</v>
      </c>
      <c r="C4905" s="1" t="s">
        <v>296</v>
      </c>
      <c r="D4905" s="2">
        <f t="shared" si="261"/>
        <v>2021</v>
      </c>
      <c r="E4905" s="2">
        <f t="shared" si="262"/>
        <v>10</v>
      </c>
      <c r="G4905" s="4">
        <v>44487</v>
      </c>
      <c r="H4905" s="1">
        <v>6594739</v>
      </c>
      <c r="I4905" s="1">
        <v>668531</v>
      </c>
      <c r="J4905" s="1" t="s">
        <v>192</v>
      </c>
      <c r="K4905" s="1"/>
      <c r="L4905" s="1" t="str">
        <f t="shared" si="263"/>
        <v xml:space="preserve">Väsjön </v>
      </c>
      <c r="M4905" s="1" t="s">
        <v>211</v>
      </c>
      <c r="N4905" s="1">
        <v>1</v>
      </c>
      <c r="O4905" s="1">
        <v>1</v>
      </c>
      <c r="Q4905" s="1">
        <v>7.5</v>
      </c>
      <c r="R4905" s="1">
        <v>10.3</v>
      </c>
      <c r="S4905" s="1">
        <v>86</v>
      </c>
    </row>
    <row r="4906" spans="1:91" x14ac:dyDescent="0.3">
      <c r="A4906" s="1">
        <v>91194</v>
      </c>
      <c r="B4906" s="1" t="s">
        <v>295</v>
      </c>
      <c r="C4906" s="1" t="s">
        <v>296</v>
      </c>
      <c r="D4906" s="2">
        <f t="shared" si="261"/>
        <v>2021</v>
      </c>
      <c r="E4906" s="2">
        <f t="shared" si="262"/>
        <v>10</v>
      </c>
      <c r="G4906" s="4">
        <v>44487</v>
      </c>
      <c r="H4906" s="1">
        <v>6594739</v>
      </c>
      <c r="I4906" s="1">
        <v>668531</v>
      </c>
      <c r="J4906" s="1" t="s">
        <v>192</v>
      </c>
      <c r="K4906" s="1"/>
      <c r="L4906" s="1" t="str">
        <f t="shared" si="263"/>
        <v xml:space="preserve">Väsjön </v>
      </c>
      <c r="M4906" s="1" t="s">
        <v>212</v>
      </c>
      <c r="N4906" s="1">
        <v>2</v>
      </c>
      <c r="O4906" s="1">
        <v>2</v>
      </c>
      <c r="Q4906" s="1">
        <v>7.4</v>
      </c>
      <c r="R4906" s="1">
        <v>9.9</v>
      </c>
      <c r="S4906" s="1">
        <v>83</v>
      </c>
    </row>
    <row r="4907" spans="1:91" x14ac:dyDescent="0.3">
      <c r="A4907" s="1">
        <v>91195</v>
      </c>
      <c r="B4907" s="1" t="s">
        <v>295</v>
      </c>
      <c r="C4907" s="1" t="s">
        <v>296</v>
      </c>
      <c r="D4907" s="2">
        <f t="shared" si="261"/>
        <v>2021</v>
      </c>
      <c r="E4907" s="2">
        <f t="shared" si="262"/>
        <v>10</v>
      </c>
      <c r="G4907" s="4">
        <v>44487</v>
      </c>
      <c r="H4907" s="1">
        <v>6594739</v>
      </c>
      <c r="I4907" s="1">
        <v>668531</v>
      </c>
      <c r="J4907" s="1" t="s">
        <v>192</v>
      </c>
      <c r="K4907" s="1"/>
      <c r="L4907" s="1" t="str">
        <f t="shared" si="263"/>
        <v xml:space="preserve">Väsjön </v>
      </c>
      <c r="M4907" s="1" t="s">
        <v>286</v>
      </c>
      <c r="N4907" s="1">
        <v>2.5</v>
      </c>
      <c r="O4907" s="1">
        <v>2.5</v>
      </c>
      <c r="Q4907" s="1">
        <v>7.4</v>
      </c>
      <c r="R4907" s="1">
        <v>9.6999999999999993</v>
      </c>
      <c r="S4907" s="1">
        <v>83</v>
      </c>
    </row>
    <row r="4908" spans="1:91" x14ac:dyDescent="0.3">
      <c r="D4908" s="2">
        <f t="shared" ref="D4908:D4911" si="264">YEAR(G4908)</f>
        <v>2021</v>
      </c>
      <c r="E4908" s="2">
        <f t="shared" ref="E4908:E4911" si="265">MONTH(G4908)</f>
        <v>2</v>
      </c>
      <c r="G4908" s="4" t="s">
        <v>297</v>
      </c>
      <c r="H4908" s="1">
        <v>6606632</v>
      </c>
      <c r="I4908" s="1">
        <v>665189</v>
      </c>
      <c r="J4908" s="1" t="s">
        <v>181</v>
      </c>
      <c r="K4908" s="1"/>
      <c r="L4908" s="1" t="str">
        <f t="shared" si="263"/>
        <v xml:space="preserve">Fysingen </v>
      </c>
      <c r="M4908" s="1" t="s">
        <v>285</v>
      </c>
      <c r="N4908" s="1">
        <v>0.5</v>
      </c>
      <c r="O4908" s="1">
        <v>0.5</v>
      </c>
      <c r="P4908" s="1" t="s">
        <v>266</v>
      </c>
      <c r="Q4908" s="1">
        <v>1.2</v>
      </c>
      <c r="R4908" s="1">
        <v>12.96</v>
      </c>
      <c r="T4908" s="1">
        <v>57.6</v>
      </c>
      <c r="V4908" s="1">
        <v>1.68</v>
      </c>
      <c r="W4908" s="1">
        <v>139</v>
      </c>
      <c r="X4908" s="1">
        <f>W4908 * (1/((10^((0.0901821 + (2729.92 /(273.15 + Q4908)))-AE4908)+1)))</f>
        <v>0.1913081081178368</v>
      </c>
      <c r="Y4908" s="1">
        <v>6.9000000000000006E-2</v>
      </c>
      <c r="Z4908" s="1">
        <v>22</v>
      </c>
      <c r="AA4908" s="1">
        <v>16</v>
      </c>
      <c r="AB4908" s="1">
        <v>1.4</v>
      </c>
      <c r="AC4908" s="1">
        <v>57.6</v>
      </c>
      <c r="AD4908" s="1">
        <v>2660</v>
      </c>
      <c r="AE4908" s="1">
        <v>7.18</v>
      </c>
      <c r="AI4908" s="1">
        <v>11.9</v>
      </c>
      <c r="AJ4908" s="1">
        <v>10.9</v>
      </c>
      <c r="AK4908" s="1">
        <v>56.5</v>
      </c>
      <c r="AL4908" s="1">
        <v>3380</v>
      </c>
      <c r="AR4908" s="1">
        <v>60</v>
      </c>
      <c r="AS4908" s="1">
        <v>0.53</v>
      </c>
      <c r="AT4908" s="1">
        <v>6</v>
      </c>
      <c r="AU4908" s="1">
        <v>15</v>
      </c>
      <c r="AV4908" s="1">
        <v>33</v>
      </c>
      <c r="AW4908" s="1">
        <v>25</v>
      </c>
      <c r="AX4908" s="1">
        <v>140</v>
      </c>
      <c r="AY4908" s="1">
        <v>8.1999999999999993</v>
      </c>
      <c r="AZ4908" s="1">
        <v>760</v>
      </c>
      <c r="BA4908" s="1" t="s">
        <v>266</v>
      </c>
      <c r="BC4908" s="1" t="s">
        <v>266</v>
      </c>
      <c r="BD4908" s="1" t="s">
        <v>266</v>
      </c>
      <c r="BE4908" s="1" t="s">
        <v>266</v>
      </c>
      <c r="BF4908" s="1" t="s">
        <v>266</v>
      </c>
      <c r="BH4908" s="1">
        <v>370</v>
      </c>
      <c r="BJ4908" s="1" t="s">
        <v>266</v>
      </c>
      <c r="BL4908" s="1" t="s">
        <v>266</v>
      </c>
      <c r="BN4908" s="1" t="s">
        <v>266</v>
      </c>
      <c r="BO4908" s="1" t="s">
        <v>266</v>
      </c>
      <c r="BP4908" s="1" t="s">
        <v>266</v>
      </c>
    </row>
    <row r="4909" spans="1:91" x14ac:dyDescent="0.3">
      <c r="D4909" s="2">
        <f t="shared" si="264"/>
        <v>2021</v>
      </c>
      <c r="E4909" s="2">
        <f t="shared" si="265"/>
        <v>4</v>
      </c>
      <c r="G4909" s="4" t="s">
        <v>298</v>
      </c>
      <c r="H4909" s="1">
        <v>6606632</v>
      </c>
      <c r="I4909" s="1">
        <v>665189</v>
      </c>
      <c r="J4909" s="1" t="s">
        <v>181</v>
      </c>
      <c r="K4909" s="1"/>
      <c r="L4909" s="1" t="str">
        <f t="shared" si="263"/>
        <v xml:space="preserve">Fysingen </v>
      </c>
      <c r="M4909" s="1" t="s">
        <v>285</v>
      </c>
      <c r="N4909" s="1">
        <v>0.5</v>
      </c>
      <c r="O4909" s="1">
        <v>0.5</v>
      </c>
      <c r="P4909" s="1">
        <v>1.9</v>
      </c>
      <c r="Q4909" s="1">
        <v>6.4</v>
      </c>
      <c r="R4909" s="1">
        <v>13.48</v>
      </c>
      <c r="T4909" s="1">
        <v>56.7</v>
      </c>
      <c r="V4909" s="1">
        <v>1.97</v>
      </c>
      <c r="W4909" s="1">
        <v>8</v>
      </c>
      <c r="X4909" s="1">
        <f t="shared" ref="X4909:X4921" si="266">W4909 * (1/((10^((0.0901821 + (2729.92 /(273.15 + Q4909)))-AE4909)+1)))</f>
        <v>0.10277412016321774</v>
      </c>
      <c r="Y4909" s="1">
        <v>4.3999999999999997E-2</v>
      </c>
      <c r="Z4909" s="1">
        <v>2</v>
      </c>
      <c r="AA4909" s="1">
        <v>3.2</v>
      </c>
      <c r="AB4909" s="1">
        <v>8.6</v>
      </c>
      <c r="AC4909" s="1">
        <v>56.7</v>
      </c>
      <c r="AD4909" s="1">
        <v>1420</v>
      </c>
      <c r="AE4909" s="1">
        <v>7.97</v>
      </c>
      <c r="AI4909" s="1">
        <v>9.4</v>
      </c>
      <c r="AJ4909" s="1">
        <v>9</v>
      </c>
      <c r="AK4909" s="1">
        <v>23.8</v>
      </c>
      <c r="AL4909" s="1">
        <v>1910</v>
      </c>
      <c r="AR4909" s="1">
        <v>64</v>
      </c>
      <c r="AS4909" s="1">
        <v>0.1</v>
      </c>
      <c r="AT4909" s="1">
        <v>5.8</v>
      </c>
      <c r="AU4909" s="1">
        <v>14</v>
      </c>
      <c r="AV4909" s="1">
        <v>34</v>
      </c>
      <c r="AW4909" s="1">
        <v>26</v>
      </c>
      <c r="AX4909" s="1">
        <v>130</v>
      </c>
      <c r="AY4909" s="1">
        <v>5.8</v>
      </c>
      <c r="AZ4909" s="1">
        <v>110</v>
      </c>
      <c r="BA4909" s="1" t="s">
        <v>266</v>
      </c>
      <c r="BC4909" s="1" t="s">
        <v>266</v>
      </c>
      <c r="BD4909" s="1" t="s">
        <v>266</v>
      </c>
      <c r="BE4909" s="1" t="s">
        <v>266</v>
      </c>
      <c r="BF4909" s="1" t="s">
        <v>266</v>
      </c>
      <c r="BH4909" s="1">
        <v>64</v>
      </c>
      <c r="BJ4909" s="1" t="s">
        <v>266</v>
      </c>
      <c r="BL4909" s="1" t="s">
        <v>266</v>
      </c>
      <c r="BN4909" s="1" t="s">
        <v>266</v>
      </c>
      <c r="BO4909" s="1" t="s">
        <v>266</v>
      </c>
      <c r="BP4909" s="1" t="s">
        <v>266</v>
      </c>
    </row>
    <row r="4910" spans="1:91" x14ac:dyDescent="0.3">
      <c r="D4910" s="2">
        <f t="shared" si="264"/>
        <v>2021</v>
      </c>
      <c r="E4910" s="2">
        <f t="shared" si="265"/>
        <v>8</v>
      </c>
      <c r="G4910" s="4" t="s">
        <v>299</v>
      </c>
      <c r="H4910" s="1">
        <v>6606632</v>
      </c>
      <c r="I4910" s="1">
        <v>665189</v>
      </c>
      <c r="J4910" s="1" t="s">
        <v>181</v>
      </c>
      <c r="K4910" s="1"/>
      <c r="L4910" s="1" t="str">
        <f t="shared" si="263"/>
        <v xml:space="preserve">Fysingen </v>
      </c>
      <c r="M4910" s="1" t="s">
        <v>285</v>
      </c>
      <c r="N4910" s="1">
        <v>0.5</v>
      </c>
      <c r="O4910" s="1">
        <v>0.5</v>
      </c>
      <c r="P4910" s="1">
        <v>1</v>
      </c>
      <c r="Q4910" s="1">
        <v>21.3</v>
      </c>
      <c r="R4910" s="1">
        <v>8.68</v>
      </c>
      <c r="T4910" s="1">
        <v>56.4</v>
      </c>
      <c r="V4910" s="1">
        <v>2.11</v>
      </c>
      <c r="W4910" s="1">
        <v>7</v>
      </c>
      <c r="X4910" s="1">
        <f t="shared" si="266"/>
        <v>0.40528668400852863</v>
      </c>
      <c r="Y4910" s="1">
        <v>3.7999999999999999E-2</v>
      </c>
      <c r="Z4910" s="1">
        <v>0.5</v>
      </c>
      <c r="AA4910" s="1">
        <v>5.5</v>
      </c>
      <c r="AB4910" s="1">
        <v>10</v>
      </c>
      <c r="AC4910" s="1">
        <v>56.4</v>
      </c>
      <c r="AD4910" s="1">
        <v>0.5</v>
      </c>
      <c r="AE4910" s="1">
        <v>8.15</v>
      </c>
      <c r="AI4910" s="1">
        <v>10.6</v>
      </c>
      <c r="AJ4910" s="1">
        <v>9.8000000000000007</v>
      </c>
      <c r="AK4910" s="1">
        <v>24.5</v>
      </c>
      <c r="AL4910" s="1">
        <v>680</v>
      </c>
      <c r="AR4910" s="1">
        <v>64</v>
      </c>
      <c r="AS4910" s="1">
        <v>0.11</v>
      </c>
      <c r="AT4910" s="1">
        <v>5.8</v>
      </c>
      <c r="AU4910" s="1">
        <v>15</v>
      </c>
      <c r="AV4910" s="1">
        <v>36</v>
      </c>
      <c r="AW4910" s="1">
        <v>29</v>
      </c>
      <c r="AX4910" s="1">
        <v>120</v>
      </c>
      <c r="AY4910" s="1">
        <v>1.1000000000000001</v>
      </c>
      <c r="AZ4910" s="1">
        <v>120</v>
      </c>
      <c r="BA4910" s="1" t="s">
        <v>266</v>
      </c>
      <c r="BC4910" s="1" t="s">
        <v>266</v>
      </c>
      <c r="BD4910" s="1" t="s">
        <v>266</v>
      </c>
      <c r="BE4910" s="1" t="s">
        <v>266</v>
      </c>
      <c r="BF4910" s="1" t="s">
        <v>266</v>
      </c>
      <c r="BH4910" s="1">
        <v>270</v>
      </c>
      <c r="BJ4910" s="1" t="s">
        <v>266</v>
      </c>
      <c r="BL4910" s="1" t="s">
        <v>266</v>
      </c>
      <c r="BN4910" s="1" t="s">
        <v>266</v>
      </c>
      <c r="BO4910" s="1" t="s">
        <v>266</v>
      </c>
      <c r="BP4910" s="1" t="s">
        <v>266</v>
      </c>
    </row>
    <row r="4911" spans="1:91" x14ac:dyDescent="0.3">
      <c r="D4911" s="2">
        <f t="shared" si="264"/>
        <v>2021</v>
      </c>
      <c r="E4911" s="2">
        <f t="shared" si="265"/>
        <v>10</v>
      </c>
      <c r="G4911" s="4" t="s">
        <v>300</v>
      </c>
      <c r="H4911" s="1">
        <v>6606632</v>
      </c>
      <c r="I4911" s="1">
        <v>665189</v>
      </c>
      <c r="J4911" s="1" t="s">
        <v>181</v>
      </c>
      <c r="K4911" s="1"/>
      <c r="L4911" s="1" t="str">
        <f t="shared" si="263"/>
        <v xml:space="preserve">Fysingen </v>
      </c>
      <c r="M4911" s="1" t="s">
        <v>285</v>
      </c>
      <c r="N4911" s="1">
        <v>0.5</v>
      </c>
      <c r="O4911" s="1">
        <v>0.5</v>
      </c>
      <c r="P4911" s="1">
        <v>2.1</v>
      </c>
      <c r="Q4911" s="1">
        <v>9.6</v>
      </c>
      <c r="R4911" s="1">
        <v>10.69</v>
      </c>
      <c r="T4911" s="1">
        <v>56.3</v>
      </c>
      <c r="V4911" s="1">
        <v>2.16</v>
      </c>
      <c r="W4911" s="1">
        <v>13</v>
      </c>
      <c r="X4911" s="1">
        <f t="shared" si="266"/>
        <v>0.26902345121119453</v>
      </c>
      <c r="Y4911" s="1">
        <v>2.8000000000000001E-2</v>
      </c>
      <c r="Z4911" s="1">
        <v>0.5</v>
      </c>
      <c r="AA4911" s="1">
        <v>1.8</v>
      </c>
      <c r="AB4911" s="1">
        <v>6.5</v>
      </c>
      <c r="AC4911" s="1">
        <v>56.3</v>
      </c>
      <c r="AD4911" s="1">
        <v>20</v>
      </c>
      <c r="AE4911" s="1">
        <v>8.07</v>
      </c>
      <c r="AI4911" s="1">
        <v>9</v>
      </c>
      <c r="AJ4911" s="1">
        <v>8.6</v>
      </c>
      <c r="AK4911" s="1">
        <v>15.3</v>
      </c>
      <c r="AL4911" s="1">
        <v>602</v>
      </c>
      <c r="AR4911" s="1">
        <v>61</v>
      </c>
      <c r="AS4911" s="1">
        <v>4.2999999999999997E-2</v>
      </c>
      <c r="AT4911" s="1">
        <v>6</v>
      </c>
      <c r="AU4911" s="1">
        <v>15</v>
      </c>
      <c r="AV4911" s="1">
        <v>39</v>
      </c>
      <c r="AW4911" s="1">
        <v>29</v>
      </c>
      <c r="AX4911" s="1">
        <v>110</v>
      </c>
      <c r="AY4911" s="1">
        <v>0.21</v>
      </c>
      <c r="AZ4911" s="1">
        <v>48</v>
      </c>
      <c r="BA4911" s="1">
        <v>0.61</v>
      </c>
      <c r="BC4911" s="1">
        <v>5.0000000000000001E-3</v>
      </c>
      <c r="BD4911" s="1">
        <v>0.3</v>
      </c>
      <c r="BE4911" s="1">
        <v>0.1</v>
      </c>
      <c r="BF4911" s="1">
        <v>0.67</v>
      </c>
      <c r="BH4911" s="1">
        <v>80</v>
      </c>
      <c r="BJ4911" s="1">
        <v>5.0999999999999996</v>
      </c>
      <c r="BL4911" s="1">
        <v>0.04</v>
      </c>
      <c r="BN4911" s="1">
        <v>0.31</v>
      </c>
      <c r="BO4911" s="1">
        <v>0.9</v>
      </c>
      <c r="BP4911" s="1">
        <v>13</v>
      </c>
    </row>
    <row r="4912" spans="1:91" x14ac:dyDescent="0.3">
      <c r="D4912" s="2">
        <f t="shared" ref="D4912:D4921" si="267">YEAR(G4912)</f>
        <v>2021</v>
      </c>
      <c r="E4912" s="2">
        <f t="shared" ref="E4912:E4921" si="268">MONTH(G4912)</f>
        <v>1</v>
      </c>
      <c r="G4912" s="4" t="s">
        <v>301</v>
      </c>
      <c r="H4912" s="1">
        <v>6606237</v>
      </c>
      <c r="I4912" s="1">
        <v>661152</v>
      </c>
      <c r="J4912" s="5" t="s">
        <v>176</v>
      </c>
      <c r="K4912" s="1" t="s">
        <v>256</v>
      </c>
      <c r="L4912" s="1" t="str">
        <f t="shared" si="263"/>
        <v>Oxundaån Rosendal</v>
      </c>
      <c r="M4912" s="1" t="s">
        <v>285</v>
      </c>
      <c r="N4912" s="1">
        <v>0.5</v>
      </c>
      <c r="O4912" s="1">
        <v>0.5</v>
      </c>
      <c r="Q4912" s="1">
        <v>0.7</v>
      </c>
      <c r="T4912" s="1">
        <v>56</v>
      </c>
      <c r="V4912" s="1">
        <v>2.38</v>
      </c>
      <c r="W4912" s="1">
        <v>83</v>
      </c>
      <c r="X4912" s="1">
        <f t="shared" si="266"/>
        <v>0.23931669049943788</v>
      </c>
      <c r="Y4912" s="1">
        <v>4.9000000000000002E-2</v>
      </c>
      <c r="Z4912" s="1">
        <v>26</v>
      </c>
      <c r="AA4912" s="1">
        <v>5</v>
      </c>
      <c r="AB4912" s="1" t="s">
        <v>266</v>
      </c>
      <c r="AC4912" s="1">
        <v>56</v>
      </c>
      <c r="AD4912" s="1">
        <v>829</v>
      </c>
      <c r="AE4912" s="1">
        <v>7.52</v>
      </c>
      <c r="AI4912" s="1">
        <v>9.3000000000000007</v>
      </c>
      <c r="AK4912" s="1">
        <v>43.3</v>
      </c>
      <c r="AL4912" s="1">
        <v>1490</v>
      </c>
      <c r="AR4912" s="1">
        <v>63</v>
      </c>
      <c r="AS4912" s="1">
        <v>0.46</v>
      </c>
      <c r="AT4912" s="1">
        <v>6.2</v>
      </c>
      <c r="AU4912" s="1">
        <v>12</v>
      </c>
      <c r="AV4912" s="1">
        <v>45</v>
      </c>
      <c r="AW4912" s="1">
        <v>31</v>
      </c>
      <c r="AX4912" s="1">
        <v>90</v>
      </c>
      <c r="AY4912" s="1">
        <v>4.0999999999999996</v>
      </c>
    </row>
    <row r="4913" spans="1:94" x14ac:dyDescent="0.3">
      <c r="D4913" s="2">
        <f t="shared" si="267"/>
        <v>2021</v>
      </c>
      <c r="E4913" s="2">
        <f t="shared" si="268"/>
        <v>2</v>
      </c>
      <c r="G4913" s="4" t="s">
        <v>297</v>
      </c>
      <c r="H4913" s="1">
        <v>6606237</v>
      </c>
      <c r="I4913" s="1">
        <v>661152</v>
      </c>
      <c r="J4913" s="5" t="s">
        <v>176</v>
      </c>
      <c r="K4913" s="1" t="s">
        <v>256</v>
      </c>
      <c r="L4913" s="1" t="str">
        <f t="shared" si="263"/>
        <v>Oxundaån Rosendal</v>
      </c>
      <c r="M4913" s="1" t="s">
        <v>285</v>
      </c>
      <c r="N4913" s="1">
        <v>0.5</v>
      </c>
      <c r="O4913" s="1">
        <v>0.5</v>
      </c>
      <c r="Q4913" s="1">
        <v>0.4</v>
      </c>
      <c r="T4913" s="1">
        <v>53.1</v>
      </c>
      <c r="V4913" s="1">
        <v>2.29</v>
      </c>
      <c r="W4913" s="1">
        <v>73</v>
      </c>
      <c r="X4913" s="1">
        <f t="shared" si="266"/>
        <v>0.12670238414058879</v>
      </c>
      <c r="Y4913" s="1">
        <v>6.6000000000000003E-2</v>
      </c>
      <c r="Z4913" s="1">
        <v>25</v>
      </c>
      <c r="AA4913" s="1">
        <v>7.5</v>
      </c>
      <c r="AB4913" s="1" t="s">
        <v>266</v>
      </c>
      <c r="AC4913" s="1">
        <v>53.1</v>
      </c>
      <c r="AD4913" s="1">
        <v>1270</v>
      </c>
      <c r="AE4913" s="1">
        <v>7.31</v>
      </c>
      <c r="AI4913" s="1">
        <v>11.2</v>
      </c>
      <c r="AK4913" s="1">
        <v>44.5</v>
      </c>
      <c r="AL4913" s="1">
        <v>1910</v>
      </c>
      <c r="AR4913" s="1">
        <v>62</v>
      </c>
      <c r="AS4913" s="1">
        <v>0.44</v>
      </c>
      <c r="AT4913" s="1">
        <v>6</v>
      </c>
      <c r="AU4913" s="1">
        <v>11</v>
      </c>
      <c r="AV4913" s="1">
        <v>43</v>
      </c>
      <c r="AW4913" s="1">
        <v>30</v>
      </c>
      <c r="AX4913" s="1">
        <v>79</v>
      </c>
      <c r="AY4913" s="1">
        <v>4.9000000000000004</v>
      </c>
    </row>
    <row r="4914" spans="1:94" x14ac:dyDescent="0.3">
      <c r="D4914" s="2">
        <f t="shared" si="267"/>
        <v>2021</v>
      </c>
      <c r="E4914" s="2">
        <f t="shared" si="268"/>
        <v>3</v>
      </c>
      <c r="G4914" s="4" t="s">
        <v>302</v>
      </c>
      <c r="H4914" s="1">
        <v>6606237</v>
      </c>
      <c r="I4914" s="1">
        <v>661152</v>
      </c>
      <c r="J4914" s="5" t="s">
        <v>176</v>
      </c>
      <c r="K4914" s="1" t="s">
        <v>256</v>
      </c>
      <c r="L4914" s="1" t="str">
        <f t="shared" si="263"/>
        <v>Oxundaån Rosendal</v>
      </c>
      <c r="M4914" s="1" t="s">
        <v>285</v>
      </c>
      <c r="N4914" s="1">
        <v>0.5</v>
      </c>
      <c r="O4914" s="1">
        <v>0.5</v>
      </c>
      <c r="Q4914" s="1">
        <v>3</v>
      </c>
      <c r="T4914" s="1">
        <v>53.3</v>
      </c>
      <c r="V4914" s="1">
        <v>2.25</v>
      </c>
      <c r="W4914" s="1">
        <v>9</v>
      </c>
      <c r="X4914" s="1">
        <f t="shared" si="266"/>
        <v>2.3837830585325966E-2</v>
      </c>
      <c r="Y4914" s="1">
        <v>5.8000000000000003E-2</v>
      </c>
      <c r="Z4914" s="1">
        <v>11</v>
      </c>
      <c r="AA4914" s="1">
        <v>6.3</v>
      </c>
      <c r="AB4914" s="1" t="s">
        <v>266</v>
      </c>
      <c r="AC4914" s="1">
        <v>53.3</v>
      </c>
      <c r="AD4914" s="1">
        <v>1170</v>
      </c>
      <c r="AE4914" s="1">
        <v>7.4</v>
      </c>
      <c r="AI4914" s="1">
        <v>10</v>
      </c>
      <c r="AK4914" s="1">
        <v>41.8</v>
      </c>
      <c r="AL4914" s="1">
        <v>1640</v>
      </c>
      <c r="AR4914" s="1">
        <v>61</v>
      </c>
      <c r="AS4914" s="1">
        <v>0.44</v>
      </c>
      <c r="AT4914" s="1">
        <v>5.5</v>
      </c>
      <c r="AU4914" s="1">
        <v>11</v>
      </c>
      <c r="AV4914" s="1">
        <v>43</v>
      </c>
      <c r="AW4914" s="1">
        <v>27</v>
      </c>
      <c r="AX4914" s="1">
        <v>89</v>
      </c>
      <c r="AY4914" s="1">
        <v>5</v>
      </c>
    </row>
    <row r="4915" spans="1:94" x14ac:dyDescent="0.3">
      <c r="D4915" s="2">
        <f t="shared" si="267"/>
        <v>2021</v>
      </c>
      <c r="E4915" s="2">
        <f t="shared" si="268"/>
        <v>4</v>
      </c>
      <c r="G4915" s="4" t="s">
        <v>303</v>
      </c>
      <c r="H4915" s="1">
        <v>6606237</v>
      </c>
      <c r="I4915" s="1">
        <v>661152</v>
      </c>
      <c r="J4915" s="5" t="s">
        <v>176</v>
      </c>
      <c r="K4915" s="1" t="s">
        <v>256</v>
      </c>
      <c r="L4915" s="1" t="str">
        <f t="shared" si="263"/>
        <v>Oxundaån Rosendal</v>
      </c>
      <c r="M4915" s="1" t="s">
        <v>285</v>
      </c>
      <c r="N4915" s="1">
        <v>0.5</v>
      </c>
      <c r="O4915" s="1">
        <v>0.5</v>
      </c>
      <c r="Q4915" s="1">
        <v>6.8</v>
      </c>
      <c r="T4915" s="1">
        <v>52.2</v>
      </c>
      <c r="V4915" s="1">
        <v>2.36</v>
      </c>
      <c r="W4915" s="1">
        <v>18</v>
      </c>
      <c r="X4915" s="1">
        <f t="shared" si="266"/>
        <v>0.34298844103772064</v>
      </c>
      <c r="Y4915" s="1">
        <v>5.0999999999999997E-2</v>
      </c>
      <c r="Z4915" s="1">
        <v>1</v>
      </c>
      <c r="AA4915" s="1">
        <v>2.9</v>
      </c>
      <c r="AB4915" s="1" t="s">
        <v>266</v>
      </c>
      <c r="AC4915" s="1">
        <v>52.2</v>
      </c>
      <c r="AD4915" s="1">
        <v>588</v>
      </c>
      <c r="AE4915" s="1">
        <v>8.1300000000000008</v>
      </c>
      <c r="AI4915" s="1">
        <v>10.199999999999999</v>
      </c>
      <c r="AK4915" s="1">
        <v>26.5</v>
      </c>
      <c r="AL4915" s="1">
        <v>1170</v>
      </c>
      <c r="AR4915" s="1">
        <v>59</v>
      </c>
      <c r="AS4915" s="1">
        <v>0.43</v>
      </c>
      <c r="AT4915" s="1">
        <v>5.4</v>
      </c>
      <c r="AU4915" s="1">
        <v>11</v>
      </c>
      <c r="AV4915" s="1">
        <v>43</v>
      </c>
      <c r="AW4915" s="1">
        <v>29</v>
      </c>
      <c r="AX4915" s="1">
        <v>76</v>
      </c>
      <c r="AY4915" s="1">
        <v>3.5</v>
      </c>
    </row>
    <row r="4916" spans="1:94" x14ac:dyDescent="0.3">
      <c r="D4916" s="2">
        <f t="shared" si="267"/>
        <v>2021</v>
      </c>
      <c r="E4916" s="2">
        <f t="shared" si="268"/>
        <v>5</v>
      </c>
      <c r="G4916" s="4" t="s">
        <v>304</v>
      </c>
      <c r="H4916" s="1">
        <v>6606237</v>
      </c>
      <c r="I4916" s="1">
        <v>661152</v>
      </c>
      <c r="J4916" s="5" t="s">
        <v>176</v>
      </c>
      <c r="K4916" s="1" t="s">
        <v>256</v>
      </c>
      <c r="L4916" s="1" t="str">
        <f t="shared" si="263"/>
        <v>Oxundaån Rosendal</v>
      </c>
      <c r="M4916" s="1" t="s">
        <v>285</v>
      </c>
      <c r="N4916" s="1">
        <v>0.5</v>
      </c>
      <c r="O4916" s="1">
        <v>0.5</v>
      </c>
      <c r="Q4916" s="1">
        <v>10.4</v>
      </c>
      <c r="T4916" s="1">
        <v>53.3</v>
      </c>
      <c r="V4916" s="1">
        <v>2.46</v>
      </c>
      <c r="W4916" s="1">
        <v>23</v>
      </c>
      <c r="X4916" s="1">
        <f t="shared" si="266"/>
        <v>0.64786927503810254</v>
      </c>
      <c r="Y4916" s="1">
        <v>4.9000000000000002E-2</v>
      </c>
      <c r="Z4916" s="1">
        <v>0.5</v>
      </c>
      <c r="AA4916" s="1">
        <v>4.5</v>
      </c>
      <c r="AB4916" s="1" t="s">
        <v>266</v>
      </c>
      <c r="AC4916" s="1">
        <v>53.3</v>
      </c>
      <c r="AD4916" s="1">
        <v>241</v>
      </c>
      <c r="AE4916" s="1">
        <v>8.18</v>
      </c>
      <c r="AI4916" s="1">
        <v>10.3</v>
      </c>
      <c r="AK4916" s="1">
        <v>30.2</v>
      </c>
      <c r="AL4916" s="1">
        <v>941</v>
      </c>
      <c r="AR4916" s="1">
        <v>61</v>
      </c>
      <c r="AS4916" s="1">
        <v>0.43</v>
      </c>
      <c r="AT4916" s="1">
        <v>5.5</v>
      </c>
      <c r="AU4916" s="1">
        <v>11</v>
      </c>
      <c r="AV4916" s="1">
        <v>44</v>
      </c>
      <c r="AW4916" s="1">
        <v>29</v>
      </c>
      <c r="AX4916" s="1">
        <v>76</v>
      </c>
      <c r="AY4916" s="1">
        <v>2.1</v>
      </c>
    </row>
    <row r="4917" spans="1:94" x14ac:dyDescent="0.3">
      <c r="D4917" s="2">
        <f t="shared" si="267"/>
        <v>2021</v>
      </c>
      <c r="E4917" s="2">
        <f t="shared" si="268"/>
        <v>6</v>
      </c>
      <c r="G4917" s="4" t="s">
        <v>305</v>
      </c>
      <c r="H4917" s="1">
        <v>6606237</v>
      </c>
      <c r="I4917" s="1">
        <v>661152</v>
      </c>
      <c r="J4917" s="5" t="s">
        <v>176</v>
      </c>
      <c r="K4917" s="1" t="s">
        <v>256</v>
      </c>
      <c r="L4917" s="1" t="str">
        <f t="shared" si="263"/>
        <v>Oxundaån Rosendal</v>
      </c>
      <c r="M4917" s="1" t="s">
        <v>285</v>
      </c>
      <c r="N4917" s="1">
        <v>0.5</v>
      </c>
      <c r="O4917" s="1">
        <v>0.5</v>
      </c>
      <c r="Q4917" s="1">
        <v>19</v>
      </c>
      <c r="T4917" s="1">
        <v>52.9</v>
      </c>
      <c r="V4917" s="1">
        <v>2.5299999999999998</v>
      </c>
      <c r="W4917" s="1">
        <v>103</v>
      </c>
      <c r="X4917" s="1">
        <f t="shared" si="266"/>
        <v>2.0870075149075951</v>
      </c>
      <c r="Y4917" s="1">
        <v>5.2999999999999999E-2</v>
      </c>
      <c r="Z4917" s="1">
        <v>4</v>
      </c>
      <c r="AA4917" s="1">
        <v>1.9</v>
      </c>
      <c r="AB4917" s="1" t="s">
        <v>266</v>
      </c>
      <c r="AC4917" s="1">
        <v>52.9</v>
      </c>
      <c r="AD4917" s="1">
        <v>37</v>
      </c>
      <c r="AE4917" s="1">
        <v>7.75</v>
      </c>
      <c r="AI4917" s="1">
        <v>10.9</v>
      </c>
      <c r="AK4917" s="1">
        <v>28.6</v>
      </c>
      <c r="AL4917" s="1">
        <v>870</v>
      </c>
      <c r="AR4917" s="1">
        <v>61</v>
      </c>
      <c r="AS4917" s="1">
        <v>0.44</v>
      </c>
      <c r="AT4917" s="1">
        <v>5.5</v>
      </c>
      <c r="AU4917" s="1">
        <v>11</v>
      </c>
      <c r="AV4917" s="1">
        <v>43</v>
      </c>
      <c r="AW4917" s="1">
        <v>29</v>
      </c>
      <c r="AX4917" s="1">
        <v>74</v>
      </c>
      <c r="AY4917" s="1">
        <v>0.97</v>
      </c>
    </row>
    <row r="4918" spans="1:94" x14ac:dyDescent="0.3">
      <c r="D4918" s="2">
        <f t="shared" si="267"/>
        <v>2021</v>
      </c>
      <c r="E4918" s="2">
        <f t="shared" si="268"/>
        <v>7</v>
      </c>
      <c r="G4918" s="4" t="s">
        <v>306</v>
      </c>
      <c r="H4918" s="1">
        <v>6606237</v>
      </c>
      <c r="I4918" s="1">
        <v>661152</v>
      </c>
      <c r="J4918" s="5" t="s">
        <v>176</v>
      </c>
      <c r="K4918" s="1" t="s">
        <v>256</v>
      </c>
      <c r="L4918" s="1" t="str">
        <f t="shared" si="263"/>
        <v>Oxundaån Rosendal</v>
      </c>
      <c r="M4918" s="1" t="s">
        <v>285</v>
      </c>
      <c r="N4918" s="1">
        <v>0.5</v>
      </c>
      <c r="O4918" s="1">
        <v>0.5</v>
      </c>
      <c r="Q4918" s="1">
        <v>24.5</v>
      </c>
      <c r="T4918" s="1">
        <v>53.3</v>
      </c>
      <c r="V4918" s="1">
        <v>2.62</v>
      </c>
      <c r="W4918" s="1">
        <v>42</v>
      </c>
      <c r="X4918" s="1">
        <f t="shared" si="266"/>
        <v>1.4335331119087633</v>
      </c>
      <c r="Y4918" s="1">
        <v>4.3999999999999997E-2</v>
      </c>
      <c r="Z4918" s="1">
        <v>18</v>
      </c>
      <c r="AA4918" s="1">
        <v>2.1</v>
      </c>
      <c r="AB4918" s="1">
        <v>3</v>
      </c>
      <c r="AC4918" s="1">
        <v>53.3</v>
      </c>
      <c r="AD4918" s="1">
        <v>10</v>
      </c>
      <c r="AE4918" s="1">
        <v>7.81</v>
      </c>
      <c r="AI4918" s="1">
        <v>11.2</v>
      </c>
      <c r="AK4918" s="1">
        <v>44.7</v>
      </c>
      <c r="AL4918" s="1">
        <v>757</v>
      </c>
      <c r="AR4918" s="1">
        <v>63</v>
      </c>
      <c r="AS4918" s="1">
        <v>0.46</v>
      </c>
      <c r="AT4918" s="1">
        <v>5.8</v>
      </c>
      <c r="AU4918" s="1">
        <v>11</v>
      </c>
      <c r="AV4918" s="1">
        <v>43</v>
      </c>
      <c r="AW4918" s="1">
        <v>29</v>
      </c>
      <c r="AX4918" s="1">
        <v>70</v>
      </c>
      <c r="AY4918" s="1">
        <v>0.88</v>
      </c>
    </row>
    <row r="4919" spans="1:94" x14ac:dyDescent="0.3">
      <c r="D4919" s="2">
        <f t="shared" si="267"/>
        <v>2021</v>
      </c>
      <c r="E4919" s="2">
        <f t="shared" si="268"/>
        <v>8</v>
      </c>
      <c r="G4919" s="4" t="s">
        <v>307</v>
      </c>
      <c r="H4919" s="1">
        <v>6606237</v>
      </c>
      <c r="I4919" s="1">
        <v>661152</v>
      </c>
      <c r="J4919" s="5" t="s">
        <v>176</v>
      </c>
      <c r="K4919" s="1" t="s">
        <v>256</v>
      </c>
      <c r="L4919" s="1" t="str">
        <f t="shared" si="263"/>
        <v>Oxundaån Rosendal</v>
      </c>
      <c r="M4919" s="1" t="s">
        <v>285</v>
      </c>
      <c r="N4919" s="1">
        <v>0.5</v>
      </c>
      <c r="O4919" s="1">
        <v>0.5</v>
      </c>
      <c r="Q4919" s="1">
        <v>19.100000000000001</v>
      </c>
      <c r="T4919" s="1">
        <v>53.6</v>
      </c>
      <c r="V4919" s="1">
        <v>2.67</v>
      </c>
      <c r="W4919" s="1">
        <v>59</v>
      </c>
      <c r="X4919" s="1">
        <f t="shared" si="266"/>
        <v>1.204123758208921</v>
      </c>
      <c r="Y4919" s="1">
        <v>4.2999999999999997E-2</v>
      </c>
      <c r="Z4919" s="1">
        <v>38</v>
      </c>
      <c r="AA4919" s="1">
        <v>2.8</v>
      </c>
      <c r="AB4919" s="1">
        <v>5.4</v>
      </c>
      <c r="AC4919" s="1">
        <v>53.6</v>
      </c>
      <c r="AD4919" s="1">
        <v>10</v>
      </c>
      <c r="AE4919" s="1">
        <v>7.75</v>
      </c>
      <c r="AI4919" s="1">
        <v>10.6</v>
      </c>
      <c r="AK4919" s="1">
        <v>65.2</v>
      </c>
      <c r="AL4919" s="1">
        <v>761</v>
      </c>
      <c r="AR4919" s="1">
        <v>62</v>
      </c>
      <c r="AS4919" s="1">
        <v>0.47</v>
      </c>
      <c r="AT4919" s="1">
        <v>6</v>
      </c>
      <c r="AU4919" s="1">
        <v>11</v>
      </c>
      <c r="AV4919" s="1">
        <v>44</v>
      </c>
      <c r="AW4919" s="1">
        <v>30</v>
      </c>
      <c r="AX4919" s="1">
        <v>63</v>
      </c>
      <c r="AY4919" s="1">
        <v>0.65</v>
      </c>
    </row>
    <row r="4920" spans="1:94" x14ac:dyDescent="0.3">
      <c r="D4920" s="2">
        <f t="shared" si="267"/>
        <v>2021</v>
      </c>
      <c r="E4920" s="2">
        <f t="shared" si="268"/>
        <v>9</v>
      </c>
      <c r="G4920" s="4" t="s">
        <v>308</v>
      </c>
      <c r="H4920" s="1">
        <v>6606237</v>
      </c>
      <c r="I4920" s="1">
        <v>661152</v>
      </c>
      <c r="J4920" s="5" t="s">
        <v>176</v>
      </c>
      <c r="K4920" s="1" t="s">
        <v>256</v>
      </c>
      <c r="L4920" s="1" t="str">
        <f t="shared" si="263"/>
        <v>Oxundaån Rosendal</v>
      </c>
      <c r="M4920" s="1" t="s">
        <v>285</v>
      </c>
      <c r="N4920" s="1">
        <v>0.5</v>
      </c>
      <c r="O4920" s="1">
        <v>0.5</v>
      </c>
      <c r="Q4920" s="1">
        <v>15.5</v>
      </c>
      <c r="T4920" s="1">
        <v>52.6</v>
      </c>
      <c r="V4920" s="1">
        <v>2.6</v>
      </c>
      <c r="W4920" s="1">
        <v>81</v>
      </c>
      <c r="X4920" s="1">
        <f t="shared" si="266"/>
        <v>1.1600966283251191</v>
      </c>
      <c r="Y4920" s="1">
        <v>4.1000000000000002E-2</v>
      </c>
      <c r="Z4920" s="1">
        <v>32</v>
      </c>
      <c r="AA4920" s="1">
        <v>2.2000000000000002</v>
      </c>
      <c r="AB4920" s="1" t="s">
        <v>266</v>
      </c>
      <c r="AC4920" s="1">
        <v>52.6</v>
      </c>
      <c r="AD4920" s="1">
        <v>20</v>
      </c>
      <c r="AE4920" s="1">
        <v>7.71</v>
      </c>
      <c r="AI4920" s="1">
        <v>10.5</v>
      </c>
      <c r="AK4920" s="1">
        <v>53.7</v>
      </c>
      <c r="AL4920" s="1">
        <v>715</v>
      </c>
      <c r="AR4920" s="1">
        <v>60</v>
      </c>
      <c r="AS4920" s="1">
        <v>0.48</v>
      </c>
      <c r="AT4920" s="1">
        <v>5.6</v>
      </c>
      <c r="AU4920" s="1">
        <v>11</v>
      </c>
      <c r="AV4920" s="1">
        <v>44</v>
      </c>
      <c r="AW4920" s="1">
        <v>30</v>
      </c>
      <c r="AX4920" s="1">
        <v>68</v>
      </c>
      <c r="AY4920" s="1">
        <v>0.47</v>
      </c>
    </row>
    <row r="4921" spans="1:94" s="8" customFormat="1" x14ac:dyDescent="0.3">
      <c r="A4921" s="1"/>
      <c r="D4921" s="10">
        <f t="shared" si="267"/>
        <v>2021</v>
      </c>
      <c r="E4921" s="10">
        <f t="shared" si="268"/>
        <v>10</v>
      </c>
      <c r="G4921" s="9" t="s">
        <v>309</v>
      </c>
      <c r="H4921" s="8">
        <v>6606237</v>
      </c>
      <c r="I4921" s="8">
        <v>661152</v>
      </c>
      <c r="J4921" s="11" t="s">
        <v>176</v>
      </c>
      <c r="K4921" s="8" t="s">
        <v>256</v>
      </c>
      <c r="L4921" s="8" t="str">
        <f t="shared" si="263"/>
        <v>Oxundaån Rosendal</v>
      </c>
      <c r="M4921" s="8" t="s">
        <v>285</v>
      </c>
      <c r="N4921" s="8">
        <v>0.5</v>
      </c>
      <c r="O4921" s="8">
        <v>0.5</v>
      </c>
      <c r="Q4921" s="8">
        <v>9.5</v>
      </c>
      <c r="T4921" s="8">
        <v>52.7</v>
      </c>
      <c r="V4921" s="8">
        <v>2.56</v>
      </c>
      <c r="W4921" s="8">
        <v>93</v>
      </c>
      <c r="X4921" s="8">
        <f t="shared" si="266"/>
        <v>1.1602280794302353</v>
      </c>
      <c r="Y4921" s="8">
        <v>3.4000000000000002E-2</v>
      </c>
      <c r="Z4921" s="8">
        <v>34</v>
      </c>
      <c r="AA4921" s="8">
        <v>2.4</v>
      </c>
      <c r="AB4921" s="8" t="s">
        <v>266</v>
      </c>
      <c r="AC4921" s="8">
        <v>52.7</v>
      </c>
      <c r="AD4921" s="8">
        <v>90</v>
      </c>
      <c r="AE4921" s="8">
        <v>7.85</v>
      </c>
      <c r="AI4921" s="8">
        <v>9.9</v>
      </c>
      <c r="AK4921" s="8">
        <v>51.6</v>
      </c>
      <c r="AL4921" s="8">
        <v>795</v>
      </c>
      <c r="AR4921" s="8">
        <v>60</v>
      </c>
      <c r="AS4921" s="8">
        <v>0.48</v>
      </c>
      <c r="AT4921" s="8">
        <v>6</v>
      </c>
      <c r="AU4921" s="8">
        <v>11</v>
      </c>
      <c r="AV4921" s="8">
        <v>44</v>
      </c>
      <c r="AW4921" s="8">
        <v>31</v>
      </c>
      <c r="AX4921" s="8">
        <v>69</v>
      </c>
      <c r="AY4921" s="8">
        <v>0.65</v>
      </c>
      <c r="CP4921" s="21"/>
    </row>
    <row r="4922" spans="1:94" x14ac:dyDescent="0.3">
      <c r="A4922" s="1">
        <v>91210</v>
      </c>
      <c r="B4922" s="1" t="s">
        <v>310</v>
      </c>
      <c r="C4922" s="1" t="s">
        <v>294</v>
      </c>
      <c r="D4922" s="1">
        <v>2022</v>
      </c>
      <c r="E4922" s="1">
        <v>2</v>
      </c>
      <c r="G4922" s="4">
        <v>44601</v>
      </c>
      <c r="H4922" s="1" t="s">
        <v>311</v>
      </c>
      <c r="I4922" s="1" t="s">
        <v>312</v>
      </c>
      <c r="J4922" s="1" t="s">
        <v>313</v>
      </c>
      <c r="K4922" s="1"/>
      <c r="L4922" s="1" t="s">
        <v>314</v>
      </c>
      <c r="M4922" s="1" t="s">
        <v>285</v>
      </c>
      <c r="N4922" s="1">
        <v>0.5</v>
      </c>
      <c r="O4922" s="1">
        <v>0.5</v>
      </c>
      <c r="P4922" s="1">
        <v>2</v>
      </c>
      <c r="Q4922" s="1">
        <v>1.4</v>
      </c>
      <c r="R4922" s="1">
        <v>11.7</v>
      </c>
      <c r="S4922" s="1">
        <v>84</v>
      </c>
      <c r="W4922" s="1">
        <v>25</v>
      </c>
      <c r="Y4922" s="1">
        <v>0.05</v>
      </c>
      <c r="Z4922" s="1">
        <v>24</v>
      </c>
      <c r="AA4922" s="1">
        <v>4.4000000000000004</v>
      </c>
      <c r="AD4922" s="1">
        <v>440</v>
      </c>
      <c r="AE4922" s="1">
        <v>7.8</v>
      </c>
      <c r="AK4922" s="1">
        <v>54</v>
      </c>
      <c r="AL4922" s="1">
        <v>920</v>
      </c>
    </row>
    <row r="4923" spans="1:94" x14ac:dyDescent="0.3">
      <c r="A4923" s="1">
        <v>91211</v>
      </c>
      <c r="B4923" s="1" t="s">
        <v>310</v>
      </c>
      <c r="C4923" s="1" t="s">
        <v>294</v>
      </c>
      <c r="D4923" s="1">
        <v>2022</v>
      </c>
      <c r="E4923" s="1">
        <v>2</v>
      </c>
      <c r="G4923" s="4">
        <v>44601</v>
      </c>
      <c r="H4923" s="1" t="s">
        <v>311</v>
      </c>
      <c r="I4923" s="1" t="s">
        <v>312</v>
      </c>
      <c r="J4923" s="1" t="s">
        <v>313</v>
      </c>
      <c r="K4923" s="1"/>
      <c r="L4923" s="1" t="s">
        <v>314</v>
      </c>
      <c r="M4923" s="1">
        <v>1</v>
      </c>
      <c r="N4923" s="1">
        <v>1</v>
      </c>
      <c r="O4923" s="1">
        <v>1</v>
      </c>
      <c r="Q4923" s="1">
        <v>1.4</v>
      </c>
      <c r="R4923" s="1">
        <v>11.5</v>
      </c>
      <c r="S4923" s="1">
        <v>83</v>
      </c>
    </row>
    <row r="4924" spans="1:94" x14ac:dyDescent="0.3">
      <c r="A4924" s="1">
        <v>91212</v>
      </c>
      <c r="B4924" s="1" t="s">
        <v>310</v>
      </c>
      <c r="C4924" s="1" t="s">
        <v>294</v>
      </c>
      <c r="D4924" s="1">
        <v>2022</v>
      </c>
      <c r="E4924" s="1">
        <v>2</v>
      </c>
      <c r="G4924" s="4">
        <v>44601</v>
      </c>
      <c r="H4924" s="1" t="s">
        <v>311</v>
      </c>
      <c r="I4924" s="1" t="s">
        <v>312</v>
      </c>
      <c r="J4924" s="1" t="s">
        <v>313</v>
      </c>
      <c r="K4924" s="1"/>
      <c r="L4924" s="1" t="s">
        <v>314</v>
      </c>
      <c r="M4924" s="1">
        <v>2</v>
      </c>
      <c r="N4924" s="1">
        <v>2</v>
      </c>
      <c r="O4924" s="1">
        <v>2</v>
      </c>
      <c r="Q4924" s="1">
        <v>2.8</v>
      </c>
      <c r="R4924" s="1">
        <v>6.4</v>
      </c>
      <c r="S4924" s="1">
        <v>48</v>
      </c>
    </row>
    <row r="4925" spans="1:94" x14ac:dyDescent="0.3">
      <c r="A4925" s="1">
        <v>91213</v>
      </c>
      <c r="B4925" s="1" t="s">
        <v>310</v>
      </c>
      <c r="C4925" s="1" t="s">
        <v>294</v>
      </c>
      <c r="D4925" s="1">
        <v>2022</v>
      </c>
      <c r="E4925" s="1">
        <v>2</v>
      </c>
      <c r="G4925" s="4">
        <v>44601</v>
      </c>
      <c r="H4925" s="1" t="s">
        <v>311</v>
      </c>
      <c r="I4925" s="1" t="s">
        <v>312</v>
      </c>
      <c r="J4925" s="1" t="s">
        <v>313</v>
      </c>
      <c r="K4925" s="1"/>
      <c r="L4925" s="1" t="s">
        <v>314</v>
      </c>
      <c r="M4925" s="1">
        <v>3</v>
      </c>
      <c r="N4925" s="1">
        <v>3</v>
      </c>
      <c r="O4925" s="1">
        <v>3</v>
      </c>
      <c r="Q4925" s="1">
        <v>3.4</v>
      </c>
      <c r="R4925" s="1">
        <v>3.6</v>
      </c>
      <c r="S4925" s="1">
        <v>28</v>
      </c>
    </row>
    <row r="4926" spans="1:94" x14ac:dyDescent="0.3">
      <c r="A4926" s="1">
        <v>91214</v>
      </c>
      <c r="B4926" s="1" t="s">
        <v>310</v>
      </c>
      <c r="C4926" s="1" t="s">
        <v>294</v>
      </c>
      <c r="D4926" s="1">
        <v>2022</v>
      </c>
      <c r="E4926" s="1">
        <v>2</v>
      </c>
      <c r="G4926" s="4">
        <v>44601</v>
      </c>
      <c r="H4926" s="1" t="s">
        <v>311</v>
      </c>
      <c r="I4926" s="1" t="s">
        <v>312</v>
      </c>
      <c r="J4926" s="1" t="s">
        <v>313</v>
      </c>
      <c r="K4926" s="1"/>
      <c r="L4926" s="1" t="s">
        <v>314</v>
      </c>
      <c r="M4926" s="1">
        <v>4</v>
      </c>
      <c r="N4926" s="1">
        <v>4</v>
      </c>
      <c r="O4926" s="1">
        <v>4</v>
      </c>
      <c r="Q4926" s="1">
        <v>3.7</v>
      </c>
      <c r="R4926" s="1">
        <v>2.5</v>
      </c>
      <c r="S4926" s="1">
        <v>19</v>
      </c>
    </row>
    <row r="4927" spans="1:94" x14ac:dyDescent="0.3">
      <c r="A4927" s="1">
        <v>91215</v>
      </c>
      <c r="B4927" s="1" t="s">
        <v>310</v>
      </c>
      <c r="C4927" s="1" t="s">
        <v>294</v>
      </c>
      <c r="D4927" s="1">
        <v>2022</v>
      </c>
      <c r="E4927" s="1">
        <v>2</v>
      </c>
      <c r="G4927" s="4">
        <v>44601</v>
      </c>
      <c r="H4927" s="1" t="s">
        <v>311</v>
      </c>
      <c r="I4927" s="1" t="s">
        <v>312</v>
      </c>
      <c r="J4927" s="1" t="s">
        <v>313</v>
      </c>
      <c r="K4927" s="1"/>
      <c r="L4927" s="1" t="s">
        <v>314</v>
      </c>
      <c r="M4927" s="1" t="s">
        <v>286</v>
      </c>
      <c r="N4927" s="1">
        <v>5</v>
      </c>
      <c r="O4927" s="1">
        <v>5</v>
      </c>
      <c r="Q4927" s="1">
        <v>3.9</v>
      </c>
      <c r="R4927" s="1">
        <v>2.2999999999999998</v>
      </c>
      <c r="S4927" s="1">
        <v>18</v>
      </c>
      <c r="W4927" s="1">
        <v>220</v>
      </c>
      <c r="Y4927" s="1">
        <v>4.7E-2</v>
      </c>
      <c r="Z4927" s="1">
        <v>47</v>
      </c>
      <c r="AA4927" s="1">
        <v>2</v>
      </c>
      <c r="AD4927" s="1">
        <v>570</v>
      </c>
      <c r="AE4927" s="1">
        <v>7.6</v>
      </c>
      <c r="AK4927" s="1">
        <v>64</v>
      </c>
      <c r="AL4927" s="1">
        <v>1300</v>
      </c>
    </row>
    <row r="4928" spans="1:94" x14ac:dyDescent="0.3">
      <c r="A4928" s="1">
        <v>91216</v>
      </c>
      <c r="B4928" s="1" t="s">
        <v>310</v>
      </c>
      <c r="C4928" s="1" t="s">
        <v>294</v>
      </c>
      <c r="D4928" s="1">
        <v>2022</v>
      </c>
      <c r="E4928" s="1">
        <v>2</v>
      </c>
      <c r="G4928" s="4">
        <v>44600</v>
      </c>
      <c r="H4928" s="1" t="s">
        <v>315</v>
      </c>
      <c r="I4928" s="1" t="s">
        <v>316</v>
      </c>
      <c r="J4928" s="1" t="s">
        <v>317</v>
      </c>
      <c r="K4928" s="1"/>
      <c r="L4928" s="1" t="s">
        <v>318</v>
      </c>
      <c r="M4928" s="1" t="s">
        <v>285</v>
      </c>
      <c r="N4928" s="1">
        <v>0.5</v>
      </c>
      <c r="O4928" s="1">
        <v>0.5</v>
      </c>
      <c r="P4928" s="1">
        <v>4</v>
      </c>
      <c r="Q4928" s="1">
        <v>1.7</v>
      </c>
      <c r="R4928" s="1">
        <v>11.6</v>
      </c>
      <c r="S4928" s="1">
        <v>85</v>
      </c>
      <c r="W4928" s="1">
        <v>220</v>
      </c>
      <c r="Y4928" s="1">
        <v>4.7E-2</v>
      </c>
      <c r="Z4928" s="1">
        <v>47</v>
      </c>
      <c r="AA4928" s="1">
        <v>2</v>
      </c>
      <c r="AD4928" s="1">
        <v>570</v>
      </c>
      <c r="AE4928" s="1">
        <v>7.6</v>
      </c>
      <c r="AK4928" s="1">
        <v>64</v>
      </c>
      <c r="AL4928" s="1">
        <v>1300</v>
      </c>
    </row>
    <row r="4929" spans="1:38" x14ac:dyDescent="0.3">
      <c r="A4929" s="1">
        <v>91217</v>
      </c>
      <c r="B4929" s="1" t="s">
        <v>310</v>
      </c>
      <c r="C4929" s="1" t="s">
        <v>294</v>
      </c>
      <c r="D4929" s="1">
        <v>2022</v>
      </c>
      <c r="E4929" s="1">
        <v>2</v>
      </c>
      <c r="G4929" s="4">
        <v>44600</v>
      </c>
      <c r="H4929" s="1" t="s">
        <v>315</v>
      </c>
      <c r="I4929" s="1" t="s">
        <v>316</v>
      </c>
      <c r="J4929" s="1" t="s">
        <v>317</v>
      </c>
      <c r="K4929" s="1"/>
      <c r="L4929" s="1" t="s">
        <v>318</v>
      </c>
      <c r="M4929" s="1">
        <v>1</v>
      </c>
      <c r="N4929" s="1">
        <v>1</v>
      </c>
      <c r="O4929" s="1">
        <v>1</v>
      </c>
      <c r="Q4929" s="1">
        <v>2.7</v>
      </c>
      <c r="R4929" s="1">
        <v>11.3</v>
      </c>
      <c r="S4929" s="1">
        <v>84</v>
      </c>
      <c r="W4929" s="1">
        <v>41</v>
      </c>
      <c r="Y4929" s="1">
        <v>6.7000000000000004E-2</v>
      </c>
      <c r="Z4929" s="1" t="s">
        <v>319</v>
      </c>
      <c r="AA4929" s="1">
        <v>1.2</v>
      </c>
      <c r="AD4929" s="1">
        <v>210</v>
      </c>
      <c r="AE4929" s="1">
        <v>7.7</v>
      </c>
      <c r="AK4929" s="1">
        <v>18</v>
      </c>
      <c r="AL4929" s="1">
        <v>740</v>
      </c>
    </row>
    <row r="4930" spans="1:38" x14ac:dyDescent="0.3">
      <c r="A4930" s="1">
        <v>91218</v>
      </c>
      <c r="B4930" s="1" t="s">
        <v>310</v>
      </c>
      <c r="C4930" s="1" t="s">
        <v>294</v>
      </c>
      <c r="D4930" s="1">
        <v>2022</v>
      </c>
      <c r="E4930" s="1">
        <v>2</v>
      </c>
      <c r="G4930" s="4">
        <v>44600</v>
      </c>
      <c r="H4930" s="1" t="s">
        <v>315</v>
      </c>
      <c r="I4930" s="1" t="s">
        <v>316</v>
      </c>
      <c r="J4930" s="1" t="s">
        <v>317</v>
      </c>
      <c r="K4930" s="1"/>
      <c r="L4930" s="1" t="s">
        <v>318</v>
      </c>
      <c r="M4930" s="1">
        <v>2</v>
      </c>
      <c r="N4930" s="1">
        <v>2</v>
      </c>
      <c r="O4930" s="1">
        <v>2</v>
      </c>
      <c r="Q4930" s="1">
        <v>3.7</v>
      </c>
      <c r="R4930" s="1">
        <v>9.6</v>
      </c>
      <c r="S4930" s="1">
        <v>75</v>
      </c>
    </row>
    <row r="4931" spans="1:38" x14ac:dyDescent="0.3">
      <c r="A4931" s="1">
        <v>91219</v>
      </c>
      <c r="B4931" s="1" t="s">
        <v>310</v>
      </c>
      <c r="C4931" s="1" t="s">
        <v>294</v>
      </c>
      <c r="D4931" s="1">
        <v>2022</v>
      </c>
      <c r="E4931" s="1">
        <v>2</v>
      </c>
      <c r="G4931" s="4">
        <v>44600</v>
      </c>
      <c r="H4931" s="1" t="s">
        <v>315</v>
      </c>
      <c r="I4931" s="1" t="s">
        <v>316</v>
      </c>
      <c r="J4931" s="1" t="s">
        <v>317</v>
      </c>
      <c r="K4931" s="1"/>
      <c r="L4931" s="1" t="s">
        <v>318</v>
      </c>
      <c r="M4931" s="1">
        <v>3</v>
      </c>
      <c r="N4931" s="1">
        <v>3</v>
      </c>
      <c r="O4931" s="1">
        <v>3</v>
      </c>
      <c r="Q4931" s="1">
        <v>3.9</v>
      </c>
      <c r="R4931" s="1">
        <v>8.4</v>
      </c>
      <c r="S4931" s="1">
        <v>67</v>
      </c>
    </row>
    <row r="4932" spans="1:38" x14ac:dyDescent="0.3">
      <c r="A4932" s="1">
        <v>91220</v>
      </c>
      <c r="B4932" s="1" t="s">
        <v>310</v>
      </c>
      <c r="C4932" s="1" t="s">
        <v>294</v>
      </c>
      <c r="D4932" s="1">
        <v>2022</v>
      </c>
      <c r="E4932" s="1">
        <v>2</v>
      </c>
      <c r="G4932" s="4">
        <v>44600</v>
      </c>
      <c r="H4932" s="1" t="s">
        <v>315</v>
      </c>
      <c r="I4932" s="1" t="s">
        <v>316</v>
      </c>
      <c r="J4932" s="1" t="s">
        <v>317</v>
      </c>
      <c r="K4932" s="1"/>
      <c r="L4932" s="1" t="s">
        <v>318</v>
      </c>
      <c r="M4932" s="1">
        <v>4</v>
      </c>
      <c r="N4932" s="1">
        <v>4</v>
      </c>
      <c r="O4932" s="1">
        <v>4</v>
      </c>
      <c r="Q4932" s="1">
        <v>4.0999999999999996</v>
      </c>
      <c r="R4932" s="1">
        <v>5.8</v>
      </c>
      <c r="S4932" s="1">
        <v>46</v>
      </c>
    </row>
    <row r="4933" spans="1:38" x14ac:dyDescent="0.3">
      <c r="A4933" s="1">
        <v>91221</v>
      </c>
      <c r="B4933" s="1" t="s">
        <v>310</v>
      </c>
      <c r="C4933" s="1" t="s">
        <v>294</v>
      </c>
      <c r="D4933" s="1">
        <v>2022</v>
      </c>
      <c r="E4933" s="1">
        <v>2</v>
      </c>
      <c r="G4933" s="4">
        <v>44600</v>
      </c>
      <c r="H4933" s="1" t="s">
        <v>315</v>
      </c>
      <c r="I4933" s="1" t="s">
        <v>316</v>
      </c>
      <c r="J4933" s="1" t="s">
        <v>317</v>
      </c>
      <c r="K4933" s="1"/>
      <c r="L4933" s="1" t="s">
        <v>318</v>
      </c>
      <c r="M4933" s="1">
        <v>5</v>
      </c>
      <c r="N4933" s="1">
        <v>5</v>
      </c>
      <c r="O4933" s="1">
        <v>5</v>
      </c>
      <c r="Q4933" s="1">
        <v>4.0999999999999996</v>
      </c>
      <c r="R4933" s="1">
        <v>5.7</v>
      </c>
      <c r="S4933" s="1">
        <v>44</v>
      </c>
    </row>
    <row r="4934" spans="1:38" x14ac:dyDescent="0.3">
      <c r="A4934" s="1">
        <v>91222</v>
      </c>
      <c r="B4934" s="1" t="s">
        <v>310</v>
      </c>
      <c r="C4934" s="1" t="s">
        <v>294</v>
      </c>
      <c r="D4934" s="1">
        <v>2022</v>
      </c>
      <c r="E4934" s="1">
        <v>2</v>
      </c>
      <c r="G4934" s="4">
        <v>44600</v>
      </c>
      <c r="H4934" s="1" t="s">
        <v>315</v>
      </c>
      <c r="I4934" s="1" t="s">
        <v>316</v>
      </c>
      <c r="J4934" s="1" t="s">
        <v>317</v>
      </c>
      <c r="K4934" s="1"/>
      <c r="L4934" s="1" t="s">
        <v>318</v>
      </c>
      <c r="M4934" s="1">
        <v>6</v>
      </c>
      <c r="N4934" s="1">
        <v>6</v>
      </c>
      <c r="O4934" s="1">
        <v>6</v>
      </c>
      <c r="Q4934" s="1">
        <v>4.3</v>
      </c>
      <c r="R4934" s="1">
        <v>4.5999999999999996</v>
      </c>
      <c r="S4934" s="1">
        <v>35</v>
      </c>
    </row>
    <row r="4935" spans="1:38" x14ac:dyDescent="0.3">
      <c r="A4935" s="1">
        <v>91223</v>
      </c>
      <c r="B4935" s="1" t="s">
        <v>310</v>
      </c>
      <c r="C4935" s="1" t="s">
        <v>294</v>
      </c>
      <c r="D4935" s="1">
        <v>2022</v>
      </c>
      <c r="E4935" s="1">
        <v>2</v>
      </c>
      <c r="G4935" s="4">
        <v>44600</v>
      </c>
      <c r="H4935" s="1" t="s">
        <v>315</v>
      </c>
      <c r="I4935" s="1" t="s">
        <v>316</v>
      </c>
      <c r="J4935" s="1" t="s">
        <v>317</v>
      </c>
      <c r="K4935" s="1"/>
      <c r="L4935" s="1" t="s">
        <v>318</v>
      </c>
      <c r="M4935" s="1">
        <v>7</v>
      </c>
      <c r="N4935" s="1">
        <v>7</v>
      </c>
      <c r="O4935" s="1">
        <v>7</v>
      </c>
      <c r="Q4935" s="1">
        <v>4.5</v>
      </c>
      <c r="R4935" s="1">
        <v>2.6</v>
      </c>
      <c r="S4935" s="1">
        <v>22</v>
      </c>
    </row>
    <row r="4936" spans="1:38" x14ac:dyDescent="0.3">
      <c r="A4936" s="1">
        <v>91224</v>
      </c>
      <c r="B4936" s="1" t="s">
        <v>310</v>
      </c>
      <c r="C4936" s="1" t="s">
        <v>294</v>
      </c>
      <c r="D4936" s="1">
        <v>2022</v>
      </c>
      <c r="E4936" s="1">
        <v>2</v>
      </c>
      <c r="G4936" s="4">
        <v>44600</v>
      </c>
      <c r="H4936" s="1" t="s">
        <v>315</v>
      </c>
      <c r="I4936" s="1" t="s">
        <v>316</v>
      </c>
      <c r="J4936" s="1" t="s">
        <v>317</v>
      </c>
      <c r="K4936" s="1"/>
      <c r="L4936" s="1" t="s">
        <v>318</v>
      </c>
      <c r="M4936" s="1" t="s">
        <v>286</v>
      </c>
      <c r="N4936" s="1">
        <v>8</v>
      </c>
      <c r="O4936" s="1">
        <v>8</v>
      </c>
      <c r="Q4936" s="1">
        <v>4.5</v>
      </c>
      <c r="R4936" s="1">
        <v>2.6</v>
      </c>
      <c r="S4936" s="1">
        <v>22</v>
      </c>
      <c r="W4936" s="1">
        <v>120</v>
      </c>
      <c r="Y4936" s="1">
        <v>4.3999999999999997E-2</v>
      </c>
      <c r="Z4936" s="1">
        <v>23</v>
      </c>
      <c r="AA4936" s="1">
        <v>1.7</v>
      </c>
      <c r="AD4936" s="1">
        <v>310</v>
      </c>
      <c r="AE4936" s="1">
        <v>7.6</v>
      </c>
      <c r="AK4936" s="1">
        <v>43</v>
      </c>
      <c r="AL4936" s="1">
        <v>890</v>
      </c>
    </row>
    <row r="4937" spans="1:38" x14ac:dyDescent="0.3">
      <c r="A4937" s="1">
        <v>91225</v>
      </c>
      <c r="B4937" s="1" t="s">
        <v>310</v>
      </c>
      <c r="C4937" s="1" t="s">
        <v>294</v>
      </c>
      <c r="D4937" s="1">
        <v>2022</v>
      </c>
      <c r="E4937" s="1">
        <v>2</v>
      </c>
      <c r="G4937" s="4">
        <v>44600</v>
      </c>
      <c r="H4937" s="1" t="s">
        <v>320</v>
      </c>
      <c r="I4937" s="1" t="s">
        <v>321</v>
      </c>
      <c r="J4937" s="1" t="s">
        <v>185</v>
      </c>
      <c r="K4937" s="1"/>
      <c r="L4937" s="1" t="s">
        <v>322</v>
      </c>
      <c r="M4937" s="1" t="s">
        <v>285</v>
      </c>
      <c r="N4937" s="1">
        <v>0.5</v>
      </c>
      <c r="O4937" s="1">
        <v>0.5</v>
      </c>
      <c r="P4937" s="1">
        <v>1.1000000000000001</v>
      </c>
      <c r="Q4937" s="1">
        <v>1.5</v>
      </c>
      <c r="R4937" s="1">
        <v>6.9</v>
      </c>
      <c r="S4937" s="1">
        <v>48</v>
      </c>
      <c r="W4937" s="1">
        <v>190</v>
      </c>
      <c r="Y4937" s="1">
        <v>0.19500000000000001</v>
      </c>
      <c r="Z4937" s="1">
        <v>2.5</v>
      </c>
      <c r="AA4937" s="1">
        <v>6.7</v>
      </c>
      <c r="AD4937" s="1">
        <v>54</v>
      </c>
      <c r="AE4937" s="1">
        <v>7.2</v>
      </c>
      <c r="AK4937" s="1">
        <v>36</v>
      </c>
      <c r="AL4937" s="1">
        <v>770</v>
      </c>
    </row>
    <row r="4938" spans="1:38" x14ac:dyDescent="0.3">
      <c r="A4938" s="1">
        <v>91226</v>
      </c>
      <c r="B4938" s="1" t="s">
        <v>310</v>
      </c>
      <c r="C4938" s="1" t="s">
        <v>294</v>
      </c>
      <c r="D4938" s="1">
        <v>2022</v>
      </c>
      <c r="E4938" s="1">
        <v>2</v>
      </c>
      <c r="G4938" s="4">
        <v>44600</v>
      </c>
      <c r="H4938" s="1" t="s">
        <v>320</v>
      </c>
      <c r="I4938" s="1" t="s">
        <v>321</v>
      </c>
      <c r="J4938" s="1" t="s">
        <v>185</v>
      </c>
      <c r="K4938" s="1"/>
      <c r="L4938" s="1" t="s">
        <v>322</v>
      </c>
      <c r="M4938" s="1">
        <v>1</v>
      </c>
      <c r="N4938" s="1">
        <v>1</v>
      </c>
      <c r="O4938" s="1">
        <v>1</v>
      </c>
      <c r="Q4938" s="1">
        <v>2.2999999999999998</v>
      </c>
      <c r="R4938" s="1">
        <v>2.1</v>
      </c>
      <c r="S4938" s="1">
        <v>15</v>
      </c>
    </row>
    <row r="4939" spans="1:38" x14ac:dyDescent="0.3">
      <c r="A4939" s="1">
        <v>91227</v>
      </c>
      <c r="B4939" s="1" t="s">
        <v>310</v>
      </c>
      <c r="C4939" s="1" t="s">
        <v>294</v>
      </c>
      <c r="D4939" s="1">
        <v>2022</v>
      </c>
      <c r="E4939" s="1">
        <v>2</v>
      </c>
      <c r="G4939" s="4">
        <v>44600</v>
      </c>
      <c r="H4939" s="1" t="s">
        <v>320</v>
      </c>
      <c r="I4939" s="1" t="s">
        <v>321</v>
      </c>
      <c r="J4939" s="1" t="s">
        <v>185</v>
      </c>
      <c r="K4939" s="1"/>
      <c r="L4939" s="1" t="s">
        <v>322</v>
      </c>
      <c r="M4939" s="1" t="s">
        <v>286</v>
      </c>
      <c r="N4939" s="1">
        <v>2</v>
      </c>
      <c r="O4939" s="1">
        <v>2</v>
      </c>
      <c r="Q4939" s="1">
        <v>3.5</v>
      </c>
      <c r="R4939" s="1">
        <v>1.4</v>
      </c>
      <c r="S4939" s="1">
        <v>11</v>
      </c>
      <c r="W4939" s="1">
        <v>180</v>
      </c>
      <c r="Y4939" s="1">
        <v>0.186</v>
      </c>
      <c r="Z4939" s="1">
        <v>3.9</v>
      </c>
      <c r="AA4939" s="1">
        <v>9</v>
      </c>
      <c r="AD4939" s="1">
        <v>76</v>
      </c>
      <c r="AE4939" s="1">
        <v>7.2</v>
      </c>
      <c r="AK4939" s="1">
        <v>41</v>
      </c>
      <c r="AL4939" s="1">
        <v>820</v>
      </c>
    </row>
    <row r="4940" spans="1:38" x14ac:dyDescent="0.3">
      <c r="A4940" s="1">
        <v>91228</v>
      </c>
      <c r="B4940" s="1" t="s">
        <v>310</v>
      </c>
      <c r="C4940" s="1" t="s">
        <v>294</v>
      </c>
      <c r="D4940" s="1">
        <v>2022</v>
      </c>
      <c r="E4940" s="1">
        <v>2</v>
      </c>
      <c r="G4940" s="4">
        <v>44600</v>
      </c>
      <c r="H4940" s="1" t="s">
        <v>323</v>
      </c>
      <c r="I4940" s="1" t="s">
        <v>324</v>
      </c>
      <c r="J4940" s="1" t="s">
        <v>207</v>
      </c>
      <c r="K4940" s="1"/>
      <c r="L4940" s="1" t="s">
        <v>325</v>
      </c>
      <c r="M4940" s="1" t="s">
        <v>285</v>
      </c>
      <c r="N4940" s="1">
        <v>0.5</v>
      </c>
      <c r="O4940" s="1">
        <v>0.5</v>
      </c>
      <c r="P4940" s="1">
        <v>2</v>
      </c>
      <c r="Q4940" s="1">
        <v>1.6</v>
      </c>
      <c r="R4940" s="1">
        <v>9</v>
      </c>
      <c r="S4940" s="1">
        <v>65</v>
      </c>
      <c r="W4940" s="1">
        <v>13</v>
      </c>
      <c r="Y4940" s="1">
        <v>0.55000000000000004</v>
      </c>
      <c r="Z4940" s="1">
        <v>1.4</v>
      </c>
      <c r="AA4940" s="1">
        <v>0.71</v>
      </c>
      <c r="AD4940" s="1">
        <v>220</v>
      </c>
      <c r="AE4940" s="1">
        <v>7.1</v>
      </c>
      <c r="AK4940" s="1">
        <v>24</v>
      </c>
      <c r="AL4940" s="1">
        <v>1100</v>
      </c>
    </row>
    <row r="4941" spans="1:38" x14ac:dyDescent="0.3">
      <c r="A4941" s="1">
        <v>91229</v>
      </c>
      <c r="B4941" s="1" t="s">
        <v>310</v>
      </c>
      <c r="C4941" s="1" t="s">
        <v>294</v>
      </c>
      <c r="D4941" s="1">
        <v>2022</v>
      </c>
      <c r="E4941" s="1">
        <v>2</v>
      </c>
      <c r="G4941" s="4">
        <v>44600</v>
      </c>
      <c r="H4941" s="1" t="s">
        <v>323</v>
      </c>
      <c r="I4941" s="1" t="s">
        <v>324</v>
      </c>
      <c r="J4941" s="1" t="s">
        <v>207</v>
      </c>
      <c r="K4941" s="1"/>
      <c r="L4941" s="1" t="s">
        <v>325</v>
      </c>
      <c r="M4941" s="1">
        <v>1</v>
      </c>
      <c r="N4941" s="1">
        <v>1</v>
      </c>
      <c r="O4941" s="1">
        <v>1</v>
      </c>
      <c r="Q4941" s="1">
        <v>2</v>
      </c>
      <c r="R4941" s="1">
        <v>8</v>
      </c>
      <c r="S4941" s="1">
        <v>59</v>
      </c>
    </row>
    <row r="4942" spans="1:38" x14ac:dyDescent="0.3">
      <c r="A4942" s="1">
        <v>91230</v>
      </c>
      <c r="B4942" s="1" t="s">
        <v>310</v>
      </c>
      <c r="C4942" s="1" t="s">
        <v>294</v>
      </c>
      <c r="D4942" s="1">
        <v>2022</v>
      </c>
      <c r="E4942" s="1">
        <v>2</v>
      </c>
      <c r="G4942" s="4">
        <v>44600</v>
      </c>
      <c r="H4942" s="1" t="s">
        <v>323</v>
      </c>
      <c r="I4942" s="1" t="s">
        <v>324</v>
      </c>
      <c r="J4942" s="1" t="s">
        <v>207</v>
      </c>
      <c r="K4942" s="1"/>
      <c r="L4942" s="1" t="s">
        <v>325</v>
      </c>
      <c r="M4942" s="1">
        <v>2</v>
      </c>
      <c r="N4942" s="1">
        <v>2</v>
      </c>
      <c r="O4942" s="1">
        <v>2</v>
      </c>
      <c r="Q4942" s="1">
        <v>3.3</v>
      </c>
      <c r="R4942" s="1">
        <v>6.7</v>
      </c>
      <c r="S4942" s="1">
        <v>50</v>
      </c>
    </row>
    <row r="4943" spans="1:38" x14ac:dyDescent="0.3">
      <c r="A4943" s="1">
        <v>91231</v>
      </c>
      <c r="B4943" s="1" t="s">
        <v>310</v>
      </c>
      <c r="C4943" s="1" t="s">
        <v>294</v>
      </c>
      <c r="D4943" s="1">
        <v>2022</v>
      </c>
      <c r="E4943" s="1">
        <v>2</v>
      </c>
      <c r="G4943" s="4">
        <v>44600</v>
      </c>
      <c r="H4943" s="1" t="s">
        <v>323</v>
      </c>
      <c r="I4943" s="1" t="s">
        <v>324</v>
      </c>
      <c r="J4943" s="1" t="s">
        <v>207</v>
      </c>
      <c r="K4943" s="1"/>
      <c r="L4943" s="1" t="s">
        <v>325</v>
      </c>
      <c r="M4943" s="1">
        <v>3</v>
      </c>
      <c r="N4943" s="1">
        <v>3</v>
      </c>
      <c r="O4943" s="1">
        <v>3</v>
      </c>
      <c r="Q4943" s="1">
        <v>4</v>
      </c>
      <c r="R4943" s="1">
        <v>3.4</v>
      </c>
      <c r="S4943" s="1">
        <v>27</v>
      </c>
    </row>
    <row r="4944" spans="1:38" x14ac:dyDescent="0.3">
      <c r="A4944" s="1">
        <v>91232</v>
      </c>
      <c r="B4944" s="1" t="s">
        <v>310</v>
      </c>
      <c r="C4944" s="1" t="s">
        <v>294</v>
      </c>
      <c r="D4944" s="1">
        <v>2022</v>
      </c>
      <c r="E4944" s="1">
        <v>2</v>
      </c>
      <c r="G4944" s="4">
        <v>44600</v>
      </c>
      <c r="H4944" s="1" t="s">
        <v>323</v>
      </c>
      <c r="I4944" s="1" t="s">
        <v>324</v>
      </c>
      <c r="J4944" s="1" t="s">
        <v>207</v>
      </c>
      <c r="K4944" s="1"/>
      <c r="L4944" s="1" t="s">
        <v>325</v>
      </c>
      <c r="M4944" s="1" t="s">
        <v>286</v>
      </c>
      <c r="N4944" s="1">
        <v>3.5</v>
      </c>
      <c r="O4944" s="1">
        <v>3.5</v>
      </c>
      <c r="Q4944" s="1">
        <v>4.2</v>
      </c>
      <c r="R4944" s="1">
        <v>1.4</v>
      </c>
      <c r="S4944" s="1">
        <v>11</v>
      </c>
      <c r="W4944" s="1">
        <v>21</v>
      </c>
      <c r="Y4944" s="1">
        <v>0.54100000000000004</v>
      </c>
      <c r="Z4944" s="1">
        <v>2.8</v>
      </c>
      <c r="AA4944" s="1">
        <v>1.3</v>
      </c>
      <c r="AD4944" s="1">
        <v>220</v>
      </c>
      <c r="AE4944" s="1">
        <v>6.9</v>
      </c>
      <c r="AK4944" s="1">
        <v>22</v>
      </c>
      <c r="AL4944" s="1">
        <v>1100</v>
      </c>
    </row>
    <row r="4945" spans="1:38" x14ac:dyDescent="0.3">
      <c r="A4945" s="1">
        <v>91233</v>
      </c>
      <c r="B4945" s="1" t="s">
        <v>310</v>
      </c>
      <c r="C4945" s="1" t="s">
        <v>294</v>
      </c>
      <c r="D4945" s="1">
        <v>2022</v>
      </c>
      <c r="E4945" s="1">
        <v>2</v>
      </c>
      <c r="G4945" s="4">
        <v>44600</v>
      </c>
      <c r="H4945" s="1" t="s">
        <v>326</v>
      </c>
      <c r="I4945" s="1" t="s">
        <v>327</v>
      </c>
      <c r="J4945" s="1" t="s">
        <v>201</v>
      </c>
      <c r="K4945" s="1"/>
      <c r="L4945" s="1" t="s">
        <v>328</v>
      </c>
      <c r="M4945" s="1" t="s">
        <v>285</v>
      </c>
      <c r="N4945" s="1">
        <v>0.5</v>
      </c>
      <c r="O4945" s="1">
        <v>0.5</v>
      </c>
      <c r="P4945" s="1">
        <v>3.6</v>
      </c>
      <c r="Q4945" s="1">
        <v>2.5</v>
      </c>
      <c r="R4945" s="1">
        <v>7.6</v>
      </c>
      <c r="S4945" s="1">
        <v>55</v>
      </c>
      <c r="W4945" s="1">
        <v>13</v>
      </c>
      <c r="Y4945" s="1">
        <v>0.55000000000000004</v>
      </c>
      <c r="Z4945" s="1">
        <v>1.4</v>
      </c>
      <c r="AA4945" s="1">
        <v>0.71</v>
      </c>
      <c r="AD4945" s="1">
        <v>220</v>
      </c>
      <c r="AE4945" s="1">
        <v>7.1</v>
      </c>
      <c r="AK4945" s="1">
        <v>24</v>
      </c>
      <c r="AL4945" s="1">
        <v>1100</v>
      </c>
    </row>
    <row r="4946" spans="1:38" x14ac:dyDescent="0.3">
      <c r="A4946" s="1">
        <v>91234</v>
      </c>
      <c r="B4946" s="1" t="s">
        <v>310</v>
      </c>
      <c r="C4946" s="1" t="s">
        <v>294</v>
      </c>
      <c r="D4946" s="1">
        <v>2022</v>
      </c>
      <c r="E4946" s="1">
        <v>2</v>
      </c>
      <c r="G4946" s="4">
        <v>44600</v>
      </c>
      <c r="H4946" s="1" t="s">
        <v>326</v>
      </c>
      <c r="I4946" s="1" t="s">
        <v>327</v>
      </c>
      <c r="J4946" s="1" t="s">
        <v>201</v>
      </c>
      <c r="K4946" s="1"/>
      <c r="L4946" s="1" t="s">
        <v>328</v>
      </c>
      <c r="M4946" s="1">
        <v>1</v>
      </c>
      <c r="N4946" s="1">
        <v>1</v>
      </c>
      <c r="O4946" s="1">
        <v>1</v>
      </c>
      <c r="Q4946" s="1">
        <v>3.2</v>
      </c>
      <c r="R4946" s="1">
        <v>5.5</v>
      </c>
      <c r="S4946" s="1">
        <v>42</v>
      </c>
    </row>
    <row r="4947" spans="1:38" x14ac:dyDescent="0.3">
      <c r="A4947" s="1">
        <v>91235</v>
      </c>
      <c r="B4947" s="1" t="s">
        <v>310</v>
      </c>
      <c r="C4947" s="1" t="s">
        <v>294</v>
      </c>
      <c r="D4947" s="1">
        <v>2022</v>
      </c>
      <c r="E4947" s="1">
        <v>2</v>
      </c>
      <c r="G4947" s="4">
        <v>44600</v>
      </c>
      <c r="H4947" s="1" t="s">
        <v>326</v>
      </c>
      <c r="I4947" s="1" t="s">
        <v>327</v>
      </c>
      <c r="J4947" s="1" t="s">
        <v>201</v>
      </c>
      <c r="K4947" s="1"/>
      <c r="L4947" s="1" t="s">
        <v>328</v>
      </c>
      <c r="M4947" s="1">
        <v>2</v>
      </c>
      <c r="N4947" s="1">
        <v>2</v>
      </c>
      <c r="O4947" s="1">
        <v>2</v>
      </c>
      <c r="Q4947" s="1">
        <v>3.9</v>
      </c>
      <c r="R4947" s="1">
        <v>3.6</v>
      </c>
      <c r="S4947" s="1">
        <v>27</v>
      </c>
    </row>
    <row r="4948" spans="1:38" x14ac:dyDescent="0.3">
      <c r="A4948" s="1">
        <v>91236</v>
      </c>
      <c r="B4948" s="1" t="s">
        <v>310</v>
      </c>
      <c r="C4948" s="1" t="s">
        <v>294</v>
      </c>
      <c r="D4948" s="1">
        <v>2022</v>
      </c>
      <c r="E4948" s="1">
        <v>2</v>
      </c>
      <c r="G4948" s="4">
        <v>44600</v>
      </c>
      <c r="H4948" s="1" t="s">
        <v>326</v>
      </c>
      <c r="I4948" s="1" t="s">
        <v>327</v>
      </c>
      <c r="J4948" s="1" t="s">
        <v>201</v>
      </c>
      <c r="K4948" s="1"/>
      <c r="L4948" s="1" t="s">
        <v>328</v>
      </c>
      <c r="M4948" s="1">
        <v>3</v>
      </c>
      <c r="N4948" s="1">
        <v>3</v>
      </c>
      <c r="O4948" s="1">
        <v>3</v>
      </c>
      <c r="Q4948" s="1">
        <v>4.3</v>
      </c>
      <c r="R4948" s="1">
        <v>2.9</v>
      </c>
      <c r="S4948" s="1">
        <v>23</v>
      </c>
    </row>
    <row r="4949" spans="1:38" x14ac:dyDescent="0.3">
      <c r="A4949" s="1">
        <v>91237</v>
      </c>
      <c r="B4949" s="1" t="s">
        <v>310</v>
      </c>
      <c r="C4949" s="1" t="s">
        <v>294</v>
      </c>
      <c r="D4949" s="1">
        <v>2022</v>
      </c>
      <c r="E4949" s="1">
        <v>2</v>
      </c>
      <c r="G4949" s="4">
        <v>44600</v>
      </c>
      <c r="H4949" s="1" t="s">
        <v>326</v>
      </c>
      <c r="I4949" s="1" t="s">
        <v>327</v>
      </c>
      <c r="J4949" s="1" t="s">
        <v>201</v>
      </c>
      <c r="K4949" s="1"/>
      <c r="L4949" s="1" t="s">
        <v>328</v>
      </c>
      <c r="M4949" s="1" t="s">
        <v>286</v>
      </c>
      <c r="N4949" s="1">
        <v>4</v>
      </c>
      <c r="O4949" s="1">
        <v>4</v>
      </c>
      <c r="Q4949" s="1">
        <v>4.4000000000000004</v>
      </c>
      <c r="R4949" s="1">
        <v>2.8</v>
      </c>
      <c r="S4949" s="1">
        <v>22</v>
      </c>
      <c r="W4949" s="1">
        <v>21</v>
      </c>
      <c r="Y4949" s="1">
        <v>0.54100000000000004</v>
      </c>
      <c r="Z4949" s="1">
        <v>2.8</v>
      </c>
      <c r="AA4949" s="1">
        <v>1.3</v>
      </c>
      <c r="AD4949" s="1">
        <v>220</v>
      </c>
      <c r="AE4949" s="1">
        <v>6.9</v>
      </c>
      <c r="AK4949" s="1">
        <v>22</v>
      </c>
      <c r="AL4949" s="1">
        <v>1100</v>
      </c>
    </row>
    <row r="4950" spans="1:38" x14ac:dyDescent="0.3">
      <c r="A4950" s="1">
        <v>91238</v>
      </c>
      <c r="B4950" s="1" t="s">
        <v>310</v>
      </c>
      <c r="C4950" s="1" t="s">
        <v>294</v>
      </c>
      <c r="D4950" s="1">
        <v>2022</v>
      </c>
      <c r="E4950" s="1">
        <v>2</v>
      </c>
      <c r="G4950" s="4">
        <v>44603</v>
      </c>
      <c r="H4950" s="1" t="s">
        <v>329</v>
      </c>
      <c r="I4950" s="1" t="s">
        <v>330</v>
      </c>
      <c r="J4950" s="1" t="s">
        <v>186</v>
      </c>
      <c r="K4950" s="1">
        <v>1</v>
      </c>
      <c r="L4950" s="1" t="s">
        <v>331</v>
      </c>
      <c r="M4950" s="1" t="s">
        <v>285</v>
      </c>
      <c r="N4950" s="1">
        <v>0.5</v>
      </c>
      <c r="O4950" s="1">
        <v>0.5</v>
      </c>
      <c r="P4950" s="1">
        <v>1.5</v>
      </c>
      <c r="Q4950" s="1">
        <v>0.6</v>
      </c>
      <c r="R4950" s="1">
        <v>11.6</v>
      </c>
      <c r="S4950" s="1">
        <v>81</v>
      </c>
      <c r="W4950" s="1">
        <v>150</v>
      </c>
      <c r="Y4950" s="1">
        <v>7.1999999999999995E-2</v>
      </c>
      <c r="Z4950" s="1">
        <v>2.9</v>
      </c>
      <c r="AA4950" s="1">
        <v>6</v>
      </c>
      <c r="AD4950" s="1">
        <v>550</v>
      </c>
      <c r="AE4950" s="1">
        <v>7.7</v>
      </c>
      <c r="AK4950" s="1">
        <v>30</v>
      </c>
      <c r="AL4950" s="1">
        <v>1200</v>
      </c>
    </row>
    <row r="4951" spans="1:38" x14ac:dyDescent="0.3">
      <c r="A4951" s="1">
        <v>91239</v>
      </c>
      <c r="B4951" s="1" t="s">
        <v>310</v>
      </c>
      <c r="C4951" s="1" t="s">
        <v>294</v>
      </c>
      <c r="D4951" s="1">
        <v>2022</v>
      </c>
      <c r="E4951" s="1">
        <v>2</v>
      </c>
      <c r="G4951" s="4">
        <v>44603</v>
      </c>
      <c r="H4951" s="1" t="s">
        <v>329</v>
      </c>
      <c r="I4951" s="1" t="s">
        <v>330</v>
      </c>
      <c r="J4951" s="1" t="s">
        <v>186</v>
      </c>
      <c r="K4951" s="1">
        <v>1</v>
      </c>
      <c r="L4951" s="1" t="s">
        <v>331</v>
      </c>
      <c r="M4951" s="1">
        <v>1</v>
      </c>
      <c r="N4951" s="1">
        <v>1</v>
      </c>
      <c r="O4951" s="1">
        <v>1</v>
      </c>
      <c r="Q4951" s="1">
        <v>0.8</v>
      </c>
      <c r="R4951" s="1">
        <v>11</v>
      </c>
      <c r="S4951" s="1">
        <v>77</v>
      </c>
    </row>
    <row r="4952" spans="1:38" x14ac:dyDescent="0.3">
      <c r="A4952" s="1">
        <v>91240</v>
      </c>
      <c r="B4952" s="1" t="s">
        <v>310</v>
      </c>
      <c r="C4952" s="1" t="s">
        <v>294</v>
      </c>
      <c r="D4952" s="1">
        <v>2022</v>
      </c>
      <c r="E4952" s="1">
        <v>2</v>
      </c>
      <c r="G4952" s="4">
        <v>44603</v>
      </c>
      <c r="H4952" s="1" t="s">
        <v>329</v>
      </c>
      <c r="I4952" s="1" t="s">
        <v>330</v>
      </c>
      <c r="J4952" s="1" t="s">
        <v>186</v>
      </c>
      <c r="K4952" s="1">
        <v>1</v>
      </c>
      <c r="L4952" s="1" t="s">
        <v>331</v>
      </c>
      <c r="M4952" s="1">
        <v>2</v>
      </c>
      <c r="N4952" s="1">
        <v>2</v>
      </c>
      <c r="O4952" s="1">
        <v>2</v>
      </c>
      <c r="Q4952" s="1">
        <v>1.8</v>
      </c>
      <c r="R4952" s="1">
        <v>8.6999999999999993</v>
      </c>
      <c r="S4952" s="1">
        <v>63</v>
      </c>
    </row>
    <row r="4953" spans="1:38" x14ac:dyDescent="0.3">
      <c r="A4953" s="1">
        <v>91241</v>
      </c>
      <c r="B4953" s="1" t="s">
        <v>310</v>
      </c>
      <c r="C4953" s="1" t="s">
        <v>294</v>
      </c>
      <c r="D4953" s="1">
        <v>2022</v>
      </c>
      <c r="E4953" s="1">
        <v>2</v>
      </c>
      <c r="G4953" s="4">
        <v>44604</v>
      </c>
      <c r="H4953" s="1" t="s">
        <v>329</v>
      </c>
      <c r="I4953" s="1" t="s">
        <v>330</v>
      </c>
      <c r="J4953" s="1" t="s">
        <v>186</v>
      </c>
      <c r="K4953" s="1">
        <v>1</v>
      </c>
      <c r="L4953" s="1" t="s">
        <v>331</v>
      </c>
      <c r="M4953" s="1" t="s">
        <v>286</v>
      </c>
      <c r="N4953" s="1">
        <v>2.5</v>
      </c>
      <c r="O4953" s="1">
        <v>2.5</v>
      </c>
      <c r="Q4953" s="1">
        <v>1.8</v>
      </c>
      <c r="R4953" s="1">
        <v>1.8</v>
      </c>
      <c r="S4953" s="1">
        <v>63</v>
      </c>
    </row>
    <row r="4954" spans="1:38" x14ac:dyDescent="0.3">
      <c r="A4954" s="1">
        <v>91242</v>
      </c>
      <c r="B4954" s="1" t="s">
        <v>310</v>
      </c>
      <c r="C4954" s="1" t="s">
        <v>294</v>
      </c>
      <c r="D4954" s="1">
        <v>2022</v>
      </c>
      <c r="E4954" s="1">
        <v>2</v>
      </c>
      <c r="G4954" s="4">
        <v>44603</v>
      </c>
      <c r="H4954" s="1" t="s">
        <v>332</v>
      </c>
      <c r="I4954" s="1" t="s">
        <v>333</v>
      </c>
      <c r="J4954" s="1" t="s">
        <v>186</v>
      </c>
      <c r="K4954" s="1">
        <v>2</v>
      </c>
      <c r="L4954" s="1" t="s">
        <v>334</v>
      </c>
      <c r="M4954" s="1" t="s">
        <v>285</v>
      </c>
      <c r="N4954" s="1">
        <v>0.5</v>
      </c>
      <c r="O4954" s="1">
        <v>0.5</v>
      </c>
      <c r="Q4954" s="1">
        <v>2.1</v>
      </c>
      <c r="R4954" s="1">
        <v>12.1</v>
      </c>
      <c r="S4954" s="1">
        <v>88</v>
      </c>
      <c r="W4954" s="1">
        <v>15</v>
      </c>
      <c r="Y4954" s="1">
        <v>4.9000000000000002E-2</v>
      </c>
      <c r="Z4954" s="1">
        <v>17</v>
      </c>
      <c r="AA4954" s="1">
        <v>3.6</v>
      </c>
      <c r="AD4954" s="1">
        <v>410</v>
      </c>
      <c r="AE4954" s="1">
        <v>7.8</v>
      </c>
      <c r="AK4954" s="1">
        <v>36</v>
      </c>
      <c r="AL4954" s="1">
        <v>910</v>
      </c>
    </row>
    <row r="4955" spans="1:38" x14ac:dyDescent="0.3">
      <c r="A4955" s="1">
        <v>91243</v>
      </c>
      <c r="B4955" s="1" t="s">
        <v>310</v>
      </c>
      <c r="C4955" s="1" t="s">
        <v>294</v>
      </c>
      <c r="D4955" s="1">
        <v>2022</v>
      </c>
      <c r="E4955" s="1">
        <v>2</v>
      </c>
      <c r="G4955" s="4">
        <v>44603</v>
      </c>
      <c r="H4955" s="1" t="s">
        <v>332</v>
      </c>
      <c r="I4955" s="1" t="s">
        <v>333</v>
      </c>
      <c r="J4955" s="1" t="s">
        <v>186</v>
      </c>
      <c r="K4955" s="1">
        <v>2</v>
      </c>
      <c r="L4955" s="1" t="s">
        <v>334</v>
      </c>
      <c r="M4955" s="1">
        <v>1</v>
      </c>
      <c r="N4955" s="1">
        <v>1</v>
      </c>
      <c r="O4955" s="1">
        <v>1</v>
      </c>
      <c r="Q4955" s="1">
        <v>2.6</v>
      </c>
      <c r="R4955" s="1">
        <v>12</v>
      </c>
      <c r="S4955" s="1">
        <v>88</v>
      </c>
    </row>
    <row r="4956" spans="1:38" x14ac:dyDescent="0.3">
      <c r="A4956" s="1">
        <v>91244</v>
      </c>
      <c r="B4956" s="1" t="s">
        <v>310</v>
      </c>
      <c r="C4956" s="1" t="s">
        <v>294</v>
      </c>
      <c r="D4956" s="1">
        <v>2022</v>
      </c>
      <c r="E4956" s="1">
        <v>2</v>
      </c>
      <c r="G4956" s="4">
        <v>44603</v>
      </c>
      <c r="H4956" s="1" t="s">
        <v>332</v>
      </c>
      <c r="I4956" s="1" t="s">
        <v>333</v>
      </c>
      <c r="J4956" s="1" t="s">
        <v>186</v>
      </c>
      <c r="K4956" s="1">
        <v>2</v>
      </c>
      <c r="L4956" s="1" t="s">
        <v>334</v>
      </c>
      <c r="M4956" s="1">
        <v>2</v>
      </c>
      <c r="N4956" s="1">
        <v>2</v>
      </c>
      <c r="O4956" s="1">
        <v>2</v>
      </c>
      <c r="Q4956" s="1">
        <v>2.9</v>
      </c>
      <c r="R4956" s="1">
        <v>11</v>
      </c>
      <c r="S4956" s="1">
        <v>82</v>
      </c>
    </row>
    <row r="4957" spans="1:38" x14ac:dyDescent="0.3">
      <c r="A4957" s="1">
        <v>91245</v>
      </c>
      <c r="B4957" s="1" t="s">
        <v>310</v>
      </c>
      <c r="C4957" s="1" t="s">
        <v>294</v>
      </c>
      <c r="D4957" s="1">
        <v>2022</v>
      </c>
      <c r="E4957" s="1">
        <v>2</v>
      </c>
      <c r="G4957" s="4">
        <v>44603</v>
      </c>
      <c r="H4957" s="1" t="s">
        <v>332</v>
      </c>
      <c r="I4957" s="1" t="s">
        <v>333</v>
      </c>
      <c r="J4957" s="1" t="s">
        <v>186</v>
      </c>
      <c r="K4957" s="1">
        <v>2</v>
      </c>
      <c r="L4957" s="1" t="s">
        <v>334</v>
      </c>
      <c r="M4957" s="1">
        <v>3</v>
      </c>
      <c r="N4957" s="1">
        <v>3</v>
      </c>
      <c r="O4957" s="1">
        <v>3</v>
      </c>
      <c r="Q4957" s="1">
        <v>3</v>
      </c>
      <c r="R4957" s="1">
        <v>10.7</v>
      </c>
      <c r="S4957" s="1">
        <v>79</v>
      </c>
    </row>
    <row r="4958" spans="1:38" x14ac:dyDescent="0.3">
      <c r="A4958" s="1">
        <v>91246</v>
      </c>
      <c r="B4958" s="1" t="s">
        <v>310</v>
      </c>
      <c r="C4958" s="1" t="s">
        <v>294</v>
      </c>
      <c r="D4958" s="1">
        <v>2022</v>
      </c>
      <c r="E4958" s="1">
        <v>2</v>
      </c>
      <c r="G4958" s="4">
        <v>44603</v>
      </c>
      <c r="H4958" s="1" t="s">
        <v>332</v>
      </c>
      <c r="I4958" s="1" t="s">
        <v>333</v>
      </c>
      <c r="J4958" s="1" t="s">
        <v>186</v>
      </c>
      <c r="K4958" s="1">
        <v>2</v>
      </c>
      <c r="L4958" s="1" t="s">
        <v>334</v>
      </c>
      <c r="M4958" s="1">
        <v>4</v>
      </c>
      <c r="N4958" s="1">
        <v>4</v>
      </c>
      <c r="O4958" s="1">
        <v>4</v>
      </c>
      <c r="Q4958" s="1">
        <v>3.2</v>
      </c>
      <c r="R4958" s="1">
        <v>10</v>
      </c>
      <c r="S4958" s="1">
        <v>75</v>
      </c>
    </row>
    <row r="4959" spans="1:38" x14ac:dyDescent="0.3">
      <c r="A4959" s="1">
        <v>91247</v>
      </c>
      <c r="B4959" s="1" t="s">
        <v>310</v>
      </c>
      <c r="C4959" s="1" t="s">
        <v>294</v>
      </c>
      <c r="D4959" s="1">
        <v>2022</v>
      </c>
      <c r="E4959" s="1">
        <v>2</v>
      </c>
      <c r="G4959" s="4">
        <v>44603</v>
      </c>
      <c r="H4959" s="1" t="s">
        <v>332</v>
      </c>
      <c r="I4959" s="1" t="s">
        <v>333</v>
      </c>
      <c r="J4959" s="1" t="s">
        <v>186</v>
      </c>
      <c r="K4959" s="1">
        <v>2</v>
      </c>
      <c r="L4959" s="1" t="s">
        <v>334</v>
      </c>
      <c r="M4959" s="1">
        <v>5</v>
      </c>
      <c r="N4959" s="1">
        <v>5</v>
      </c>
      <c r="O4959" s="1">
        <v>5</v>
      </c>
      <c r="Q4959" s="1">
        <v>3.4</v>
      </c>
      <c r="R4959" s="1">
        <v>5.8</v>
      </c>
      <c r="S4959" s="1">
        <v>66</v>
      </c>
    </row>
    <row r="4960" spans="1:38" x14ac:dyDescent="0.3">
      <c r="A4960" s="1">
        <v>91248</v>
      </c>
      <c r="B4960" s="1" t="s">
        <v>310</v>
      </c>
      <c r="C4960" s="1" t="s">
        <v>294</v>
      </c>
      <c r="D4960" s="1">
        <v>2022</v>
      </c>
      <c r="E4960" s="1">
        <v>2</v>
      </c>
      <c r="G4960" s="4">
        <v>44603</v>
      </c>
      <c r="H4960" s="1" t="s">
        <v>332</v>
      </c>
      <c r="I4960" s="1" t="s">
        <v>333</v>
      </c>
      <c r="J4960" s="1" t="s">
        <v>186</v>
      </c>
      <c r="K4960" s="1">
        <v>2</v>
      </c>
      <c r="L4960" s="1" t="s">
        <v>334</v>
      </c>
      <c r="M4960" s="1">
        <v>6</v>
      </c>
      <c r="N4960" s="1">
        <v>6</v>
      </c>
      <c r="O4960" s="1">
        <v>6</v>
      </c>
      <c r="Q4960" s="1">
        <v>3.6</v>
      </c>
      <c r="R4960" s="1">
        <v>6.7</v>
      </c>
      <c r="S4960" s="1">
        <v>50</v>
      </c>
    </row>
    <row r="4961" spans="1:38" x14ac:dyDescent="0.3">
      <c r="A4961" s="1">
        <v>91249</v>
      </c>
      <c r="B4961" s="1" t="s">
        <v>310</v>
      </c>
      <c r="C4961" s="1" t="s">
        <v>294</v>
      </c>
      <c r="D4961" s="1">
        <v>2022</v>
      </c>
      <c r="E4961" s="1">
        <v>2</v>
      </c>
      <c r="G4961" s="4">
        <v>44603</v>
      </c>
      <c r="H4961" s="1" t="s">
        <v>332</v>
      </c>
      <c r="I4961" s="1" t="s">
        <v>333</v>
      </c>
      <c r="J4961" s="1" t="s">
        <v>186</v>
      </c>
      <c r="K4961" s="1">
        <v>2</v>
      </c>
      <c r="L4961" s="1" t="s">
        <v>334</v>
      </c>
      <c r="M4961" s="1">
        <v>7</v>
      </c>
      <c r="N4961" s="1">
        <v>7</v>
      </c>
      <c r="O4961" s="1">
        <v>7</v>
      </c>
      <c r="Q4961" s="1">
        <v>3.6</v>
      </c>
      <c r="R4961" s="1">
        <v>6.6</v>
      </c>
      <c r="S4961" s="1">
        <v>50</v>
      </c>
    </row>
    <row r="4962" spans="1:38" x14ac:dyDescent="0.3">
      <c r="A4962" s="1">
        <v>91250</v>
      </c>
      <c r="B4962" s="1" t="s">
        <v>310</v>
      </c>
      <c r="C4962" s="1" t="s">
        <v>294</v>
      </c>
      <c r="D4962" s="1">
        <v>2022</v>
      </c>
      <c r="E4962" s="1">
        <v>2</v>
      </c>
      <c r="G4962" s="4">
        <v>44603</v>
      </c>
      <c r="H4962" s="1" t="s">
        <v>332</v>
      </c>
      <c r="I4962" s="1" t="s">
        <v>333</v>
      </c>
      <c r="J4962" s="1" t="s">
        <v>186</v>
      </c>
      <c r="K4962" s="1">
        <v>2</v>
      </c>
      <c r="L4962" s="1" t="s">
        <v>334</v>
      </c>
      <c r="M4962" s="1">
        <v>8</v>
      </c>
      <c r="N4962" s="1">
        <v>8</v>
      </c>
      <c r="O4962" s="1">
        <v>8</v>
      </c>
      <c r="Q4962" s="1">
        <v>3.7</v>
      </c>
      <c r="R4962" s="1">
        <v>4.9000000000000004</v>
      </c>
      <c r="S4962" s="1">
        <v>37</v>
      </c>
    </row>
    <row r="4963" spans="1:38" x14ac:dyDescent="0.3">
      <c r="A4963" s="1">
        <v>91251</v>
      </c>
      <c r="B4963" s="1" t="s">
        <v>310</v>
      </c>
      <c r="C4963" s="1" t="s">
        <v>294</v>
      </c>
      <c r="D4963" s="1">
        <v>2022</v>
      </c>
      <c r="E4963" s="1">
        <v>2</v>
      </c>
      <c r="G4963" s="4">
        <v>44603</v>
      </c>
      <c r="H4963" s="1" t="s">
        <v>332</v>
      </c>
      <c r="I4963" s="1" t="s">
        <v>333</v>
      </c>
      <c r="J4963" s="1" t="s">
        <v>186</v>
      </c>
      <c r="K4963" s="1">
        <v>2</v>
      </c>
      <c r="L4963" s="1" t="s">
        <v>334</v>
      </c>
      <c r="M4963" s="1" t="s">
        <v>286</v>
      </c>
      <c r="N4963" s="1">
        <v>9</v>
      </c>
      <c r="O4963" s="1">
        <v>9</v>
      </c>
      <c r="Q4963" s="1">
        <v>3.7</v>
      </c>
      <c r="R4963" s="1">
        <v>4.9000000000000004</v>
      </c>
      <c r="S4963" s="1">
        <v>37</v>
      </c>
      <c r="W4963" s="1">
        <v>50</v>
      </c>
      <c r="Y4963" s="1">
        <v>3.6999999999999998E-2</v>
      </c>
      <c r="Z4963" s="1">
        <v>25</v>
      </c>
      <c r="AA4963" s="1">
        <v>1.9</v>
      </c>
      <c r="AD4963" s="1">
        <v>400</v>
      </c>
      <c r="AE4963" s="1">
        <v>7.7</v>
      </c>
      <c r="AK4963" s="1">
        <v>41</v>
      </c>
      <c r="AL4963" s="1">
        <v>940</v>
      </c>
    </row>
    <row r="4964" spans="1:38" x14ac:dyDescent="0.3">
      <c r="A4964" s="1">
        <v>91252</v>
      </c>
      <c r="B4964" s="1" t="s">
        <v>310</v>
      </c>
      <c r="C4964" s="1" t="s">
        <v>294</v>
      </c>
      <c r="D4964" s="1">
        <v>2022</v>
      </c>
      <c r="E4964" s="1">
        <v>2</v>
      </c>
      <c r="G4964" s="4">
        <v>44603</v>
      </c>
      <c r="H4964" s="1" t="s">
        <v>335</v>
      </c>
      <c r="I4964" s="1" t="s">
        <v>336</v>
      </c>
      <c r="J4964" s="1" t="s">
        <v>186</v>
      </c>
      <c r="K4964" s="1">
        <v>3</v>
      </c>
      <c r="L4964" s="1" t="s">
        <v>337</v>
      </c>
      <c r="M4964" s="1" t="s">
        <v>285</v>
      </c>
      <c r="N4964" s="1">
        <v>0.5</v>
      </c>
      <c r="O4964" s="1">
        <v>0.5</v>
      </c>
      <c r="P4964" s="1">
        <v>1.7</v>
      </c>
      <c r="Q4964" s="1">
        <v>2.5</v>
      </c>
      <c r="R4964" s="1">
        <v>13.4</v>
      </c>
      <c r="S4964" s="1">
        <v>99</v>
      </c>
      <c r="W4964" s="1">
        <v>11</v>
      </c>
      <c r="Y4964" s="1">
        <v>3.5000000000000003E-2</v>
      </c>
      <c r="Z4964" s="1">
        <v>2.6</v>
      </c>
      <c r="AA4964" s="1">
        <v>2.4</v>
      </c>
      <c r="AD4964" s="1">
        <v>190</v>
      </c>
      <c r="AE4964" s="1">
        <v>8.1</v>
      </c>
      <c r="AK4964" s="1">
        <v>27</v>
      </c>
      <c r="AL4964" s="1">
        <v>680</v>
      </c>
    </row>
    <row r="4965" spans="1:38" x14ac:dyDescent="0.3">
      <c r="A4965" s="1">
        <v>91253</v>
      </c>
      <c r="B4965" s="1" t="s">
        <v>310</v>
      </c>
      <c r="C4965" s="1" t="s">
        <v>294</v>
      </c>
      <c r="D4965" s="1">
        <v>2022</v>
      </c>
      <c r="E4965" s="1">
        <v>2</v>
      </c>
      <c r="G4965" s="4">
        <v>44603</v>
      </c>
      <c r="H4965" s="1" t="s">
        <v>335</v>
      </c>
      <c r="I4965" s="1" t="s">
        <v>336</v>
      </c>
      <c r="J4965" s="1" t="s">
        <v>186</v>
      </c>
      <c r="K4965" s="1">
        <v>3</v>
      </c>
      <c r="L4965" s="1" t="s">
        <v>337</v>
      </c>
      <c r="M4965" s="1">
        <v>1</v>
      </c>
      <c r="N4965" s="1">
        <v>1</v>
      </c>
      <c r="O4965" s="1">
        <v>1</v>
      </c>
      <c r="Q4965" s="1">
        <v>3.5</v>
      </c>
      <c r="R4965" s="1">
        <v>14.7</v>
      </c>
      <c r="S4965" s="1">
        <v>111</v>
      </c>
    </row>
    <row r="4966" spans="1:38" x14ac:dyDescent="0.3">
      <c r="A4966" s="1">
        <v>91254</v>
      </c>
      <c r="B4966" s="1" t="s">
        <v>310</v>
      </c>
      <c r="C4966" s="1" t="s">
        <v>294</v>
      </c>
      <c r="D4966" s="1">
        <v>2022</v>
      </c>
      <c r="E4966" s="1">
        <v>2</v>
      </c>
      <c r="G4966" s="4">
        <v>44603</v>
      </c>
      <c r="H4966" s="1" t="s">
        <v>335</v>
      </c>
      <c r="I4966" s="1" t="s">
        <v>336</v>
      </c>
      <c r="J4966" s="1" t="s">
        <v>186</v>
      </c>
      <c r="K4966" s="1">
        <v>3</v>
      </c>
      <c r="L4966" s="1" t="s">
        <v>337</v>
      </c>
      <c r="M4966" s="1">
        <v>2</v>
      </c>
      <c r="N4966" s="1">
        <v>2</v>
      </c>
      <c r="O4966" s="1">
        <v>2</v>
      </c>
      <c r="Q4966" s="1">
        <v>3.7</v>
      </c>
      <c r="R4966" s="1">
        <v>13.1</v>
      </c>
      <c r="S4966" s="1">
        <v>101</v>
      </c>
    </row>
    <row r="4967" spans="1:38" x14ac:dyDescent="0.3">
      <c r="A4967" s="1">
        <v>91255</v>
      </c>
      <c r="B4967" s="1" t="s">
        <v>310</v>
      </c>
      <c r="C4967" s="1" t="s">
        <v>294</v>
      </c>
      <c r="D4967" s="1">
        <v>2022</v>
      </c>
      <c r="E4967" s="1">
        <v>2</v>
      </c>
      <c r="G4967" s="4">
        <v>44603</v>
      </c>
      <c r="H4967" s="1" t="s">
        <v>335</v>
      </c>
      <c r="I4967" s="1" t="s">
        <v>336</v>
      </c>
      <c r="J4967" s="1" t="s">
        <v>186</v>
      </c>
      <c r="K4967" s="1">
        <v>3</v>
      </c>
      <c r="L4967" s="1" t="s">
        <v>337</v>
      </c>
      <c r="M4967" s="1">
        <v>3</v>
      </c>
      <c r="N4967" s="1">
        <v>3</v>
      </c>
      <c r="O4967" s="1">
        <v>3</v>
      </c>
      <c r="Q4967" s="1">
        <v>3.7</v>
      </c>
      <c r="R4967" s="1">
        <v>10.3</v>
      </c>
      <c r="S4967" s="1">
        <v>80</v>
      </c>
    </row>
    <row r="4968" spans="1:38" x14ac:dyDescent="0.3">
      <c r="A4968" s="1">
        <v>91256</v>
      </c>
      <c r="B4968" s="1" t="s">
        <v>310</v>
      </c>
      <c r="C4968" s="1" t="s">
        <v>294</v>
      </c>
      <c r="D4968" s="1">
        <v>2022</v>
      </c>
      <c r="E4968" s="1">
        <v>2</v>
      </c>
      <c r="G4968" s="4">
        <v>44603</v>
      </c>
      <c r="H4968" s="1" t="s">
        <v>335</v>
      </c>
      <c r="I4968" s="1" t="s">
        <v>336</v>
      </c>
      <c r="J4968" s="1" t="s">
        <v>186</v>
      </c>
      <c r="K4968" s="1">
        <v>3</v>
      </c>
      <c r="L4968" s="1" t="s">
        <v>337</v>
      </c>
      <c r="M4968" s="1">
        <v>4</v>
      </c>
      <c r="N4968" s="1">
        <v>4</v>
      </c>
      <c r="O4968" s="1">
        <v>4</v>
      </c>
      <c r="Q4968" s="1">
        <v>3.6</v>
      </c>
      <c r="R4968" s="1">
        <v>8.1999999999999993</v>
      </c>
      <c r="S4968" s="1">
        <v>61</v>
      </c>
    </row>
    <row r="4969" spans="1:38" x14ac:dyDescent="0.3">
      <c r="A4969" s="1">
        <v>91257</v>
      </c>
      <c r="B4969" s="1" t="s">
        <v>310</v>
      </c>
      <c r="C4969" s="1" t="s">
        <v>294</v>
      </c>
      <c r="D4969" s="1">
        <v>2022</v>
      </c>
      <c r="E4969" s="1">
        <v>2</v>
      </c>
      <c r="G4969" s="4">
        <v>44603</v>
      </c>
      <c r="H4969" s="1" t="s">
        <v>335</v>
      </c>
      <c r="I4969" s="1" t="s">
        <v>336</v>
      </c>
      <c r="J4969" s="1" t="s">
        <v>186</v>
      </c>
      <c r="K4969" s="1">
        <v>3</v>
      </c>
      <c r="L4969" s="1" t="s">
        <v>337</v>
      </c>
      <c r="M4969" s="1">
        <v>5</v>
      </c>
      <c r="N4969" s="1">
        <v>5</v>
      </c>
      <c r="O4969" s="1">
        <v>5</v>
      </c>
      <c r="Q4969" s="1">
        <v>3.7</v>
      </c>
      <c r="R4969" s="1">
        <v>7</v>
      </c>
      <c r="S4969" s="1">
        <v>53</v>
      </c>
    </row>
    <row r="4970" spans="1:38" x14ac:dyDescent="0.3">
      <c r="A4970" s="1">
        <v>91258</v>
      </c>
      <c r="B4970" s="1" t="s">
        <v>310</v>
      </c>
      <c r="C4970" s="1" t="s">
        <v>294</v>
      </c>
      <c r="D4970" s="1">
        <v>2022</v>
      </c>
      <c r="E4970" s="1">
        <v>2</v>
      </c>
      <c r="G4970" s="4">
        <v>44603</v>
      </c>
      <c r="H4970" s="1" t="s">
        <v>335</v>
      </c>
      <c r="I4970" s="1" t="s">
        <v>336</v>
      </c>
      <c r="J4970" s="1" t="s">
        <v>186</v>
      </c>
      <c r="K4970" s="1">
        <v>3</v>
      </c>
      <c r="L4970" s="1" t="s">
        <v>337</v>
      </c>
      <c r="M4970" s="1">
        <v>6</v>
      </c>
      <c r="N4970" s="1">
        <v>6</v>
      </c>
      <c r="O4970" s="1">
        <v>6</v>
      </c>
      <c r="Q4970" s="1">
        <v>3.7</v>
      </c>
      <c r="R4970" s="1">
        <v>6.1</v>
      </c>
      <c r="S4970" s="1">
        <v>47</v>
      </c>
    </row>
    <row r="4971" spans="1:38" x14ac:dyDescent="0.3">
      <c r="A4971" s="1">
        <v>91259</v>
      </c>
      <c r="B4971" s="1" t="s">
        <v>310</v>
      </c>
      <c r="C4971" s="1" t="s">
        <v>294</v>
      </c>
      <c r="D4971" s="1">
        <v>2022</v>
      </c>
      <c r="E4971" s="1">
        <v>2</v>
      </c>
      <c r="G4971" s="4">
        <v>44603</v>
      </c>
      <c r="H4971" s="1" t="s">
        <v>335</v>
      </c>
      <c r="I4971" s="1" t="s">
        <v>336</v>
      </c>
      <c r="J4971" s="1" t="s">
        <v>186</v>
      </c>
      <c r="K4971" s="1">
        <v>3</v>
      </c>
      <c r="L4971" s="1" t="s">
        <v>337</v>
      </c>
      <c r="M4971" s="1">
        <v>7</v>
      </c>
      <c r="N4971" s="1">
        <v>7</v>
      </c>
      <c r="O4971" s="1">
        <v>7</v>
      </c>
      <c r="Q4971" s="1">
        <v>3.8</v>
      </c>
      <c r="R4971" s="1">
        <v>5.2</v>
      </c>
      <c r="S4971" s="1">
        <v>40</v>
      </c>
    </row>
    <row r="4972" spans="1:38" x14ac:dyDescent="0.3">
      <c r="A4972" s="1">
        <v>91260</v>
      </c>
      <c r="B4972" s="1" t="s">
        <v>310</v>
      </c>
      <c r="C4972" s="1" t="s">
        <v>294</v>
      </c>
      <c r="D4972" s="1">
        <v>2022</v>
      </c>
      <c r="E4972" s="1">
        <v>2</v>
      </c>
      <c r="G4972" s="4">
        <v>44603</v>
      </c>
      <c r="H4972" s="1" t="s">
        <v>335</v>
      </c>
      <c r="I4972" s="1" t="s">
        <v>336</v>
      </c>
      <c r="J4972" s="1" t="s">
        <v>186</v>
      </c>
      <c r="K4972" s="1">
        <v>3</v>
      </c>
      <c r="L4972" s="1" t="s">
        <v>337</v>
      </c>
      <c r="M4972" s="1">
        <v>8</v>
      </c>
      <c r="N4972" s="1">
        <v>8</v>
      </c>
      <c r="O4972" s="1">
        <v>8</v>
      </c>
      <c r="Q4972" s="1">
        <v>4</v>
      </c>
      <c r="R4972" s="1">
        <v>3.7</v>
      </c>
      <c r="S4972" s="1">
        <v>29</v>
      </c>
    </row>
    <row r="4973" spans="1:38" x14ac:dyDescent="0.3">
      <c r="A4973" s="1">
        <v>91261</v>
      </c>
      <c r="B4973" s="1" t="s">
        <v>310</v>
      </c>
      <c r="C4973" s="1" t="s">
        <v>294</v>
      </c>
      <c r="D4973" s="1">
        <v>2022</v>
      </c>
      <c r="E4973" s="1">
        <v>2</v>
      </c>
      <c r="G4973" s="4">
        <v>44603</v>
      </c>
      <c r="H4973" s="1" t="s">
        <v>335</v>
      </c>
      <c r="I4973" s="1" t="s">
        <v>336</v>
      </c>
      <c r="J4973" s="1" t="s">
        <v>186</v>
      </c>
      <c r="K4973" s="1">
        <v>3</v>
      </c>
      <c r="L4973" s="1" t="s">
        <v>337</v>
      </c>
      <c r="M4973" s="1">
        <v>9</v>
      </c>
      <c r="N4973" s="1">
        <v>9</v>
      </c>
      <c r="O4973" s="1">
        <v>9</v>
      </c>
      <c r="Q4973" s="1">
        <v>4.3</v>
      </c>
      <c r="R4973" s="1">
        <v>1.9</v>
      </c>
      <c r="S4973" s="1">
        <v>16</v>
      </c>
    </row>
    <row r="4974" spans="1:38" x14ac:dyDescent="0.3">
      <c r="A4974" s="1">
        <v>91262</v>
      </c>
      <c r="B4974" s="1" t="s">
        <v>310</v>
      </c>
      <c r="C4974" s="1" t="s">
        <v>294</v>
      </c>
      <c r="D4974" s="1">
        <v>2022</v>
      </c>
      <c r="E4974" s="1">
        <v>2</v>
      </c>
      <c r="G4974" s="4">
        <v>44603</v>
      </c>
      <c r="H4974" s="1" t="s">
        <v>335</v>
      </c>
      <c r="I4974" s="1" t="s">
        <v>336</v>
      </c>
      <c r="J4974" s="1" t="s">
        <v>186</v>
      </c>
      <c r="K4974" s="1">
        <v>3</v>
      </c>
      <c r="L4974" s="1" t="s">
        <v>337</v>
      </c>
      <c r="M4974" s="1">
        <v>10</v>
      </c>
      <c r="N4974" s="1">
        <v>10</v>
      </c>
      <c r="O4974" s="1">
        <v>10</v>
      </c>
      <c r="Q4974" s="1">
        <v>4.3</v>
      </c>
      <c r="R4974" s="1">
        <v>1.9</v>
      </c>
      <c r="S4974" s="1">
        <v>15</v>
      </c>
    </row>
    <row r="4975" spans="1:38" x14ac:dyDescent="0.3">
      <c r="A4975" s="1">
        <v>91263</v>
      </c>
      <c r="B4975" s="1" t="s">
        <v>310</v>
      </c>
      <c r="C4975" s="1" t="s">
        <v>294</v>
      </c>
      <c r="D4975" s="1">
        <v>2022</v>
      </c>
      <c r="E4975" s="1">
        <v>2</v>
      </c>
      <c r="G4975" s="4">
        <v>44603</v>
      </c>
      <c r="H4975" s="1" t="s">
        <v>335</v>
      </c>
      <c r="I4975" s="1" t="s">
        <v>336</v>
      </c>
      <c r="J4975" s="1" t="s">
        <v>186</v>
      </c>
      <c r="K4975" s="1">
        <v>3</v>
      </c>
      <c r="L4975" s="1" t="s">
        <v>337</v>
      </c>
      <c r="M4975" s="1" t="s">
        <v>286</v>
      </c>
      <c r="N4975" s="1">
        <v>11</v>
      </c>
      <c r="O4975" s="1">
        <v>11</v>
      </c>
      <c r="Q4975" s="1">
        <v>4.3</v>
      </c>
      <c r="R4975" s="1">
        <v>1.9</v>
      </c>
      <c r="S4975" s="1">
        <v>15</v>
      </c>
      <c r="W4975" s="1">
        <v>32</v>
      </c>
      <c r="Y4975" s="1">
        <v>3.7999999999999999E-2</v>
      </c>
      <c r="Z4975" s="1">
        <v>26</v>
      </c>
      <c r="AA4975" s="1">
        <v>1.9</v>
      </c>
      <c r="AD4975" s="1">
        <v>530</v>
      </c>
      <c r="AE4975" s="1">
        <v>7.6</v>
      </c>
      <c r="AK4975" s="1">
        <v>36</v>
      </c>
      <c r="AL4975" s="1">
        <v>1100</v>
      </c>
    </row>
    <row r="4976" spans="1:38" x14ac:dyDescent="0.3">
      <c r="A4976" s="1">
        <v>91264</v>
      </c>
      <c r="B4976" s="1" t="s">
        <v>310</v>
      </c>
      <c r="C4976" s="1" t="s">
        <v>294</v>
      </c>
      <c r="D4976" s="1">
        <v>2022</v>
      </c>
      <c r="E4976" s="1">
        <v>2</v>
      </c>
      <c r="G4976" s="4">
        <v>44603</v>
      </c>
      <c r="H4976" s="1" t="s">
        <v>338</v>
      </c>
      <c r="I4976" s="1" t="s">
        <v>339</v>
      </c>
      <c r="J4976" s="1" t="s">
        <v>186</v>
      </c>
      <c r="K4976" s="1">
        <v>4</v>
      </c>
      <c r="L4976" s="1" t="s">
        <v>340</v>
      </c>
      <c r="M4976" s="1" t="s">
        <v>285</v>
      </c>
      <c r="N4976" s="1">
        <v>0.5</v>
      </c>
      <c r="O4976" s="1">
        <v>0.5</v>
      </c>
      <c r="P4976" s="1">
        <v>1</v>
      </c>
      <c r="Q4976" s="1">
        <v>2.2000000000000002</v>
      </c>
      <c r="R4976" s="1">
        <v>12.3</v>
      </c>
      <c r="S4976" s="1">
        <v>89</v>
      </c>
      <c r="W4976" s="1">
        <v>54</v>
      </c>
      <c r="Y4976" s="1">
        <v>0.13500000000000001</v>
      </c>
      <c r="Z4976" s="1">
        <v>21</v>
      </c>
      <c r="AA4976" s="1">
        <v>13</v>
      </c>
      <c r="AD4976" s="1">
        <v>700</v>
      </c>
      <c r="AE4976" s="1">
        <v>7.7</v>
      </c>
      <c r="AK4976" s="1">
        <v>51</v>
      </c>
      <c r="AL4976" s="1">
        <v>1200</v>
      </c>
    </row>
    <row r="4977" spans="1:38" x14ac:dyDescent="0.3">
      <c r="A4977" s="1">
        <v>91265</v>
      </c>
      <c r="B4977" s="1" t="s">
        <v>310</v>
      </c>
      <c r="C4977" s="1" t="s">
        <v>294</v>
      </c>
      <c r="D4977" s="1">
        <v>2022</v>
      </c>
      <c r="E4977" s="1">
        <v>2</v>
      </c>
      <c r="G4977" s="4">
        <v>44603</v>
      </c>
      <c r="H4977" s="1" t="s">
        <v>338</v>
      </c>
      <c r="I4977" s="1" t="s">
        <v>339</v>
      </c>
      <c r="J4977" s="1" t="s">
        <v>186</v>
      </c>
      <c r="K4977" s="1">
        <v>4</v>
      </c>
      <c r="L4977" s="1" t="s">
        <v>340</v>
      </c>
      <c r="M4977" s="1">
        <v>1</v>
      </c>
      <c r="N4977" s="1">
        <v>1</v>
      </c>
      <c r="O4977" s="1">
        <v>1</v>
      </c>
      <c r="Q4977" s="1">
        <v>2.2999999999999998</v>
      </c>
      <c r="R4977" s="1">
        <v>11.9</v>
      </c>
      <c r="S4977" s="1">
        <v>86</v>
      </c>
    </row>
    <row r="4978" spans="1:38" x14ac:dyDescent="0.3">
      <c r="A4978" s="1">
        <v>91266</v>
      </c>
      <c r="B4978" s="1" t="s">
        <v>310</v>
      </c>
      <c r="C4978" s="1" t="s">
        <v>294</v>
      </c>
      <c r="D4978" s="1">
        <v>2022</v>
      </c>
      <c r="E4978" s="1">
        <v>2</v>
      </c>
      <c r="G4978" s="4">
        <v>44603</v>
      </c>
      <c r="H4978" s="1" t="s">
        <v>338</v>
      </c>
      <c r="I4978" s="1" t="s">
        <v>339</v>
      </c>
      <c r="J4978" s="1" t="s">
        <v>186</v>
      </c>
      <c r="K4978" s="1">
        <v>4</v>
      </c>
      <c r="L4978" s="1" t="s">
        <v>340</v>
      </c>
      <c r="M4978" s="1">
        <v>2</v>
      </c>
      <c r="N4978" s="1">
        <v>2</v>
      </c>
      <c r="O4978" s="1">
        <v>2</v>
      </c>
      <c r="Q4978" s="1">
        <v>2.9</v>
      </c>
      <c r="R4978" s="1">
        <v>10.4</v>
      </c>
      <c r="S4978" s="1">
        <v>77</v>
      </c>
    </row>
    <row r="4979" spans="1:38" x14ac:dyDescent="0.3">
      <c r="A4979" s="1">
        <v>91267</v>
      </c>
      <c r="B4979" s="1" t="s">
        <v>310</v>
      </c>
      <c r="C4979" s="1" t="s">
        <v>294</v>
      </c>
      <c r="D4979" s="1">
        <v>2022</v>
      </c>
      <c r="E4979" s="1">
        <v>2</v>
      </c>
      <c r="G4979" s="4">
        <v>44603</v>
      </c>
      <c r="H4979" s="1" t="s">
        <v>338</v>
      </c>
      <c r="I4979" s="1" t="s">
        <v>339</v>
      </c>
      <c r="J4979" s="1" t="s">
        <v>186</v>
      </c>
      <c r="K4979" s="1">
        <v>4</v>
      </c>
      <c r="L4979" s="1" t="s">
        <v>340</v>
      </c>
      <c r="M4979" s="1" t="s">
        <v>286</v>
      </c>
      <c r="N4979" s="1">
        <v>3</v>
      </c>
      <c r="O4979" s="1">
        <v>3</v>
      </c>
      <c r="Q4979" s="1">
        <v>2.9</v>
      </c>
      <c r="R4979" s="1">
        <v>10.4</v>
      </c>
      <c r="S4979" s="1">
        <v>77</v>
      </c>
    </row>
    <row r="4980" spans="1:38" x14ac:dyDescent="0.3">
      <c r="A4980" s="1">
        <v>91268</v>
      </c>
      <c r="B4980" s="1" t="s">
        <v>310</v>
      </c>
      <c r="C4980" s="1" t="s">
        <v>294</v>
      </c>
      <c r="D4980" s="1">
        <v>2022</v>
      </c>
      <c r="E4980" s="1">
        <v>2</v>
      </c>
      <c r="G4980" s="4">
        <v>44601</v>
      </c>
      <c r="H4980" s="1" t="s">
        <v>341</v>
      </c>
      <c r="I4980" s="1" t="s">
        <v>342</v>
      </c>
      <c r="J4980" s="1" t="s">
        <v>187</v>
      </c>
      <c r="K4980" s="1"/>
      <c r="L4980" s="1" t="s">
        <v>343</v>
      </c>
      <c r="M4980" s="1" t="s">
        <v>285</v>
      </c>
      <c r="N4980" s="1">
        <v>0.5</v>
      </c>
      <c r="O4980" s="1">
        <v>0.5</v>
      </c>
      <c r="P4980" s="1">
        <v>0.9</v>
      </c>
      <c r="Q4980" s="1">
        <v>1.7</v>
      </c>
      <c r="R4980" s="1">
        <v>12.4</v>
      </c>
      <c r="S4980" s="1">
        <v>89</v>
      </c>
      <c r="W4980" s="1">
        <v>130</v>
      </c>
      <c r="Y4980" s="1">
        <v>8.2000000000000003E-2</v>
      </c>
      <c r="Z4980" s="1">
        <v>31</v>
      </c>
      <c r="AA4980" s="1">
        <v>13</v>
      </c>
      <c r="AD4980" s="1">
        <v>690</v>
      </c>
      <c r="AE4980" s="1">
        <v>7.6</v>
      </c>
      <c r="AK4980" s="1">
        <v>72</v>
      </c>
      <c r="AL4980" s="1">
        <v>1300</v>
      </c>
    </row>
    <row r="4981" spans="1:38" x14ac:dyDescent="0.3">
      <c r="A4981" s="1">
        <v>91269</v>
      </c>
      <c r="B4981" s="1" t="s">
        <v>310</v>
      </c>
      <c r="C4981" s="1" t="s">
        <v>294</v>
      </c>
      <c r="D4981" s="1">
        <v>2022</v>
      </c>
      <c r="E4981" s="1">
        <v>2</v>
      </c>
      <c r="G4981" s="4">
        <v>44601</v>
      </c>
      <c r="H4981" s="1" t="s">
        <v>341</v>
      </c>
      <c r="I4981" s="1" t="s">
        <v>342</v>
      </c>
      <c r="J4981" s="1" t="s">
        <v>187</v>
      </c>
      <c r="K4981" s="1"/>
      <c r="L4981" s="1" t="s">
        <v>343</v>
      </c>
      <c r="M4981" s="1">
        <v>1</v>
      </c>
      <c r="N4981" s="1">
        <v>1</v>
      </c>
      <c r="O4981" s="1">
        <v>1</v>
      </c>
      <c r="Q4981" s="1">
        <v>1.7</v>
      </c>
      <c r="R4981" s="1">
        <v>11.4</v>
      </c>
      <c r="S4981" s="1">
        <v>83</v>
      </c>
    </row>
    <row r="4982" spans="1:38" x14ac:dyDescent="0.3">
      <c r="A4982" s="1">
        <v>91270</v>
      </c>
      <c r="B4982" s="1" t="s">
        <v>310</v>
      </c>
      <c r="C4982" s="1" t="s">
        <v>294</v>
      </c>
      <c r="D4982" s="1">
        <v>2022</v>
      </c>
      <c r="E4982" s="1">
        <v>2</v>
      </c>
      <c r="G4982" s="4">
        <v>44601</v>
      </c>
      <c r="H4982" s="1" t="s">
        <v>341</v>
      </c>
      <c r="I4982" s="1" t="s">
        <v>342</v>
      </c>
      <c r="J4982" s="1" t="s">
        <v>187</v>
      </c>
      <c r="K4982" s="1"/>
      <c r="L4982" s="1" t="s">
        <v>343</v>
      </c>
      <c r="M4982" s="1">
        <v>2</v>
      </c>
      <c r="N4982" s="1">
        <v>2</v>
      </c>
      <c r="O4982" s="1">
        <v>2</v>
      </c>
      <c r="Q4982" s="1">
        <v>2.2999999999999998</v>
      </c>
      <c r="R4982" s="1">
        <v>9.4</v>
      </c>
      <c r="S4982" s="1">
        <v>70</v>
      </c>
    </row>
    <row r="4983" spans="1:38" x14ac:dyDescent="0.3">
      <c r="A4983" s="1">
        <v>91271</v>
      </c>
      <c r="B4983" s="1" t="s">
        <v>310</v>
      </c>
      <c r="C4983" s="1" t="s">
        <v>294</v>
      </c>
      <c r="D4983" s="1">
        <v>2022</v>
      </c>
      <c r="E4983" s="1">
        <v>2</v>
      </c>
      <c r="G4983" s="4">
        <v>44601</v>
      </c>
      <c r="H4983" s="1" t="s">
        <v>341</v>
      </c>
      <c r="I4983" s="1" t="s">
        <v>342</v>
      </c>
      <c r="J4983" s="1" t="s">
        <v>187</v>
      </c>
      <c r="K4983" s="1"/>
      <c r="L4983" s="1" t="s">
        <v>343</v>
      </c>
      <c r="M4983" s="1">
        <v>3</v>
      </c>
      <c r="N4983" s="1">
        <v>3</v>
      </c>
      <c r="O4983" s="1">
        <v>3</v>
      </c>
      <c r="Q4983" s="1">
        <v>3.5</v>
      </c>
      <c r="R4983" s="1">
        <v>7.9</v>
      </c>
      <c r="S4983" s="1">
        <v>60</v>
      </c>
    </row>
    <row r="4984" spans="1:38" x14ac:dyDescent="0.3">
      <c r="A4984" s="1">
        <v>91272</v>
      </c>
      <c r="B4984" s="1" t="s">
        <v>310</v>
      </c>
      <c r="C4984" s="1" t="s">
        <v>294</v>
      </c>
      <c r="D4984" s="1">
        <v>2022</v>
      </c>
      <c r="E4984" s="1">
        <v>2</v>
      </c>
      <c r="G4984" s="4">
        <v>44601</v>
      </c>
      <c r="H4984" s="1" t="s">
        <v>341</v>
      </c>
      <c r="I4984" s="1" t="s">
        <v>342</v>
      </c>
      <c r="J4984" s="1" t="s">
        <v>187</v>
      </c>
      <c r="K4984" s="1"/>
      <c r="L4984" s="1" t="s">
        <v>343</v>
      </c>
      <c r="M4984" s="1">
        <v>4</v>
      </c>
      <c r="N4984" s="1">
        <v>4</v>
      </c>
      <c r="O4984" s="1">
        <v>4</v>
      </c>
      <c r="Q4984" s="1">
        <v>3.8</v>
      </c>
      <c r="R4984" s="1">
        <v>6.4</v>
      </c>
      <c r="S4984" s="1">
        <v>49</v>
      </c>
    </row>
    <row r="4985" spans="1:38" x14ac:dyDescent="0.3">
      <c r="A4985" s="1">
        <v>91273</v>
      </c>
      <c r="B4985" s="1" t="s">
        <v>310</v>
      </c>
      <c r="C4985" s="1" t="s">
        <v>294</v>
      </c>
      <c r="D4985" s="1">
        <v>2022</v>
      </c>
      <c r="E4985" s="1">
        <v>2</v>
      </c>
      <c r="G4985" s="4">
        <v>44601</v>
      </c>
      <c r="H4985" s="1" t="s">
        <v>341</v>
      </c>
      <c r="I4985" s="1" t="s">
        <v>342</v>
      </c>
      <c r="J4985" s="1" t="s">
        <v>187</v>
      </c>
      <c r="K4985" s="1"/>
      <c r="L4985" s="1" t="s">
        <v>343</v>
      </c>
      <c r="M4985" s="1">
        <v>5</v>
      </c>
      <c r="N4985" s="1">
        <v>5</v>
      </c>
      <c r="O4985" s="1">
        <v>5</v>
      </c>
      <c r="Q4985" s="1">
        <v>4.2</v>
      </c>
      <c r="R4985" s="1">
        <v>3.4</v>
      </c>
      <c r="S4985" s="1">
        <v>27</v>
      </c>
    </row>
    <row r="4986" spans="1:38" x14ac:dyDescent="0.3">
      <c r="A4986" s="1">
        <v>91274</v>
      </c>
      <c r="B4986" s="1" t="s">
        <v>310</v>
      </c>
      <c r="C4986" s="1" t="s">
        <v>294</v>
      </c>
      <c r="D4986" s="1">
        <v>2022</v>
      </c>
      <c r="E4986" s="1">
        <v>2</v>
      </c>
      <c r="G4986" s="4">
        <v>44601</v>
      </c>
      <c r="H4986" s="1" t="s">
        <v>341</v>
      </c>
      <c r="I4986" s="1" t="s">
        <v>342</v>
      </c>
      <c r="J4986" s="1" t="s">
        <v>187</v>
      </c>
      <c r="K4986" s="1"/>
      <c r="L4986" s="1" t="s">
        <v>343</v>
      </c>
      <c r="M4986" s="1" t="s">
        <v>286</v>
      </c>
      <c r="N4986" s="1">
        <v>5.5</v>
      </c>
      <c r="O4986" s="1">
        <v>5.5</v>
      </c>
      <c r="Q4986" s="1">
        <v>4.5999999999999996</v>
      </c>
      <c r="R4986" s="1">
        <v>1.3</v>
      </c>
      <c r="S4986" s="1">
        <v>10</v>
      </c>
      <c r="W4986" s="1">
        <v>13</v>
      </c>
      <c r="Y4986" s="1">
        <v>3.5000000000000003E-2</v>
      </c>
      <c r="Z4986" s="1">
        <v>32</v>
      </c>
      <c r="AA4986" s="1">
        <v>2.9</v>
      </c>
      <c r="AD4986" s="1">
        <v>510</v>
      </c>
      <c r="AE4986" s="1">
        <v>7.6</v>
      </c>
      <c r="AK4986" s="1">
        <v>51</v>
      </c>
      <c r="AL4986" s="1">
        <v>1000</v>
      </c>
    </row>
    <row r="4987" spans="1:38" x14ac:dyDescent="0.3">
      <c r="A4987" s="1">
        <v>91275</v>
      </c>
      <c r="B4987" s="1" t="s">
        <v>310</v>
      </c>
      <c r="C4987" s="1" t="s">
        <v>294</v>
      </c>
      <c r="D4987" s="1">
        <v>2022</v>
      </c>
      <c r="E4987" s="1">
        <v>2</v>
      </c>
      <c r="G4987" s="4">
        <v>44600</v>
      </c>
      <c r="H4987" s="1" t="s">
        <v>344</v>
      </c>
      <c r="I4987" s="1" t="s">
        <v>345</v>
      </c>
      <c r="J4987" s="1" t="s">
        <v>188</v>
      </c>
      <c r="K4987" s="1"/>
      <c r="L4987" s="1" t="s">
        <v>346</v>
      </c>
      <c r="M4987" s="1" t="s">
        <v>285</v>
      </c>
      <c r="N4987" s="1">
        <v>0.5</v>
      </c>
      <c r="O4987" s="1">
        <v>0.5</v>
      </c>
      <c r="P4987" s="1">
        <v>0.9</v>
      </c>
      <c r="Q4987" s="1">
        <v>2.9</v>
      </c>
      <c r="R4987" s="1">
        <v>9.4</v>
      </c>
      <c r="S4987" s="1">
        <v>72</v>
      </c>
      <c r="W4987" s="1">
        <v>110</v>
      </c>
      <c r="Y4987" s="1">
        <v>0.106</v>
      </c>
      <c r="Z4987" s="1">
        <v>5.0999999999999996</v>
      </c>
      <c r="AA4987" s="1">
        <v>11</v>
      </c>
      <c r="AD4987" s="1">
        <v>180</v>
      </c>
      <c r="AE4987" s="1">
        <v>7.5</v>
      </c>
      <c r="AK4987" s="1">
        <v>72</v>
      </c>
      <c r="AL4987" s="1">
        <v>1200</v>
      </c>
    </row>
    <row r="4988" spans="1:38" x14ac:dyDescent="0.3">
      <c r="A4988" s="1">
        <v>91276</v>
      </c>
      <c r="B4988" s="1" t="s">
        <v>310</v>
      </c>
      <c r="C4988" s="1" t="s">
        <v>294</v>
      </c>
      <c r="D4988" s="1">
        <v>2022</v>
      </c>
      <c r="E4988" s="1">
        <v>2</v>
      </c>
      <c r="G4988" s="4">
        <v>44600</v>
      </c>
      <c r="H4988" s="1" t="s">
        <v>344</v>
      </c>
      <c r="I4988" s="1" t="s">
        <v>345</v>
      </c>
      <c r="J4988" s="1" t="s">
        <v>188</v>
      </c>
      <c r="K4988" s="1"/>
      <c r="L4988" s="1" t="s">
        <v>346</v>
      </c>
      <c r="M4988" s="1">
        <v>1</v>
      </c>
      <c r="N4988" s="1">
        <v>1</v>
      </c>
      <c r="O4988" s="1">
        <v>1</v>
      </c>
      <c r="Q4988" s="1">
        <v>3.2</v>
      </c>
      <c r="R4988" s="1">
        <v>4.8</v>
      </c>
      <c r="S4988" s="1">
        <v>37</v>
      </c>
    </row>
    <row r="4989" spans="1:38" x14ac:dyDescent="0.3">
      <c r="A4989" s="1">
        <v>91277</v>
      </c>
      <c r="B4989" s="1" t="s">
        <v>310</v>
      </c>
      <c r="C4989" s="1" t="s">
        <v>294</v>
      </c>
      <c r="D4989" s="1">
        <v>2022</v>
      </c>
      <c r="E4989" s="1">
        <v>2</v>
      </c>
      <c r="G4989" s="4">
        <v>44600</v>
      </c>
      <c r="H4989" s="1" t="s">
        <v>344</v>
      </c>
      <c r="I4989" s="1" t="s">
        <v>345</v>
      </c>
      <c r="J4989" s="1" t="s">
        <v>188</v>
      </c>
      <c r="K4989" s="1"/>
      <c r="L4989" s="1" t="s">
        <v>346</v>
      </c>
      <c r="M4989" s="1" t="s">
        <v>286</v>
      </c>
      <c r="N4989" s="1">
        <v>2</v>
      </c>
      <c r="O4989" s="1">
        <v>2</v>
      </c>
      <c r="Q4989" s="1">
        <v>3.2</v>
      </c>
      <c r="R4989" s="1">
        <v>4.8</v>
      </c>
      <c r="S4989" s="1">
        <v>37</v>
      </c>
      <c r="W4989" s="1">
        <v>120</v>
      </c>
      <c r="Y4989" s="1">
        <v>0.10100000000000001</v>
      </c>
      <c r="Z4989" s="1">
        <v>4.4000000000000004</v>
      </c>
      <c r="AA4989" s="1">
        <v>10</v>
      </c>
      <c r="AD4989" s="1">
        <v>93</v>
      </c>
      <c r="AE4989" s="1">
        <v>7.5</v>
      </c>
      <c r="AK4989" s="1">
        <v>79</v>
      </c>
      <c r="AL4989" s="1">
        <v>880</v>
      </c>
    </row>
    <row r="4990" spans="1:38" x14ac:dyDescent="0.3">
      <c r="A4990" s="1">
        <v>91278</v>
      </c>
      <c r="B4990" s="1" t="s">
        <v>347</v>
      </c>
      <c r="C4990" s="1" t="s">
        <v>296</v>
      </c>
      <c r="D4990" s="1">
        <v>2022</v>
      </c>
      <c r="E4990" s="1">
        <v>2</v>
      </c>
      <c r="G4990" s="4">
        <v>44600</v>
      </c>
      <c r="H4990" s="1" t="s">
        <v>348</v>
      </c>
      <c r="I4990" s="1" t="s">
        <v>349</v>
      </c>
      <c r="J4990" s="1" t="s">
        <v>189</v>
      </c>
      <c r="K4990" s="1"/>
      <c r="L4990" s="1" t="s">
        <v>350</v>
      </c>
      <c r="M4990" s="1" t="s">
        <v>285</v>
      </c>
      <c r="N4990" s="1">
        <v>0.5</v>
      </c>
      <c r="O4990" s="1">
        <v>0.5</v>
      </c>
      <c r="P4990" s="1">
        <v>3</v>
      </c>
      <c r="Q4990" s="1">
        <v>2.6</v>
      </c>
      <c r="R4990" s="1">
        <v>11.5</v>
      </c>
      <c r="S4990" s="1">
        <v>85</v>
      </c>
      <c r="W4990" s="1">
        <v>4.8</v>
      </c>
      <c r="Y4990" s="1">
        <v>0.05</v>
      </c>
      <c r="Z4990" s="1" t="s">
        <v>319</v>
      </c>
      <c r="AA4990" s="1">
        <v>2.1</v>
      </c>
      <c r="AD4990" s="1">
        <v>160</v>
      </c>
      <c r="AE4990" s="1">
        <v>7.6</v>
      </c>
      <c r="AK4990" s="1">
        <v>18</v>
      </c>
      <c r="AL4990" s="1">
        <v>560</v>
      </c>
    </row>
    <row r="4991" spans="1:38" x14ac:dyDescent="0.3">
      <c r="A4991" s="1">
        <v>91279</v>
      </c>
      <c r="B4991" s="1" t="s">
        <v>347</v>
      </c>
      <c r="C4991" s="1" t="s">
        <v>296</v>
      </c>
      <c r="D4991" s="1">
        <v>2022</v>
      </c>
      <c r="E4991" s="1">
        <v>2</v>
      </c>
      <c r="G4991" s="4">
        <v>44600</v>
      </c>
      <c r="H4991" s="1" t="s">
        <v>348</v>
      </c>
      <c r="I4991" s="1" t="s">
        <v>349</v>
      </c>
      <c r="J4991" s="1" t="s">
        <v>189</v>
      </c>
      <c r="K4991" s="1"/>
      <c r="L4991" s="1" t="s">
        <v>350</v>
      </c>
      <c r="M4991" s="1">
        <v>1</v>
      </c>
      <c r="N4991" s="1">
        <v>1</v>
      </c>
      <c r="O4991" s="1">
        <v>1</v>
      </c>
      <c r="Q4991" s="1">
        <v>3.7</v>
      </c>
      <c r="R4991" s="1">
        <v>9.9</v>
      </c>
      <c r="S4991" s="1">
        <v>77</v>
      </c>
    </row>
    <row r="4992" spans="1:38" x14ac:dyDescent="0.3">
      <c r="A4992" s="1">
        <v>91280</v>
      </c>
      <c r="B4992" s="1" t="s">
        <v>347</v>
      </c>
      <c r="C4992" s="1" t="s">
        <v>296</v>
      </c>
      <c r="D4992" s="1">
        <v>2022</v>
      </c>
      <c r="E4992" s="1">
        <v>2</v>
      </c>
      <c r="G4992" s="4">
        <v>44600</v>
      </c>
      <c r="H4992" s="1" t="s">
        <v>348</v>
      </c>
      <c r="I4992" s="1" t="s">
        <v>349</v>
      </c>
      <c r="J4992" s="1" t="s">
        <v>189</v>
      </c>
      <c r="K4992" s="1"/>
      <c r="L4992" s="1" t="s">
        <v>350</v>
      </c>
      <c r="M4992" s="1">
        <v>2</v>
      </c>
      <c r="N4992" s="1">
        <v>2</v>
      </c>
      <c r="O4992" s="1">
        <v>2</v>
      </c>
      <c r="Q4992" s="1">
        <v>3.8</v>
      </c>
      <c r="R4992" s="1">
        <v>9.1999999999999993</v>
      </c>
      <c r="S4992" s="1">
        <v>71</v>
      </c>
    </row>
    <row r="4993" spans="1:38" x14ac:dyDescent="0.3">
      <c r="A4993" s="1">
        <v>91281</v>
      </c>
      <c r="B4993" s="1" t="s">
        <v>347</v>
      </c>
      <c r="C4993" s="1" t="s">
        <v>296</v>
      </c>
      <c r="D4993" s="1">
        <v>2022</v>
      </c>
      <c r="E4993" s="1">
        <v>2</v>
      </c>
      <c r="G4993" s="4">
        <v>44600</v>
      </c>
      <c r="H4993" s="1" t="s">
        <v>348</v>
      </c>
      <c r="I4993" s="1" t="s">
        <v>349</v>
      </c>
      <c r="J4993" s="1" t="s">
        <v>189</v>
      </c>
      <c r="K4993" s="1"/>
      <c r="L4993" s="1" t="s">
        <v>350</v>
      </c>
      <c r="M4993" s="1">
        <v>3</v>
      </c>
      <c r="N4993" s="1">
        <v>3</v>
      </c>
      <c r="O4993" s="1">
        <v>3</v>
      </c>
      <c r="Q4993" s="1">
        <v>4.3</v>
      </c>
      <c r="R4993" s="1">
        <v>6.4</v>
      </c>
      <c r="S4993" s="1">
        <v>50</v>
      </c>
    </row>
    <row r="4994" spans="1:38" x14ac:dyDescent="0.3">
      <c r="A4994" s="1">
        <v>91282</v>
      </c>
      <c r="B4994" s="1" t="s">
        <v>347</v>
      </c>
      <c r="C4994" s="1" t="s">
        <v>296</v>
      </c>
      <c r="D4994" s="1">
        <v>2022</v>
      </c>
      <c r="E4994" s="1">
        <v>2</v>
      </c>
      <c r="G4994" s="4">
        <v>44600</v>
      </c>
      <c r="H4994" s="1" t="s">
        <v>348</v>
      </c>
      <c r="I4994" s="1" t="s">
        <v>349</v>
      </c>
      <c r="J4994" s="1" t="s">
        <v>189</v>
      </c>
      <c r="K4994" s="1"/>
      <c r="L4994" s="1" t="s">
        <v>350</v>
      </c>
      <c r="M4994" s="1">
        <v>4</v>
      </c>
      <c r="N4994" s="1">
        <v>1</v>
      </c>
      <c r="O4994" s="1">
        <v>1</v>
      </c>
      <c r="Q4994" s="1">
        <v>4.5</v>
      </c>
      <c r="R4994" s="1">
        <v>5.6</v>
      </c>
      <c r="S4994" s="1">
        <v>44</v>
      </c>
    </row>
    <row r="4995" spans="1:38" x14ac:dyDescent="0.3">
      <c r="A4995" s="1">
        <v>91283</v>
      </c>
      <c r="B4995" s="1" t="s">
        <v>347</v>
      </c>
      <c r="C4995" s="1" t="s">
        <v>296</v>
      </c>
      <c r="D4995" s="1">
        <v>2022</v>
      </c>
      <c r="E4995" s="1">
        <v>2</v>
      </c>
      <c r="G4995" s="4">
        <v>44600</v>
      </c>
      <c r="H4995" s="1" t="s">
        <v>348</v>
      </c>
      <c r="I4995" s="1" t="s">
        <v>349</v>
      </c>
      <c r="J4995" s="1" t="s">
        <v>189</v>
      </c>
      <c r="K4995" s="1"/>
      <c r="L4995" s="1" t="s">
        <v>350</v>
      </c>
      <c r="M4995" s="1">
        <v>5</v>
      </c>
      <c r="N4995" s="1">
        <v>5</v>
      </c>
      <c r="O4995" s="1">
        <v>5</v>
      </c>
      <c r="Q4995" s="1">
        <v>4.7</v>
      </c>
      <c r="R4995" s="1">
        <v>4.4000000000000004</v>
      </c>
      <c r="S4995" s="1">
        <v>34</v>
      </c>
    </row>
    <row r="4996" spans="1:38" x14ac:dyDescent="0.3">
      <c r="A4996" s="1">
        <v>91284</v>
      </c>
      <c r="B4996" s="1" t="s">
        <v>347</v>
      </c>
      <c r="C4996" s="1" t="s">
        <v>296</v>
      </c>
      <c r="D4996" s="1">
        <v>2022</v>
      </c>
      <c r="E4996" s="1">
        <v>2</v>
      </c>
      <c r="G4996" s="4">
        <v>44600</v>
      </c>
      <c r="H4996" s="1" t="s">
        <v>348</v>
      </c>
      <c r="I4996" s="1" t="s">
        <v>349</v>
      </c>
      <c r="J4996" s="1" t="s">
        <v>189</v>
      </c>
      <c r="K4996" s="1"/>
      <c r="L4996" s="1" t="s">
        <v>350</v>
      </c>
      <c r="M4996" s="1">
        <v>6</v>
      </c>
      <c r="N4996" s="1">
        <v>6</v>
      </c>
      <c r="O4996" s="1">
        <v>6</v>
      </c>
      <c r="Q4996" s="1">
        <v>4.9000000000000004</v>
      </c>
      <c r="R4996" s="1">
        <v>3.6</v>
      </c>
      <c r="S4996" s="1">
        <v>29</v>
      </c>
    </row>
    <row r="4997" spans="1:38" x14ac:dyDescent="0.3">
      <c r="A4997" s="1">
        <v>91285</v>
      </c>
      <c r="B4997" s="1" t="s">
        <v>347</v>
      </c>
      <c r="C4997" s="1" t="s">
        <v>296</v>
      </c>
      <c r="D4997" s="1">
        <v>2022</v>
      </c>
      <c r="E4997" s="1">
        <v>2</v>
      </c>
      <c r="G4997" s="4">
        <v>44600</v>
      </c>
      <c r="H4997" s="1" t="s">
        <v>348</v>
      </c>
      <c r="I4997" s="1" t="s">
        <v>349</v>
      </c>
      <c r="J4997" s="1" t="s">
        <v>189</v>
      </c>
      <c r="K4997" s="1"/>
      <c r="L4997" s="1" t="s">
        <v>350</v>
      </c>
      <c r="M4997" s="1" t="s">
        <v>286</v>
      </c>
      <c r="N4997" s="1">
        <v>7</v>
      </c>
      <c r="O4997" s="1">
        <v>7</v>
      </c>
      <c r="Q4997" s="1">
        <v>4.9000000000000004</v>
      </c>
      <c r="R4997" s="1">
        <v>3.6</v>
      </c>
      <c r="S4997" s="1">
        <v>29</v>
      </c>
      <c r="W4997" s="1">
        <v>4.5999999999999996</v>
      </c>
      <c r="Y4997" s="1">
        <v>2.7E-2</v>
      </c>
      <c r="Z4997" s="1">
        <v>6.1</v>
      </c>
      <c r="AA4997" s="1">
        <v>0.85</v>
      </c>
      <c r="AD4997" s="1">
        <v>190</v>
      </c>
      <c r="AE4997" s="1">
        <v>7.5</v>
      </c>
      <c r="AK4997" s="1">
        <v>20</v>
      </c>
      <c r="AL4997" s="1">
        <v>590</v>
      </c>
    </row>
    <row r="4998" spans="1:38" x14ac:dyDescent="0.3">
      <c r="A4998" s="1">
        <v>91286</v>
      </c>
      <c r="B4998" s="1" t="s">
        <v>310</v>
      </c>
      <c r="C4998" s="1" t="s">
        <v>294</v>
      </c>
      <c r="D4998" s="1">
        <v>2022</v>
      </c>
      <c r="E4998" s="1">
        <v>2</v>
      </c>
      <c r="G4998" s="4">
        <v>44600</v>
      </c>
      <c r="H4998" s="1" t="s">
        <v>351</v>
      </c>
      <c r="I4998" s="1" t="s">
        <v>352</v>
      </c>
      <c r="J4998" s="1" t="s">
        <v>190</v>
      </c>
      <c r="K4998" s="1"/>
      <c r="L4998" s="1" t="s">
        <v>190</v>
      </c>
      <c r="M4998" s="1" t="s">
        <v>285</v>
      </c>
      <c r="N4998" s="1">
        <v>0.5</v>
      </c>
      <c r="O4998" s="1">
        <v>0.5</v>
      </c>
      <c r="P4998" s="1">
        <v>1.5</v>
      </c>
      <c r="Q4998" s="1">
        <v>0.9</v>
      </c>
      <c r="R4998" s="1">
        <v>11</v>
      </c>
      <c r="S4998" s="1">
        <v>78</v>
      </c>
      <c r="W4998" s="1">
        <v>350</v>
      </c>
      <c r="Y4998" s="1">
        <v>0.86199999999999999</v>
      </c>
      <c r="Z4998" s="1">
        <v>1.6</v>
      </c>
      <c r="AA4998" s="1">
        <v>2.2999999999999998</v>
      </c>
      <c r="AD4998" s="1">
        <v>66</v>
      </c>
      <c r="AE4998" s="1">
        <v>5.9</v>
      </c>
      <c r="AK4998" s="1">
        <v>33</v>
      </c>
      <c r="AL4998" s="1">
        <v>1300</v>
      </c>
    </row>
    <row r="4999" spans="1:38" x14ac:dyDescent="0.3">
      <c r="A4999" s="1">
        <v>91287</v>
      </c>
      <c r="B4999" s="1" t="s">
        <v>310</v>
      </c>
      <c r="C4999" s="1" t="s">
        <v>294</v>
      </c>
      <c r="D4999" s="1">
        <v>2022</v>
      </c>
      <c r="E4999" s="1">
        <v>2</v>
      </c>
      <c r="G4999" s="4">
        <v>44600</v>
      </c>
      <c r="H4999" s="1" t="s">
        <v>351</v>
      </c>
      <c r="I4999" s="1" t="s">
        <v>352</v>
      </c>
      <c r="J4999" s="1" t="s">
        <v>190</v>
      </c>
      <c r="K4999" s="1"/>
      <c r="L4999" s="1" t="s">
        <v>190</v>
      </c>
      <c r="M4999" s="1">
        <v>1</v>
      </c>
      <c r="N4999" s="1">
        <v>1</v>
      </c>
      <c r="O4999" s="1">
        <v>1</v>
      </c>
      <c r="Q4999" s="1">
        <v>1.9</v>
      </c>
      <c r="R4999" s="1">
        <v>9.6</v>
      </c>
      <c r="S4999" s="1">
        <v>70</v>
      </c>
    </row>
    <row r="5000" spans="1:38" x14ac:dyDescent="0.3">
      <c r="A5000" s="1">
        <v>91288</v>
      </c>
      <c r="B5000" s="1" t="s">
        <v>310</v>
      </c>
      <c r="C5000" s="1" t="s">
        <v>294</v>
      </c>
      <c r="D5000" s="1">
        <v>2022</v>
      </c>
      <c r="E5000" s="1">
        <v>2</v>
      </c>
      <c r="G5000" s="4">
        <v>44600</v>
      </c>
      <c r="H5000" s="1" t="s">
        <v>351</v>
      </c>
      <c r="I5000" s="1" t="s">
        <v>352</v>
      </c>
      <c r="J5000" s="1" t="s">
        <v>190</v>
      </c>
      <c r="K5000" s="1"/>
      <c r="L5000" s="1" t="s">
        <v>190</v>
      </c>
      <c r="M5000" s="1">
        <v>2</v>
      </c>
      <c r="N5000" s="1">
        <v>2</v>
      </c>
      <c r="O5000" s="1">
        <v>2</v>
      </c>
      <c r="Q5000" s="1">
        <v>3.3</v>
      </c>
      <c r="R5000" s="1">
        <v>5.6</v>
      </c>
      <c r="S5000" s="1">
        <v>42</v>
      </c>
    </row>
    <row r="5001" spans="1:38" x14ac:dyDescent="0.3">
      <c r="A5001" s="1">
        <v>91289</v>
      </c>
      <c r="B5001" s="1" t="s">
        <v>310</v>
      </c>
      <c r="C5001" s="1" t="s">
        <v>294</v>
      </c>
      <c r="D5001" s="1">
        <v>2022</v>
      </c>
      <c r="E5001" s="1">
        <v>2</v>
      </c>
      <c r="G5001" s="4">
        <v>44600</v>
      </c>
      <c r="H5001" s="1" t="s">
        <v>351</v>
      </c>
      <c r="I5001" s="1" t="s">
        <v>352</v>
      </c>
      <c r="J5001" s="1" t="s">
        <v>190</v>
      </c>
      <c r="K5001" s="1"/>
      <c r="L5001" s="1" t="s">
        <v>190</v>
      </c>
      <c r="M5001" s="1" t="s">
        <v>286</v>
      </c>
      <c r="N5001" s="1">
        <v>3</v>
      </c>
      <c r="O5001" s="1">
        <v>3</v>
      </c>
      <c r="Q5001" s="1">
        <v>3.3</v>
      </c>
      <c r="R5001" s="1">
        <v>5.6</v>
      </c>
      <c r="S5001" s="1">
        <v>42</v>
      </c>
      <c r="W5001" s="1">
        <v>390</v>
      </c>
      <c r="Y5001" s="1">
        <v>0.84499999999999997</v>
      </c>
      <c r="Z5001" s="1">
        <v>2</v>
      </c>
      <c r="AA5001" s="1">
        <v>2.2999999999999998</v>
      </c>
      <c r="AD5001" s="1">
        <v>62</v>
      </c>
      <c r="AE5001" s="1">
        <v>6</v>
      </c>
      <c r="AK5001" s="1">
        <v>28</v>
      </c>
      <c r="AL5001" s="1">
        <v>1400</v>
      </c>
    </row>
    <row r="5002" spans="1:38" x14ac:dyDescent="0.3">
      <c r="A5002" s="1">
        <v>91290</v>
      </c>
      <c r="B5002" s="1" t="s">
        <v>347</v>
      </c>
      <c r="C5002" s="1" t="s">
        <v>296</v>
      </c>
      <c r="D5002" s="1">
        <v>2022</v>
      </c>
      <c r="E5002" s="1">
        <v>2</v>
      </c>
      <c r="G5002" s="4">
        <v>44600</v>
      </c>
      <c r="H5002" s="1" t="s">
        <v>353</v>
      </c>
      <c r="I5002" s="1" t="s">
        <v>354</v>
      </c>
      <c r="J5002" s="1" t="s">
        <v>192</v>
      </c>
      <c r="K5002" s="1"/>
      <c r="L5002" s="1" t="s">
        <v>355</v>
      </c>
      <c r="M5002" s="1" t="s">
        <v>285</v>
      </c>
      <c r="N5002" s="1">
        <v>0.5</v>
      </c>
      <c r="O5002" s="1">
        <v>0.5</v>
      </c>
      <c r="P5002" s="1">
        <v>1.5</v>
      </c>
      <c r="Q5002" s="1">
        <v>1.6</v>
      </c>
      <c r="R5002" s="1">
        <v>12.5</v>
      </c>
      <c r="S5002" s="1">
        <v>91</v>
      </c>
      <c r="W5002" s="1">
        <v>84</v>
      </c>
      <c r="Y5002" s="1">
        <v>0.13800000000000001</v>
      </c>
      <c r="Z5002" s="1">
        <v>3.3</v>
      </c>
      <c r="AA5002" s="1">
        <v>11</v>
      </c>
      <c r="AD5002" s="1">
        <v>450</v>
      </c>
      <c r="AE5002" s="1">
        <v>7.8</v>
      </c>
      <c r="AK5002" s="1">
        <v>31</v>
      </c>
      <c r="AL5002" s="1">
        <v>930</v>
      </c>
    </row>
    <row r="5003" spans="1:38" x14ac:dyDescent="0.3">
      <c r="A5003" s="1">
        <v>91291</v>
      </c>
      <c r="B5003" s="1" t="s">
        <v>347</v>
      </c>
      <c r="C5003" s="1" t="s">
        <v>296</v>
      </c>
      <c r="D5003" s="1">
        <v>2022</v>
      </c>
      <c r="E5003" s="1">
        <v>2</v>
      </c>
      <c r="G5003" s="4">
        <v>44600</v>
      </c>
      <c r="H5003" s="1" t="s">
        <v>353</v>
      </c>
      <c r="I5003" s="1" t="s">
        <v>354</v>
      </c>
      <c r="J5003" s="1" t="s">
        <v>192</v>
      </c>
      <c r="K5003" s="1"/>
      <c r="L5003" s="1" t="s">
        <v>355</v>
      </c>
      <c r="M5003" s="1">
        <v>1</v>
      </c>
      <c r="N5003" s="1">
        <v>1</v>
      </c>
      <c r="O5003" s="1">
        <v>1</v>
      </c>
      <c r="Q5003" s="1">
        <v>2.1</v>
      </c>
      <c r="R5003" s="1">
        <v>10.7</v>
      </c>
      <c r="S5003" s="1">
        <v>80</v>
      </c>
    </row>
    <row r="5004" spans="1:38" x14ac:dyDescent="0.3">
      <c r="A5004" s="1">
        <v>91292</v>
      </c>
      <c r="B5004" s="1" t="s">
        <v>347</v>
      </c>
      <c r="C5004" s="1" t="s">
        <v>296</v>
      </c>
      <c r="D5004" s="1">
        <v>2022</v>
      </c>
      <c r="E5004" s="1">
        <v>2</v>
      </c>
      <c r="G5004" s="4">
        <v>44600</v>
      </c>
      <c r="H5004" s="1" t="s">
        <v>353</v>
      </c>
      <c r="I5004" s="1" t="s">
        <v>354</v>
      </c>
      <c r="J5004" s="1" t="s">
        <v>192</v>
      </c>
      <c r="K5004" s="1"/>
      <c r="L5004" s="1" t="s">
        <v>355</v>
      </c>
      <c r="M5004" s="1">
        <v>2</v>
      </c>
      <c r="N5004" s="1">
        <v>2</v>
      </c>
      <c r="O5004" s="1">
        <v>2</v>
      </c>
      <c r="Q5004" s="1">
        <v>3.7</v>
      </c>
      <c r="R5004" s="1">
        <v>4.7</v>
      </c>
      <c r="S5004" s="1">
        <v>40</v>
      </c>
    </row>
    <row r="5005" spans="1:38" x14ac:dyDescent="0.3">
      <c r="A5005" s="1">
        <v>91293</v>
      </c>
      <c r="B5005" s="1" t="s">
        <v>347</v>
      </c>
      <c r="C5005" s="1" t="s">
        <v>296</v>
      </c>
      <c r="D5005" s="1">
        <v>2022</v>
      </c>
      <c r="E5005" s="1">
        <v>2</v>
      </c>
      <c r="G5005" s="4">
        <v>44600</v>
      </c>
      <c r="H5005" s="1" t="s">
        <v>353</v>
      </c>
      <c r="I5005" s="1" t="s">
        <v>354</v>
      </c>
      <c r="J5005" s="1" t="s">
        <v>192</v>
      </c>
      <c r="K5005" s="1"/>
      <c r="L5005" s="1" t="s">
        <v>355</v>
      </c>
      <c r="M5005" s="1" t="s">
        <v>286</v>
      </c>
      <c r="N5005" s="1">
        <v>3</v>
      </c>
      <c r="O5005" s="1">
        <v>3</v>
      </c>
      <c r="Q5005" s="1">
        <v>3.7</v>
      </c>
      <c r="R5005" s="1">
        <v>4.7</v>
      </c>
      <c r="S5005" s="1">
        <v>40</v>
      </c>
      <c r="W5005" s="1">
        <v>190</v>
      </c>
      <c r="Y5005" s="1">
        <v>6.8000000000000005E-2</v>
      </c>
      <c r="Z5005" s="1">
        <v>1.9</v>
      </c>
      <c r="AA5005" s="1">
        <v>4.4000000000000004</v>
      </c>
      <c r="AD5005" s="1">
        <v>170</v>
      </c>
      <c r="AE5005" s="1">
        <v>7.7</v>
      </c>
      <c r="AK5005" s="1">
        <v>25</v>
      </c>
      <c r="AL5005" s="1">
        <v>830</v>
      </c>
    </row>
    <row r="5006" spans="1:38" x14ac:dyDescent="0.3">
      <c r="A5006" s="1">
        <v>91294</v>
      </c>
      <c r="B5006" s="1" t="s">
        <v>310</v>
      </c>
      <c r="C5006" s="1" t="s">
        <v>294</v>
      </c>
      <c r="D5006" s="1">
        <v>2022</v>
      </c>
      <c r="E5006" s="1">
        <v>2</v>
      </c>
      <c r="G5006" s="4" t="s">
        <v>356</v>
      </c>
      <c r="H5006" s="1" t="s">
        <v>357</v>
      </c>
      <c r="I5006" s="1" t="s">
        <v>358</v>
      </c>
      <c r="J5006" s="1" t="s">
        <v>193</v>
      </c>
      <c r="K5006" s="1"/>
      <c r="L5006" s="1" t="s">
        <v>359</v>
      </c>
      <c r="M5006" s="1" t="s">
        <v>285</v>
      </c>
      <c r="N5006" s="1">
        <v>0.5</v>
      </c>
      <c r="O5006" s="1">
        <v>0.5</v>
      </c>
      <c r="P5006" s="1">
        <v>3</v>
      </c>
      <c r="Q5006" s="1">
        <v>2.6</v>
      </c>
      <c r="R5006" s="1">
        <v>7.3</v>
      </c>
      <c r="S5006" s="1">
        <v>70</v>
      </c>
      <c r="W5006" s="1">
        <v>210</v>
      </c>
      <c r="Y5006" s="1">
        <v>0.04</v>
      </c>
      <c r="Z5006" s="1">
        <v>1.8</v>
      </c>
      <c r="AA5006" s="1">
        <v>1.2</v>
      </c>
      <c r="AD5006" s="1">
        <v>180</v>
      </c>
      <c r="AE5006" s="1">
        <v>7.6</v>
      </c>
      <c r="AK5006" s="1">
        <v>31</v>
      </c>
      <c r="AL5006" s="1">
        <v>1000</v>
      </c>
    </row>
    <row r="5007" spans="1:38" x14ac:dyDescent="0.3">
      <c r="A5007" s="1">
        <v>91295</v>
      </c>
      <c r="B5007" s="1" t="s">
        <v>310</v>
      </c>
      <c r="C5007" s="1" t="s">
        <v>294</v>
      </c>
      <c r="D5007" s="1">
        <v>2022</v>
      </c>
      <c r="E5007" s="1">
        <v>2</v>
      </c>
      <c r="G5007" s="4" t="s">
        <v>356</v>
      </c>
      <c r="H5007" s="1" t="s">
        <v>357</v>
      </c>
      <c r="I5007" s="1" t="s">
        <v>358</v>
      </c>
      <c r="J5007" s="1" t="s">
        <v>193</v>
      </c>
      <c r="K5007" s="1"/>
      <c r="L5007" s="1" t="s">
        <v>359</v>
      </c>
      <c r="M5007" s="1">
        <v>1</v>
      </c>
      <c r="N5007" s="1">
        <v>1</v>
      </c>
      <c r="O5007" s="1">
        <v>1</v>
      </c>
      <c r="Q5007" s="1">
        <v>3.9</v>
      </c>
      <c r="R5007" s="1">
        <v>6.6</v>
      </c>
      <c r="S5007" s="1">
        <v>52</v>
      </c>
    </row>
    <row r="5008" spans="1:38" x14ac:dyDescent="0.3">
      <c r="A5008" s="1">
        <v>91296</v>
      </c>
      <c r="B5008" s="1" t="s">
        <v>310</v>
      </c>
      <c r="C5008" s="1" t="s">
        <v>294</v>
      </c>
      <c r="D5008" s="1">
        <v>2022</v>
      </c>
      <c r="E5008" s="1">
        <v>2</v>
      </c>
      <c r="G5008" s="4" t="s">
        <v>356</v>
      </c>
      <c r="H5008" s="1" t="s">
        <v>357</v>
      </c>
      <c r="I5008" s="1" t="s">
        <v>358</v>
      </c>
      <c r="J5008" s="1" t="s">
        <v>193</v>
      </c>
      <c r="K5008" s="1"/>
      <c r="L5008" s="1" t="s">
        <v>359</v>
      </c>
      <c r="M5008" s="1">
        <v>2</v>
      </c>
      <c r="N5008" s="1">
        <v>2</v>
      </c>
      <c r="O5008" s="1">
        <v>2</v>
      </c>
      <c r="Q5008" s="1">
        <v>4.4000000000000004</v>
      </c>
      <c r="R5008" s="1">
        <v>3</v>
      </c>
      <c r="S5008" s="1">
        <v>25</v>
      </c>
    </row>
    <row r="5009" spans="1:38" x14ac:dyDescent="0.3">
      <c r="A5009" s="1">
        <v>91297</v>
      </c>
      <c r="B5009" s="1" t="s">
        <v>310</v>
      </c>
      <c r="C5009" s="1" t="s">
        <v>294</v>
      </c>
      <c r="D5009" s="1">
        <v>2022</v>
      </c>
      <c r="E5009" s="1">
        <v>2</v>
      </c>
      <c r="G5009" s="4" t="s">
        <v>356</v>
      </c>
      <c r="H5009" s="1" t="s">
        <v>357</v>
      </c>
      <c r="I5009" s="1" t="s">
        <v>358</v>
      </c>
      <c r="J5009" s="1" t="s">
        <v>193</v>
      </c>
      <c r="K5009" s="1"/>
      <c r="L5009" s="1" t="s">
        <v>359</v>
      </c>
      <c r="M5009" s="1">
        <v>3</v>
      </c>
      <c r="N5009" s="1">
        <v>3</v>
      </c>
      <c r="O5009" s="1">
        <v>3</v>
      </c>
      <c r="Q5009" s="1">
        <v>4.4000000000000004</v>
      </c>
      <c r="R5009" s="1">
        <v>2.2000000000000002</v>
      </c>
      <c r="S5009" s="1">
        <v>17</v>
      </c>
    </row>
    <row r="5010" spans="1:38" x14ac:dyDescent="0.3">
      <c r="A5010" s="1">
        <v>91298</v>
      </c>
      <c r="B5010" s="1" t="s">
        <v>310</v>
      </c>
      <c r="C5010" s="1" t="s">
        <v>294</v>
      </c>
      <c r="D5010" s="1">
        <v>2022</v>
      </c>
      <c r="E5010" s="1">
        <v>2</v>
      </c>
      <c r="G5010" s="4" t="s">
        <v>356</v>
      </c>
      <c r="H5010" s="1" t="s">
        <v>357</v>
      </c>
      <c r="I5010" s="1" t="s">
        <v>358</v>
      </c>
      <c r="J5010" s="1" t="s">
        <v>193</v>
      </c>
      <c r="K5010" s="1"/>
      <c r="L5010" s="1" t="s">
        <v>359</v>
      </c>
      <c r="M5010" s="1" t="s">
        <v>286</v>
      </c>
      <c r="N5010" s="1">
        <v>4</v>
      </c>
      <c r="O5010" s="1">
        <v>4</v>
      </c>
      <c r="Q5010" s="1">
        <v>4.4000000000000004</v>
      </c>
      <c r="R5010" s="1">
        <v>2.2000000000000002</v>
      </c>
      <c r="S5010" s="1">
        <v>17</v>
      </c>
      <c r="W5010" s="1">
        <v>360</v>
      </c>
      <c r="Y5010" s="1">
        <v>0.04</v>
      </c>
      <c r="Z5010" s="1">
        <v>2.6</v>
      </c>
      <c r="AA5010" s="1">
        <v>0.9</v>
      </c>
      <c r="AD5010" s="1">
        <v>180</v>
      </c>
      <c r="AE5010" s="1">
        <v>7.6</v>
      </c>
      <c r="AK5010" s="1">
        <v>32</v>
      </c>
      <c r="AL5010" s="1">
        <v>1100</v>
      </c>
    </row>
    <row r="5011" spans="1:38" x14ac:dyDescent="0.3">
      <c r="A5011" s="1">
        <v>91299</v>
      </c>
      <c r="B5011" s="1" t="s">
        <v>310</v>
      </c>
      <c r="C5011" s="1" t="s">
        <v>294</v>
      </c>
      <c r="D5011" s="1">
        <v>2022</v>
      </c>
      <c r="E5011" s="1">
        <v>8</v>
      </c>
      <c r="G5011" s="4">
        <v>44783</v>
      </c>
      <c r="H5011" s="1" t="s">
        <v>311</v>
      </c>
      <c r="I5011" s="1" t="s">
        <v>312</v>
      </c>
      <c r="J5011" s="1" t="s">
        <v>313</v>
      </c>
      <c r="K5011" s="1"/>
      <c r="L5011" s="1" t="s">
        <v>314</v>
      </c>
      <c r="M5011" s="1" t="s">
        <v>285</v>
      </c>
      <c r="N5011" s="1">
        <v>0.5</v>
      </c>
      <c r="O5011" s="1">
        <v>0.5</v>
      </c>
      <c r="P5011" s="1">
        <v>1.7</v>
      </c>
      <c r="Q5011" s="1">
        <v>21.4</v>
      </c>
      <c r="R5011" s="1">
        <v>9.84</v>
      </c>
      <c r="S5011" s="1">
        <v>110.9</v>
      </c>
      <c r="V5011" s="1">
        <v>2.8</v>
      </c>
      <c r="W5011" s="1">
        <v>10</v>
      </c>
      <c r="Y5011" s="1">
        <v>3.7999999999999999E-2</v>
      </c>
      <c r="Z5011" s="1">
        <v>11</v>
      </c>
      <c r="AA5011" s="1">
        <v>5.6</v>
      </c>
      <c r="AB5011" s="1">
        <v>40</v>
      </c>
      <c r="AD5011" s="1">
        <v>2.8</v>
      </c>
      <c r="AE5011" s="1">
        <v>8.4</v>
      </c>
      <c r="AK5011" s="1">
        <v>72</v>
      </c>
      <c r="AL5011" s="1">
        <v>810</v>
      </c>
    </row>
    <row r="5012" spans="1:38" x14ac:dyDescent="0.3">
      <c r="A5012" s="1">
        <v>91300</v>
      </c>
      <c r="B5012" s="1" t="s">
        <v>310</v>
      </c>
      <c r="C5012" s="1" t="s">
        <v>294</v>
      </c>
      <c r="D5012" s="1">
        <v>2022</v>
      </c>
      <c r="E5012" s="1">
        <v>8</v>
      </c>
      <c r="G5012" s="4">
        <v>44783</v>
      </c>
      <c r="H5012" s="1" t="s">
        <v>311</v>
      </c>
      <c r="I5012" s="1" t="s">
        <v>312</v>
      </c>
      <c r="J5012" s="1" t="s">
        <v>313</v>
      </c>
      <c r="K5012" s="1"/>
      <c r="L5012" s="1" t="s">
        <v>314</v>
      </c>
      <c r="M5012" s="1">
        <v>1</v>
      </c>
      <c r="N5012" s="1">
        <v>1</v>
      </c>
      <c r="O5012" s="1">
        <v>1</v>
      </c>
      <c r="Q5012" s="1">
        <v>21.3</v>
      </c>
      <c r="R5012" s="1">
        <v>9.84</v>
      </c>
      <c r="S5012" s="1">
        <v>111</v>
      </c>
    </row>
    <row r="5013" spans="1:38" x14ac:dyDescent="0.3">
      <c r="A5013" s="1">
        <v>91301</v>
      </c>
      <c r="B5013" s="1" t="s">
        <v>310</v>
      </c>
      <c r="C5013" s="1" t="s">
        <v>294</v>
      </c>
      <c r="D5013" s="1">
        <v>2022</v>
      </c>
      <c r="E5013" s="1">
        <v>8</v>
      </c>
      <c r="G5013" s="4">
        <v>44783</v>
      </c>
      <c r="H5013" s="1" t="s">
        <v>311</v>
      </c>
      <c r="I5013" s="1" t="s">
        <v>312</v>
      </c>
      <c r="J5013" s="1" t="s">
        <v>313</v>
      </c>
      <c r="K5013" s="1"/>
      <c r="L5013" s="1" t="s">
        <v>314</v>
      </c>
      <c r="M5013" s="1">
        <v>2</v>
      </c>
      <c r="N5013" s="1">
        <v>2</v>
      </c>
      <c r="O5013" s="1">
        <v>2</v>
      </c>
      <c r="Q5013" s="1">
        <v>21.2</v>
      </c>
      <c r="R5013" s="1">
        <v>9.67</v>
      </c>
      <c r="S5013" s="1">
        <v>108.7</v>
      </c>
    </row>
    <row r="5014" spans="1:38" x14ac:dyDescent="0.3">
      <c r="A5014" s="1">
        <v>91302</v>
      </c>
      <c r="B5014" s="1" t="s">
        <v>310</v>
      </c>
      <c r="C5014" s="1" t="s">
        <v>294</v>
      </c>
      <c r="D5014" s="1">
        <v>2022</v>
      </c>
      <c r="E5014" s="1">
        <v>8</v>
      </c>
      <c r="G5014" s="4">
        <v>44783</v>
      </c>
      <c r="H5014" s="1" t="s">
        <v>311</v>
      </c>
      <c r="I5014" s="1" t="s">
        <v>312</v>
      </c>
      <c r="J5014" s="1" t="s">
        <v>313</v>
      </c>
      <c r="K5014" s="1"/>
      <c r="L5014" s="1" t="s">
        <v>314</v>
      </c>
      <c r="M5014" s="1">
        <v>3</v>
      </c>
      <c r="N5014" s="1">
        <v>3</v>
      </c>
      <c r="O5014" s="1">
        <v>3</v>
      </c>
      <c r="Q5014" s="1">
        <v>21.1</v>
      </c>
      <c r="R5014" s="1">
        <v>9.82</v>
      </c>
      <c r="S5014" s="1">
        <v>110.3</v>
      </c>
    </row>
    <row r="5015" spans="1:38" x14ac:dyDescent="0.3">
      <c r="A5015" s="1">
        <v>91303</v>
      </c>
      <c r="B5015" s="1" t="s">
        <v>310</v>
      </c>
      <c r="C5015" s="1" t="s">
        <v>294</v>
      </c>
      <c r="D5015" s="1">
        <v>2022</v>
      </c>
      <c r="E5015" s="1">
        <v>8</v>
      </c>
      <c r="G5015" s="4">
        <v>44783</v>
      </c>
      <c r="H5015" s="1" t="s">
        <v>311</v>
      </c>
      <c r="I5015" s="1" t="s">
        <v>312</v>
      </c>
      <c r="J5015" s="1" t="s">
        <v>313</v>
      </c>
      <c r="K5015" s="1"/>
      <c r="L5015" s="1" t="s">
        <v>314</v>
      </c>
      <c r="M5015" s="1">
        <v>4</v>
      </c>
      <c r="N5015" s="1">
        <v>4</v>
      </c>
      <c r="O5015" s="1">
        <v>4</v>
      </c>
      <c r="Q5015" s="1">
        <v>20.7</v>
      </c>
      <c r="R5015" s="1">
        <v>8.11</v>
      </c>
      <c r="S5015" s="1">
        <v>91.1</v>
      </c>
    </row>
    <row r="5016" spans="1:38" x14ac:dyDescent="0.3">
      <c r="A5016" s="1">
        <v>91304</v>
      </c>
      <c r="B5016" s="1" t="s">
        <v>310</v>
      </c>
      <c r="C5016" s="1" t="s">
        <v>294</v>
      </c>
      <c r="D5016" s="1">
        <v>2022</v>
      </c>
      <c r="E5016" s="1">
        <v>8</v>
      </c>
      <c r="G5016" s="4">
        <v>44783</v>
      </c>
      <c r="H5016" s="1" t="s">
        <v>311</v>
      </c>
      <c r="I5016" s="1" t="s">
        <v>312</v>
      </c>
      <c r="J5016" s="1" t="s">
        <v>313</v>
      </c>
      <c r="K5016" s="1"/>
      <c r="L5016" s="1" t="s">
        <v>314</v>
      </c>
      <c r="M5016" s="1" t="s">
        <v>286</v>
      </c>
      <c r="N5016" s="1">
        <v>5.0999999999999996</v>
      </c>
      <c r="O5016" s="1">
        <v>5.0999999999999996</v>
      </c>
      <c r="P5016" s="1" t="s">
        <v>266</v>
      </c>
      <c r="Q5016" s="1">
        <v>20.399999999999999</v>
      </c>
      <c r="R5016" s="1">
        <v>2.02</v>
      </c>
      <c r="S5016" s="1">
        <v>22.7</v>
      </c>
      <c r="V5016" s="1">
        <v>2.9</v>
      </c>
      <c r="W5016" s="1">
        <v>9.5</v>
      </c>
      <c r="Y5016" s="1">
        <v>3.7999999999999999E-2</v>
      </c>
      <c r="Z5016" s="1">
        <v>60</v>
      </c>
      <c r="AA5016" s="1">
        <v>7</v>
      </c>
      <c r="AB5016" s="1" t="s">
        <v>266</v>
      </c>
      <c r="AD5016" s="1">
        <v>3</v>
      </c>
      <c r="AE5016" s="1">
        <v>8</v>
      </c>
      <c r="AK5016" s="1">
        <v>100</v>
      </c>
      <c r="AL5016" s="1">
        <v>770</v>
      </c>
    </row>
    <row r="5017" spans="1:38" x14ac:dyDescent="0.3">
      <c r="A5017" s="1">
        <v>91305</v>
      </c>
      <c r="B5017" s="1" t="s">
        <v>310</v>
      </c>
      <c r="C5017" s="1" t="s">
        <v>294</v>
      </c>
      <c r="D5017" s="1">
        <v>2022</v>
      </c>
      <c r="E5017" s="1">
        <v>8</v>
      </c>
      <c r="G5017" s="4">
        <v>44786</v>
      </c>
      <c r="H5017" s="1" t="s">
        <v>315</v>
      </c>
      <c r="I5017" s="1" t="s">
        <v>316</v>
      </c>
      <c r="J5017" s="1" t="s">
        <v>183</v>
      </c>
      <c r="K5017" s="1"/>
      <c r="L5017" s="1" t="s">
        <v>317</v>
      </c>
      <c r="M5017" s="1" t="s">
        <v>285</v>
      </c>
      <c r="N5017" s="1">
        <v>0.5</v>
      </c>
      <c r="O5017" s="1">
        <v>0.5</v>
      </c>
      <c r="P5017" s="1">
        <v>3.2</v>
      </c>
      <c r="Q5017" s="1">
        <v>22.2</v>
      </c>
      <c r="R5017" s="1">
        <v>9.16</v>
      </c>
      <c r="S5017" s="1">
        <v>104.9</v>
      </c>
      <c r="V5017" s="1">
        <v>2.4</v>
      </c>
      <c r="W5017" s="1">
        <v>28</v>
      </c>
      <c r="Y5017" s="1">
        <v>4.1000000000000002E-2</v>
      </c>
      <c r="Z5017" s="1" t="s">
        <v>319</v>
      </c>
      <c r="AA5017" s="1">
        <v>1.3</v>
      </c>
      <c r="AB5017" s="1">
        <v>3.6</v>
      </c>
      <c r="AD5017" s="1" t="s">
        <v>319</v>
      </c>
      <c r="AE5017" s="1">
        <v>8.3000000000000007</v>
      </c>
      <c r="AK5017" s="1">
        <v>14</v>
      </c>
      <c r="AL5017" s="1">
        <v>520</v>
      </c>
    </row>
    <row r="5018" spans="1:38" x14ac:dyDescent="0.3">
      <c r="A5018" s="1">
        <v>91306</v>
      </c>
      <c r="B5018" s="1" t="s">
        <v>310</v>
      </c>
      <c r="C5018" s="1" t="s">
        <v>294</v>
      </c>
      <c r="D5018" s="1">
        <v>2022</v>
      </c>
      <c r="E5018" s="1">
        <v>8</v>
      </c>
      <c r="G5018" s="4">
        <v>44786</v>
      </c>
      <c r="H5018" s="1" t="s">
        <v>315</v>
      </c>
      <c r="I5018" s="1" t="s">
        <v>316</v>
      </c>
      <c r="J5018" s="1" t="s">
        <v>183</v>
      </c>
      <c r="K5018" s="1"/>
      <c r="L5018" s="1" t="s">
        <v>317</v>
      </c>
      <c r="M5018" s="1">
        <v>1</v>
      </c>
      <c r="N5018" s="1">
        <v>1</v>
      </c>
      <c r="O5018" s="1">
        <v>1</v>
      </c>
      <c r="Q5018" s="1">
        <v>21.8</v>
      </c>
      <c r="R5018" s="1">
        <v>9.25</v>
      </c>
      <c r="S5018" s="1">
        <v>105.1</v>
      </c>
    </row>
    <row r="5019" spans="1:38" x14ac:dyDescent="0.3">
      <c r="A5019" s="1">
        <v>91307</v>
      </c>
      <c r="B5019" s="1" t="s">
        <v>310</v>
      </c>
      <c r="C5019" s="1" t="s">
        <v>294</v>
      </c>
      <c r="D5019" s="1">
        <v>2022</v>
      </c>
      <c r="E5019" s="1">
        <v>8</v>
      </c>
      <c r="G5019" s="4">
        <v>44786</v>
      </c>
      <c r="H5019" s="1" t="s">
        <v>315</v>
      </c>
      <c r="I5019" s="1" t="s">
        <v>316</v>
      </c>
      <c r="J5019" s="1" t="s">
        <v>183</v>
      </c>
      <c r="K5019" s="1"/>
      <c r="L5019" s="1" t="s">
        <v>317</v>
      </c>
      <c r="M5019" s="1">
        <v>4</v>
      </c>
      <c r="N5019" s="1">
        <v>4</v>
      </c>
      <c r="O5019" s="1">
        <v>4</v>
      </c>
      <c r="Q5019" s="1">
        <v>21.6</v>
      </c>
      <c r="R5019" s="1">
        <v>9.2200000000000006</v>
      </c>
      <c r="S5019" s="1">
        <v>104.6</v>
      </c>
    </row>
    <row r="5020" spans="1:38" x14ac:dyDescent="0.3">
      <c r="A5020" s="1">
        <v>91308</v>
      </c>
      <c r="B5020" s="1" t="s">
        <v>310</v>
      </c>
      <c r="C5020" s="1" t="s">
        <v>294</v>
      </c>
      <c r="D5020" s="1">
        <v>2022</v>
      </c>
      <c r="E5020" s="1">
        <v>8</v>
      </c>
      <c r="G5020" s="4">
        <v>44786</v>
      </c>
      <c r="H5020" s="1" t="s">
        <v>315</v>
      </c>
      <c r="I5020" s="1" t="s">
        <v>316</v>
      </c>
      <c r="J5020" s="1" t="s">
        <v>183</v>
      </c>
      <c r="K5020" s="1"/>
      <c r="L5020" s="1" t="s">
        <v>317</v>
      </c>
      <c r="M5020" s="1">
        <v>3</v>
      </c>
      <c r="N5020" s="1">
        <v>3</v>
      </c>
      <c r="O5020" s="1">
        <v>3</v>
      </c>
      <c r="Q5020" s="1">
        <v>21.3</v>
      </c>
      <c r="R5020" s="1">
        <v>8.69</v>
      </c>
      <c r="S5020" s="1">
        <v>97.1</v>
      </c>
    </row>
    <row r="5021" spans="1:38" x14ac:dyDescent="0.3">
      <c r="A5021" s="1">
        <v>91309</v>
      </c>
      <c r="B5021" s="1" t="s">
        <v>310</v>
      </c>
      <c r="C5021" s="1" t="s">
        <v>294</v>
      </c>
      <c r="D5021" s="1">
        <v>2022</v>
      </c>
      <c r="E5021" s="1">
        <v>8</v>
      </c>
      <c r="G5021" s="4">
        <v>44786</v>
      </c>
      <c r="H5021" s="1" t="s">
        <v>315</v>
      </c>
      <c r="I5021" s="1" t="s">
        <v>316</v>
      </c>
      <c r="J5021" s="1" t="s">
        <v>183</v>
      </c>
      <c r="K5021" s="1"/>
      <c r="L5021" s="1" t="s">
        <v>317</v>
      </c>
      <c r="M5021" s="1">
        <v>4</v>
      </c>
      <c r="N5021" s="1">
        <v>4</v>
      </c>
      <c r="O5021" s="1">
        <v>4</v>
      </c>
      <c r="Q5021" s="1">
        <v>20.9</v>
      </c>
      <c r="R5021" s="1">
        <v>7.31</v>
      </c>
      <c r="S5021" s="1">
        <v>81.900000000000006</v>
      </c>
    </row>
    <row r="5022" spans="1:38" x14ac:dyDescent="0.3">
      <c r="A5022" s="1">
        <v>91310</v>
      </c>
      <c r="B5022" s="1" t="s">
        <v>310</v>
      </c>
      <c r="C5022" s="1" t="s">
        <v>294</v>
      </c>
      <c r="D5022" s="1">
        <v>2022</v>
      </c>
      <c r="E5022" s="1">
        <v>8</v>
      </c>
      <c r="G5022" s="4">
        <v>44786</v>
      </c>
      <c r="H5022" s="1" t="s">
        <v>315</v>
      </c>
      <c r="I5022" s="1" t="s">
        <v>316</v>
      </c>
      <c r="J5022" s="1" t="s">
        <v>183</v>
      </c>
      <c r="K5022" s="1"/>
      <c r="L5022" s="1" t="s">
        <v>317</v>
      </c>
      <c r="M5022" s="1">
        <v>5</v>
      </c>
      <c r="N5022" s="1">
        <v>5</v>
      </c>
      <c r="O5022" s="1">
        <v>5</v>
      </c>
      <c r="Q5022" s="1">
        <v>16</v>
      </c>
      <c r="R5022" s="1">
        <v>0.8</v>
      </c>
      <c r="S5022" s="1">
        <v>8.6</v>
      </c>
    </row>
    <row r="5023" spans="1:38" x14ac:dyDescent="0.3">
      <c r="A5023" s="1">
        <v>91311</v>
      </c>
      <c r="B5023" s="1" t="s">
        <v>310</v>
      </c>
      <c r="C5023" s="1" t="s">
        <v>294</v>
      </c>
      <c r="D5023" s="1">
        <v>2022</v>
      </c>
      <c r="E5023" s="1">
        <v>8</v>
      </c>
      <c r="G5023" s="4">
        <v>44786</v>
      </c>
      <c r="H5023" s="1" t="s">
        <v>315</v>
      </c>
      <c r="I5023" s="1" t="s">
        <v>316</v>
      </c>
      <c r="J5023" s="1" t="s">
        <v>183</v>
      </c>
      <c r="K5023" s="1"/>
      <c r="L5023" s="1" t="s">
        <v>317</v>
      </c>
      <c r="M5023" s="1">
        <v>6</v>
      </c>
      <c r="N5023" s="1">
        <v>6</v>
      </c>
      <c r="O5023" s="1">
        <v>6</v>
      </c>
      <c r="Q5023" s="1">
        <v>15.6</v>
      </c>
      <c r="R5023" s="1">
        <v>0.3</v>
      </c>
      <c r="S5023" s="1">
        <v>3.1</v>
      </c>
    </row>
    <row r="5024" spans="1:38" x14ac:dyDescent="0.3">
      <c r="A5024" s="1">
        <v>91312</v>
      </c>
      <c r="B5024" s="1" t="s">
        <v>310</v>
      </c>
      <c r="C5024" s="1" t="s">
        <v>294</v>
      </c>
      <c r="D5024" s="1">
        <v>2022</v>
      </c>
      <c r="E5024" s="1">
        <v>8</v>
      </c>
      <c r="G5024" s="4">
        <v>44786</v>
      </c>
      <c r="H5024" s="1" t="s">
        <v>315</v>
      </c>
      <c r="I5024" s="1" t="s">
        <v>316</v>
      </c>
      <c r="J5024" s="1" t="s">
        <v>183</v>
      </c>
      <c r="K5024" s="1"/>
      <c r="L5024" s="1" t="s">
        <v>317</v>
      </c>
      <c r="M5024" s="1">
        <v>7</v>
      </c>
      <c r="N5024" s="1">
        <v>7</v>
      </c>
      <c r="O5024" s="1">
        <v>7</v>
      </c>
      <c r="Q5024" s="1">
        <v>12.2</v>
      </c>
      <c r="R5024" s="1">
        <v>0.17</v>
      </c>
      <c r="S5024" s="1">
        <v>1.7</v>
      </c>
    </row>
    <row r="5025" spans="1:38" x14ac:dyDescent="0.3">
      <c r="A5025" s="1">
        <v>91313</v>
      </c>
      <c r="B5025" s="1" t="s">
        <v>310</v>
      </c>
      <c r="C5025" s="1" t="s">
        <v>294</v>
      </c>
      <c r="D5025" s="1">
        <v>2022</v>
      </c>
      <c r="E5025" s="1">
        <v>8</v>
      </c>
      <c r="G5025" s="4">
        <v>44786</v>
      </c>
      <c r="H5025" s="1" t="s">
        <v>315</v>
      </c>
      <c r="I5025" s="1" t="s">
        <v>316</v>
      </c>
      <c r="J5025" s="1" t="s">
        <v>183</v>
      </c>
      <c r="K5025" s="1"/>
      <c r="L5025" s="1" t="s">
        <v>317</v>
      </c>
      <c r="M5025" s="1" t="s">
        <v>286</v>
      </c>
      <c r="N5025" s="1">
        <v>7.4</v>
      </c>
      <c r="O5025" s="1">
        <v>7.4</v>
      </c>
      <c r="P5025" s="1" t="s">
        <v>266</v>
      </c>
      <c r="Q5025" s="1">
        <v>12.4</v>
      </c>
      <c r="R5025" s="1">
        <v>0.05</v>
      </c>
      <c r="S5025" s="1">
        <v>0.5</v>
      </c>
      <c r="V5025" s="1">
        <v>2.6</v>
      </c>
      <c r="W5025" s="1">
        <v>15</v>
      </c>
      <c r="Y5025" s="1">
        <v>5.1999999999999998E-2</v>
      </c>
      <c r="Z5025" s="1">
        <v>160</v>
      </c>
      <c r="AA5025" s="1">
        <v>13</v>
      </c>
      <c r="AB5025" s="1" t="s">
        <v>266</v>
      </c>
      <c r="AD5025" s="1">
        <v>2.8</v>
      </c>
      <c r="AE5025" s="1">
        <v>7.6</v>
      </c>
      <c r="AK5025" s="1">
        <v>190</v>
      </c>
      <c r="AL5025" s="1">
        <v>610</v>
      </c>
    </row>
    <row r="5026" spans="1:38" x14ac:dyDescent="0.3">
      <c r="A5026" s="1">
        <v>91314</v>
      </c>
      <c r="B5026" s="1" t="s">
        <v>310</v>
      </c>
      <c r="C5026" s="1" t="s">
        <v>294</v>
      </c>
      <c r="D5026" s="1">
        <v>2022</v>
      </c>
      <c r="E5026" s="1">
        <v>8</v>
      </c>
      <c r="G5026" s="4">
        <v>44786</v>
      </c>
      <c r="H5026" s="1" t="s">
        <v>320</v>
      </c>
      <c r="I5026" s="1" t="s">
        <v>321</v>
      </c>
      <c r="J5026" s="1" t="s">
        <v>185</v>
      </c>
      <c r="K5026" s="1"/>
      <c r="L5026" s="1" t="s">
        <v>322</v>
      </c>
      <c r="M5026" s="1" t="s">
        <v>285</v>
      </c>
      <c r="N5026" s="1">
        <v>0.5</v>
      </c>
      <c r="O5026" s="1">
        <v>0.5</v>
      </c>
      <c r="P5026" s="1" t="s">
        <v>360</v>
      </c>
      <c r="Q5026" s="1">
        <v>20.6</v>
      </c>
      <c r="R5026" s="1">
        <v>7.44</v>
      </c>
      <c r="S5026" s="1">
        <v>82.9</v>
      </c>
      <c r="V5026" s="1">
        <v>1.7</v>
      </c>
      <c r="W5026" s="1">
        <v>55</v>
      </c>
      <c r="Y5026" s="1">
        <v>0.13700000000000001</v>
      </c>
      <c r="Z5026" s="1" t="s">
        <v>319</v>
      </c>
      <c r="AA5026" s="1">
        <v>0.52</v>
      </c>
      <c r="AB5026" s="1">
        <v>8.6</v>
      </c>
      <c r="AD5026" s="1" t="s">
        <v>319</v>
      </c>
      <c r="AE5026" s="1">
        <v>7.6</v>
      </c>
      <c r="AK5026" s="1">
        <v>10</v>
      </c>
      <c r="AL5026" s="1">
        <v>630</v>
      </c>
    </row>
    <row r="5027" spans="1:38" x14ac:dyDescent="0.3">
      <c r="A5027" s="1">
        <v>91315</v>
      </c>
      <c r="B5027" s="1" t="s">
        <v>310</v>
      </c>
      <c r="C5027" s="1" t="s">
        <v>294</v>
      </c>
      <c r="D5027" s="1">
        <v>2022</v>
      </c>
      <c r="E5027" s="1">
        <v>8</v>
      </c>
      <c r="G5027" s="4">
        <v>44786</v>
      </c>
      <c r="H5027" s="1" t="s">
        <v>320</v>
      </c>
      <c r="I5027" s="1" t="s">
        <v>321</v>
      </c>
      <c r="J5027" s="1" t="s">
        <v>185</v>
      </c>
      <c r="K5027" s="1"/>
      <c r="L5027" s="1" t="s">
        <v>322</v>
      </c>
      <c r="M5027" s="1">
        <v>1</v>
      </c>
      <c r="N5027" s="1">
        <v>1</v>
      </c>
      <c r="O5027" s="1">
        <v>1</v>
      </c>
      <c r="Q5027" s="1">
        <v>20.100000000000001</v>
      </c>
      <c r="R5027" s="1">
        <v>6.92</v>
      </c>
      <c r="S5027" s="1">
        <v>76.3</v>
      </c>
    </row>
    <row r="5028" spans="1:38" x14ac:dyDescent="0.3">
      <c r="A5028" s="1">
        <v>91316</v>
      </c>
      <c r="B5028" s="1" t="s">
        <v>310</v>
      </c>
      <c r="C5028" s="1" t="s">
        <v>294</v>
      </c>
      <c r="D5028" s="1">
        <v>2022</v>
      </c>
      <c r="E5028" s="1">
        <v>8</v>
      </c>
      <c r="G5028" s="4">
        <v>44786</v>
      </c>
      <c r="H5028" s="1" t="s">
        <v>320</v>
      </c>
      <c r="I5028" s="1" t="s">
        <v>321</v>
      </c>
      <c r="J5028" s="1" t="s">
        <v>185</v>
      </c>
      <c r="K5028" s="1"/>
      <c r="L5028" s="1" t="s">
        <v>322</v>
      </c>
      <c r="M5028" s="1" t="s">
        <v>286</v>
      </c>
      <c r="N5028" s="1">
        <v>1.5</v>
      </c>
      <c r="O5028" s="1">
        <v>1.5</v>
      </c>
      <c r="P5028" s="1" t="s">
        <v>266</v>
      </c>
      <c r="Q5028" s="1">
        <v>19.2</v>
      </c>
      <c r="R5028" s="1">
        <v>7.05</v>
      </c>
      <c r="S5028" s="1">
        <v>76.5</v>
      </c>
      <c r="V5028" s="1">
        <v>1.7</v>
      </c>
      <c r="W5028" s="1">
        <v>9.4</v>
      </c>
      <c r="Y5028" s="1">
        <v>0.14199999999999999</v>
      </c>
      <c r="Z5028" s="1" t="s">
        <v>319</v>
      </c>
      <c r="AA5028" s="1">
        <v>0.8</v>
      </c>
      <c r="AB5028" s="1" t="s">
        <v>266</v>
      </c>
      <c r="AD5028" s="1">
        <v>1.8</v>
      </c>
      <c r="AE5028" s="1">
        <v>7.4</v>
      </c>
      <c r="AK5028" s="1">
        <v>21</v>
      </c>
      <c r="AL5028" s="1">
        <v>550</v>
      </c>
    </row>
    <row r="5029" spans="1:38" x14ac:dyDescent="0.3">
      <c r="A5029" s="1">
        <v>91317</v>
      </c>
      <c r="B5029" s="1" t="s">
        <v>310</v>
      </c>
      <c r="C5029" s="1" t="s">
        <v>294</v>
      </c>
      <c r="D5029" s="1">
        <v>2022</v>
      </c>
      <c r="E5029" s="1">
        <v>8</v>
      </c>
      <c r="G5029" s="4">
        <v>44784</v>
      </c>
      <c r="H5029" s="1" t="s">
        <v>323</v>
      </c>
      <c r="I5029" s="1" t="s">
        <v>324</v>
      </c>
      <c r="J5029" s="1" t="s">
        <v>207</v>
      </c>
      <c r="K5029" s="1"/>
      <c r="L5029" s="1" t="s">
        <v>325</v>
      </c>
      <c r="M5029" s="1" t="s">
        <v>285</v>
      </c>
      <c r="N5029" s="1">
        <v>0.5</v>
      </c>
      <c r="O5029" s="1">
        <v>0.5</v>
      </c>
      <c r="P5029" s="1">
        <v>1.1000000000000001</v>
      </c>
      <c r="Q5029" s="1">
        <v>21.5</v>
      </c>
      <c r="R5029" s="1">
        <v>8.73</v>
      </c>
      <c r="S5029" s="1">
        <v>98.6</v>
      </c>
      <c r="V5029" s="1">
        <v>0.64</v>
      </c>
      <c r="W5029" s="1">
        <v>15</v>
      </c>
      <c r="Y5029" s="1">
        <v>0.38500000000000001</v>
      </c>
      <c r="Z5029" s="1">
        <v>1.8</v>
      </c>
      <c r="AA5029" s="1">
        <v>0.69</v>
      </c>
      <c r="AB5029" s="1">
        <v>13</v>
      </c>
      <c r="AD5029" s="1">
        <v>3.3</v>
      </c>
      <c r="AE5029" s="1">
        <v>7.8</v>
      </c>
      <c r="AK5029" s="1">
        <v>14</v>
      </c>
      <c r="AL5029" s="1">
        <v>840</v>
      </c>
    </row>
    <row r="5030" spans="1:38" x14ac:dyDescent="0.3">
      <c r="A5030" s="1">
        <v>91318</v>
      </c>
      <c r="B5030" s="1" t="s">
        <v>310</v>
      </c>
      <c r="C5030" s="1" t="s">
        <v>294</v>
      </c>
      <c r="D5030" s="1">
        <v>2022</v>
      </c>
      <c r="E5030" s="1">
        <v>8</v>
      </c>
      <c r="G5030" s="4">
        <v>44784</v>
      </c>
      <c r="H5030" s="1" t="s">
        <v>323</v>
      </c>
      <c r="I5030" s="1" t="s">
        <v>324</v>
      </c>
      <c r="J5030" s="1" t="s">
        <v>207</v>
      </c>
      <c r="K5030" s="1"/>
      <c r="L5030" s="1" t="s">
        <v>325</v>
      </c>
      <c r="M5030" s="1">
        <v>1</v>
      </c>
      <c r="N5030" s="1">
        <v>1</v>
      </c>
      <c r="O5030" s="1">
        <v>1</v>
      </c>
      <c r="Q5030" s="1">
        <v>20.100000000000001</v>
      </c>
      <c r="R5030" s="1">
        <v>8.0299999999999994</v>
      </c>
      <c r="S5030" s="1">
        <v>88.5</v>
      </c>
    </row>
    <row r="5031" spans="1:38" x14ac:dyDescent="0.3">
      <c r="A5031" s="1">
        <v>91319</v>
      </c>
      <c r="B5031" s="1" t="s">
        <v>310</v>
      </c>
      <c r="C5031" s="1" t="s">
        <v>294</v>
      </c>
      <c r="D5031" s="1">
        <v>2022</v>
      </c>
      <c r="E5031" s="1">
        <v>8</v>
      </c>
      <c r="G5031" s="4">
        <v>44784</v>
      </c>
      <c r="H5031" s="1" t="s">
        <v>323</v>
      </c>
      <c r="I5031" s="1" t="s">
        <v>324</v>
      </c>
      <c r="J5031" s="1" t="s">
        <v>207</v>
      </c>
      <c r="K5031" s="1"/>
      <c r="L5031" s="1" t="s">
        <v>325</v>
      </c>
      <c r="M5031" s="1">
        <v>2</v>
      </c>
      <c r="N5031" s="1">
        <v>2</v>
      </c>
      <c r="O5031" s="1">
        <v>2</v>
      </c>
      <c r="Q5031" s="1">
        <v>14.5</v>
      </c>
      <c r="R5031" s="1">
        <v>0.28000000000000003</v>
      </c>
      <c r="S5031" s="1">
        <v>3</v>
      </c>
    </row>
    <row r="5032" spans="1:38" x14ac:dyDescent="0.3">
      <c r="A5032" s="1">
        <v>91320</v>
      </c>
      <c r="B5032" s="1" t="s">
        <v>310</v>
      </c>
      <c r="C5032" s="1" t="s">
        <v>294</v>
      </c>
      <c r="D5032" s="1">
        <v>2022</v>
      </c>
      <c r="E5032" s="1">
        <v>8</v>
      </c>
      <c r="G5032" s="4">
        <v>44784</v>
      </c>
      <c r="H5032" s="1" t="s">
        <v>323</v>
      </c>
      <c r="I5032" s="1" t="s">
        <v>324</v>
      </c>
      <c r="J5032" s="1" t="s">
        <v>207</v>
      </c>
      <c r="K5032" s="1"/>
      <c r="L5032" s="1" t="s">
        <v>325</v>
      </c>
      <c r="M5032" s="1">
        <v>3</v>
      </c>
      <c r="N5032" s="1">
        <v>3</v>
      </c>
      <c r="O5032" s="1">
        <v>3</v>
      </c>
      <c r="Q5032" s="1">
        <v>9.3000000000000007</v>
      </c>
      <c r="R5032" s="1">
        <v>0.09</v>
      </c>
      <c r="S5032" s="1">
        <v>0.8</v>
      </c>
    </row>
    <row r="5033" spans="1:38" x14ac:dyDescent="0.3">
      <c r="A5033" s="1">
        <v>91321</v>
      </c>
      <c r="B5033" s="1" t="s">
        <v>310</v>
      </c>
      <c r="C5033" s="1" t="s">
        <v>294</v>
      </c>
      <c r="D5033" s="1">
        <v>2022</v>
      </c>
      <c r="E5033" s="1">
        <v>8</v>
      </c>
      <c r="G5033" s="4">
        <v>44784</v>
      </c>
      <c r="H5033" s="1" t="s">
        <v>323</v>
      </c>
      <c r="I5033" s="1" t="s">
        <v>324</v>
      </c>
      <c r="J5033" s="1" t="s">
        <v>207</v>
      </c>
      <c r="K5033" s="1"/>
      <c r="L5033" s="1" t="s">
        <v>325</v>
      </c>
      <c r="M5033" s="1" t="s">
        <v>286</v>
      </c>
      <c r="N5033" s="1">
        <v>3.6</v>
      </c>
      <c r="O5033" s="1">
        <v>3.6</v>
      </c>
      <c r="P5033" s="1" t="s">
        <v>266</v>
      </c>
      <c r="Q5033" s="1">
        <v>7.7</v>
      </c>
      <c r="R5033" s="1">
        <v>-0.02</v>
      </c>
      <c r="S5033" s="1">
        <v>-0.2</v>
      </c>
      <c r="V5033" s="1">
        <v>0.94</v>
      </c>
      <c r="W5033" s="1">
        <v>21</v>
      </c>
      <c r="Y5033" s="1">
        <v>2.8000000000000001E-2</v>
      </c>
      <c r="Z5033" s="1">
        <v>3</v>
      </c>
      <c r="AA5033" s="1">
        <v>7.8</v>
      </c>
      <c r="AB5033" s="1" t="s">
        <v>266</v>
      </c>
      <c r="AD5033" s="1">
        <v>19</v>
      </c>
      <c r="AE5033" s="1">
        <v>6.7</v>
      </c>
      <c r="AK5033" s="1">
        <v>35</v>
      </c>
      <c r="AL5033" s="1">
        <v>1000</v>
      </c>
    </row>
    <row r="5034" spans="1:38" x14ac:dyDescent="0.3">
      <c r="A5034" s="1">
        <v>91322</v>
      </c>
      <c r="B5034" s="1" t="s">
        <v>310</v>
      </c>
      <c r="C5034" s="1" t="s">
        <v>294</v>
      </c>
      <c r="D5034" s="1">
        <v>2022</v>
      </c>
      <c r="E5034" s="1">
        <v>8</v>
      </c>
      <c r="G5034" s="4">
        <v>44786</v>
      </c>
      <c r="H5034" s="1" t="s">
        <v>326</v>
      </c>
      <c r="I5034" s="1" t="s">
        <v>327</v>
      </c>
      <c r="J5034" s="1" t="s">
        <v>201</v>
      </c>
      <c r="K5034" s="1"/>
      <c r="L5034" s="1" t="s">
        <v>328</v>
      </c>
      <c r="M5034" s="1" t="s">
        <v>285</v>
      </c>
      <c r="N5034" s="1">
        <v>0.5</v>
      </c>
      <c r="O5034" s="1">
        <v>0.5</v>
      </c>
      <c r="P5034" s="1">
        <v>1.7</v>
      </c>
      <c r="Q5034" s="1">
        <v>21.8</v>
      </c>
      <c r="R5034" s="1">
        <v>7.7</v>
      </c>
      <c r="S5034" s="1">
        <v>87.3</v>
      </c>
      <c r="V5034" s="1">
        <v>1.9</v>
      </c>
      <c r="W5034" s="1">
        <v>39</v>
      </c>
      <c r="Y5034" s="1">
        <v>0.104</v>
      </c>
      <c r="Z5034" s="1" t="s">
        <v>319</v>
      </c>
      <c r="AA5034" s="1">
        <v>2.2000000000000002</v>
      </c>
      <c r="AB5034" s="1">
        <v>3</v>
      </c>
      <c r="AD5034" s="1">
        <v>3.7</v>
      </c>
      <c r="AE5034" s="1">
        <v>8</v>
      </c>
      <c r="AK5034" s="1">
        <v>17</v>
      </c>
      <c r="AL5034" s="1">
        <v>710</v>
      </c>
    </row>
    <row r="5035" spans="1:38" x14ac:dyDescent="0.3">
      <c r="A5035" s="1">
        <v>91323</v>
      </c>
      <c r="B5035" s="1" t="s">
        <v>310</v>
      </c>
      <c r="C5035" s="1" t="s">
        <v>294</v>
      </c>
      <c r="D5035" s="1">
        <v>2022</v>
      </c>
      <c r="E5035" s="1">
        <v>8</v>
      </c>
      <c r="G5035" s="4">
        <v>44786</v>
      </c>
      <c r="H5035" s="1" t="s">
        <v>326</v>
      </c>
      <c r="I5035" s="1" t="s">
        <v>327</v>
      </c>
      <c r="J5035" s="1" t="s">
        <v>201</v>
      </c>
      <c r="K5035" s="1"/>
      <c r="L5035" s="1" t="s">
        <v>328</v>
      </c>
      <c r="M5035" s="1">
        <v>1</v>
      </c>
      <c r="N5035" s="1">
        <v>1</v>
      </c>
      <c r="O5035" s="1">
        <v>1</v>
      </c>
      <c r="Q5035" s="1">
        <v>21.6</v>
      </c>
      <c r="R5035" s="1">
        <v>7.59</v>
      </c>
      <c r="S5035" s="1">
        <v>86.1</v>
      </c>
    </row>
    <row r="5036" spans="1:38" x14ac:dyDescent="0.3">
      <c r="A5036" s="1">
        <v>91324</v>
      </c>
      <c r="B5036" s="1" t="s">
        <v>310</v>
      </c>
      <c r="C5036" s="1" t="s">
        <v>294</v>
      </c>
      <c r="D5036" s="1">
        <v>2022</v>
      </c>
      <c r="E5036" s="1">
        <v>8</v>
      </c>
      <c r="G5036" s="4">
        <v>44786</v>
      </c>
      <c r="H5036" s="1" t="s">
        <v>326</v>
      </c>
      <c r="I5036" s="1" t="s">
        <v>327</v>
      </c>
      <c r="J5036" s="1" t="s">
        <v>201</v>
      </c>
      <c r="K5036" s="1"/>
      <c r="L5036" s="1" t="s">
        <v>328</v>
      </c>
      <c r="M5036" s="1">
        <v>2</v>
      </c>
      <c r="N5036" s="1">
        <v>2</v>
      </c>
      <c r="O5036" s="1">
        <v>2</v>
      </c>
      <c r="Q5036" s="1">
        <v>21.3</v>
      </c>
      <c r="R5036" s="1">
        <v>6.26</v>
      </c>
      <c r="S5036" s="1">
        <v>70.099999999999994</v>
      </c>
    </row>
    <row r="5037" spans="1:38" x14ac:dyDescent="0.3">
      <c r="A5037" s="1">
        <v>91325</v>
      </c>
      <c r="B5037" s="1" t="s">
        <v>310</v>
      </c>
      <c r="C5037" s="1" t="s">
        <v>294</v>
      </c>
      <c r="D5037" s="1">
        <v>2022</v>
      </c>
      <c r="E5037" s="1">
        <v>8</v>
      </c>
      <c r="G5037" s="4">
        <v>44786</v>
      </c>
      <c r="H5037" s="1" t="s">
        <v>326</v>
      </c>
      <c r="I5037" s="1" t="s">
        <v>327</v>
      </c>
      <c r="J5037" s="1" t="s">
        <v>201</v>
      </c>
      <c r="K5037" s="1"/>
      <c r="L5037" s="1" t="s">
        <v>328</v>
      </c>
      <c r="M5037" s="1">
        <v>3</v>
      </c>
      <c r="N5037" s="1">
        <v>3</v>
      </c>
      <c r="O5037" s="1">
        <v>3</v>
      </c>
      <c r="Q5037" s="1">
        <v>19.2</v>
      </c>
      <c r="R5037" s="1">
        <v>0.61</v>
      </c>
      <c r="S5037" s="1">
        <v>6.7</v>
      </c>
    </row>
    <row r="5038" spans="1:38" x14ac:dyDescent="0.3">
      <c r="A5038" s="1">
        <v>91326</v>
      </c>
      <c r="B5038" s="1" t="s">
        <v>310</v>
      </c>
      <c r="C5038" s="1" t="s">
        <v>294</v>
      </c>
      <c r="D5038" s="1">
        <v>2022</v>
      </c>
      <c r="E5038" s="1">
        <v>8</v>
      </c>
      <c r="G5038" s="4">
        <v>44786</v>
      </c>
      <c r="H5038" s="1" t="s">
        <v>326</v>
      </c>
      <c r="I5038" s="1" t="s">
        <v>327</v>
      </c>
      <c r="J5038" s="1" t="s">
        <v>201</v>
      </c>
      <c r="K5038" s="1"/>
      <c r="L5038" s="1" t="s">
        <v>328</v>
      </c>
      <c r="M5038" s="1" t="s">
        <v>286</v>
      </c>
      <c r="N5038" s="1">
        <v>3.7</v>
      </c>
      <c r="O5038" s="1">
        <v>3.7</v>
      </c>
      <c r="P5038" s="1" t="s">
        <v>266</v>
      </c>
      <c r="Q5038" s="1">
        <v>13.6</v>
      </c>
      <c r="R5038" s="1">
        <v>0.2</v>
      </c>
      <c r="S5038" s="1">
        <v>2</v>
      </c>
      <c r="V5038" s="1">
        <v>1.9</v>
      </c>
      <c r="W5038" s="1">
        <v>56</v>
      </c>
      <c r="Y5038" s="1">
        <v>0.106</v>
      </c>
      <c r="Z5038" s="1">
        <v>6.9</v>
      </c>
      <c r="AA5038" s="1">
        <v>2.5</v>
      </c>
      <c r="AB5038" s="1" t="s">
        <v>266</v>
      </c>
      <c r="AD5038" s="1">
        <v>3.5</v>
      </c>
      <c r="AE5038" s="1">
        <v>7.9</v>
      </c>
      <c r="AK5038" s="1">
        <v>27</v>
      </c>
      <c r="AL5038" s="1">
        <v>700</v>
      </c>
    </row>
    <row r="5039" spans="1:38" x14ac:dyDescent="0.3">
      <c r="A5039" s="1">
        <v>91327</v>
      </c>
      <c r="B5039" s="1" t="s">
        <v>310</v>
      </c>
      <c r="C5039" s="1" t="s">
        <v>294</v>
      </c>
      <c r="D5039" s="1">
        <v>2022</v>
      </c>
      <c r="E5039" s="1">
        <v>8</v>
      </c>
      <c r="G5039" s="4">
        <v>44782</v>
      </c>
      <c r="H5039" s="1" t="s">
        <v>329</v>
      </c>
      <c r="I5039" s="1" t="s">
        <v>330</v>
      </c>
      <c r="J5039" s="1" t="s">
        <v>186</v>
      </c>
      <c r="K5039" s="1">
        <v>1</v>
      </c>
      <c r="L5039" s="1" t="s">
        <v>331</v>
      </c>
      <c r="M5039" s="1" t="s">
        <v>285</v>
      </c>
      <c r="N5039" s="1">
        <v>0.5</v>
      </c>
      <c r="O5039" s="1">
        <v>0.5</v>
      </c>
      <c r="P5039" s="1">
        <v>1</v>
      </c>
      <c r="Q5039" s="1">
        <v>22.7</v>
      </c>
      <c r="R5039" s="1">
        <v>11.4</v>
      </c>
      <c r="S5039" s="1">
        <v>134</v>
      </c>
      <c r="V5039" s="1">
        <v>2.6</v>
      </c>
      <c r="W5039" s="1">
        <v>26</v>
      </c>
      <c r="Y5039" s="1">
        <v>3.4000000000000002E-2</v>
      </c>
      <c r="Z5039" s="1">
        <v>28</v>
      </c>
      <c r="AA5039" s="1">
        <v>8.6</v>
      </c>
      <c r="AB5039" s="1">
        <v>44</v>
      </c>
      <c r="AD5039" s="1">
        <v>3.4</v>
      </c>
      <c r="AE5039" s="1">
        <v>8.4</v>
      </c>
      <c r="AK5039" s="1">
        <v>86</v>
      </c>
      <c r="AL5039" s="1">
        <v>740</v>
      </c>
    </row>
    <row r="5040" spans="1:38" x14ac:dyDescent="0.3">
      <c r="A5040" s="1">
        <v>91328</v>
      </c>
      <c r="B5040" s="1" t="s">
        <v>310</v>
      </c>
      <c r="C5040" s="1" t="s">
        <v>294</v>
      </c>
      <c r="D5040" s="1">
        <v>2022</v>
      </c>
      <c r="E5040" s="1">
        <v>8</v>
      </c>
      <c r="G5040" s="4">
        <v>44782</v>
      </c>
      <c r="H5040" s="1" t="s">
        <v>329</v>
      </c>
      <c r="I5040" s="1" t="s">
        <v>330</v>
      </c>
      <c r="J5040" s="1" t="s">
        <v>186</v>
      </c>
      <c r="K5040" s="1">
        <v>1</v>
      </c>
      <c r="L5040" s="1" t="s">
        <v>331</v>
      </c>
      <c r="M5040" s="1">
        <v>1</v>
      </c>
      <c r="N5040" s="1">
        <v>1</v>
      </c>
      <c r="O5040" s="1">
        <v>1</v>
      </c>
      <c r="Q5040" s="1">
        <v>21.8</v>
      </c>
      <c r="R5040" s="1">
        <v>11.8</v>
      </c>
      <c r="S5040" s="1">
        <v>131.5</v>
      </c>
    </row>
    <row r="5041" spans="1:38" x14ac:dyDescent="0.3">
      <c r="A5041" s="1">
        <v>91329</v>
      </c>
      <c r="B5041" s="1" t="s">
        <v>310</v>
      </c>
      <c r="C5041" s="1" t="s">
        <v>294</v>
      </c>
      <c r="D5041" s="1">
        <v>2022</v>
      </c>
      <c r="E5041" s="1">
        <v>8</v>
      </c>
      <c r="G5041" s="4">
        <v>44782</v>
      </c>
      <c r="H5041" s="1" t="s">
        <v>329</v>
      </c>
      <c r="I5041" s="1" t="s">
        <v>330</v>
      </c>
      <c r="J5041" s="1" t="s">
        <v>186</v>
      </c>
      <c r="K5041" s="1">
        <v>1</v>
      </c>
      <c r="L5041" s="1" t="s">
        <v>331</v>
      </c>
      <c r="M5041" s="1" t="s">
        <v>286</v>
      </c>
      <c r="N5041" s="1">
        <v>1.7</v>
      </c>
      <c r="O5041" s="1">
        <v>1.7</v>
      </c>
      <c r="Q5041" s="1">
        <v>20.5</v>
      </c>
      <c r="R5041" s="1">
        <v>6.36</v>
      </c>
      <c r="S5041" s="1">
        <v>70</v>
      </c>
    </row>
    <row r="5042" spans="1:38" x14ac:dyDescent="0.3">
      <c r="A5042" s="1">
        <v>91330</v>
      </c>
      <c r="B5042" s="1" t="s">
        <v>310</v>
      </c>
      <c r="C5042" s="1" t="s">
        <v>294</v>
      </c>
      <c r="D5042" s="1">
        <v>2022</v>
      </c>
      <c r="E5042" s="1">
        <v>8</v>
      </c>
      <c r="G5042" s="4">
        <v>44782</v>
      </c>
      <c r="H5042" s="1" t="s">
        <v>332</v>
      </c>
      <c r="I5042" s="1" t="s">
        <v>333</v>
      </c>
      <c r="J5042" s="1" t="s">
        <v>186</v>
      </c>
      <c r="K5042" s="1">
        <v>2</v>
      </c>
      <c r="L5042" s="1" t="s">
        <v>334</v>
      </c>
      <c r="M5042" s="1" t="s">
        <v>285</v>
      </c>
      <c r="N5042" s="1">
        <v>0.5</v>
      </c>
      <c r="O5042" s="1">
        <v>0.5</v>
      </c>
      <c r="P5042" s="1">
        <v>3.6</v>
      </c>
      <c r="Q5042" s="1">
        <v>22.2</v>
      </c>
      <c r="R5042" s="1">
        <v>9.2200000000000006</v>
      </c>
      <c r="S5042" s="1">
        <v>106</v>
      </c>
      <c r="V5042" s="1">
        <v>2.6</v>
      </c>
      <c r="W5042" s="1">
        <v>18</v>
      </c>
      <c r="Y5042" s="1">
        <v>3.3000000000000002E-2</v>
      </c>
      <c r="Z5042" s="1">
        <v>4.9000000000000004</v>
      </c>
      <c r="AA5042" s="1">
        <v>2.1</v>
      </c>
      <c r="AB5042" s="1">
        <v>10</v>
      </c>
      <c r="AD5042" s="1">
        <v>1.8</v>
      </c>
      <c r="AE5042" s="1">
        <v>8.4</v>
      </c>
      <c r="AK5042" s="1">
        <v>22</v>
      </c>
      <c r="AL5042" s="1">
        <v>590</v>
      </c>
    </row>
    <row r="5043" spans="1:38" x14ac:dyDescent="0.3">
      <c r="A5043" s="1">
        <v>91331</v>
      </c>
      <c r="B5043" s="1" t="s">
        <v>310</v>
      </c>
      <c r="C5043" s="1" t="s">
        <v>294</v>
      </c>
      <c r="D5043" s="1">
        <v>2022</v>
      </c>
      <c r="E5043" s="1">
        <v>8</v>
      </c>
      <c r="G5043" s="4">
        <v>44782</v>
      </c>
      <c r="H5043" s="1" t="s">
        <v>332</v>
      </c>
      <c r="I5043" s="1" t="s">
        <v>333</v>
      </c>
      <c r="J5043" s="1" t="s">
        <v>186</v>
      </c>
      <c r="K5043" s="1">
        <v>2</v>
      </c>
      <c r="L5043" s="1" t="s">
        <v>334</v>
      </c>
      <c r="M5043" s="1">
        <v>1</v>
      </c>
      <c r="N5043" s="1">
        <v>1</v>
      </c>
      <c r="O5043" s="1">
        <v>1</v>
      </c>
      <c r="Q5043" s="1">
        <v>22.2</v>
      </c>
      <c r="R5043" s="1">
        <v>9.24</v>
      </c>
      <c r="S5043" s="1">
        <v>106</v>
      </c>
    </row>
    <row r="5044" spans="1:38" x14ac:dyDescent="0.3">
      <c r="A5044" s="1">
        <v>91332</v>
      </c>
      <c r="B5044" s="1" t="s">
        <v>310</v>
      </c>
      <c r="C5044" s="1" t="s">
        <v>294</v>
      </c>
      <c r="D5044" s="1">
        <v>2022</v>
      </c>
      <c r="E5044" s="1">
        <v>8</v>
      </c>
      <c r="G5044" s="4">
        <v>44782</v>
      </c>
      <c r="H5044" s="1" t="s">
        <v>332</v>
      </c>
      <c r="I5044" s="1" t="s">
        <v>333</v>
      </c>
      <c r="J5044" s="1" t="s">
        <v>186</v>
      </c>
      <c r="K5044" s="1">
        <v>2</v>
      </c>
      <c r="L5044" s="1" t="s">
        <v>334</v>
      </c>
      <c r="M5044" s="1">
        <v>2</v>
      </c>
      <c r="N5044" s="1">
        <v>2</v>
      </c>
      <c r="O5044" s="1">
        <v>2</v>
      </c>
      <c r="Q5044" s="1">
        <v>21.2</v>
      </c>
      <c r="R5044" s="1">
        <v>8.9499999999999993</v>
      </c>
      <c r="S5044" s="1">
        <v>100.8</v>
      </c>
    </row>
    <row r="5045" spans="1:38" x14ac:dyDescent="0.3">
      <c r="A5045" s="1">
        <v>91333</v>
      </c>
      <c r="B5045" s="1" t="s">
        <v>310</v>
      </c>
      <c r="C5045" s="1" t="s">
        <v>294</v>
      </c>
      <c r="D5045" s="1">
        <v>2022</v>
      </c>
      <c r="E5045" s="1">
        <v>8</v>
      </c>
      <c r="G5045" s="4">
        <v>44782</v>
      </c>
      <c r="H5045" s="1" t="s">
        <v>332</v>
      </c>
      <c r="I5045" s="1" t="s">
        <v>333</v>
      </c>
      <c r="J5045" s="1" t="s">
        <v>186</v>
      </c>
      <c r="K5045" s="1">
        <v>2</v>
      </c>
      <c r="L5045" s="1" t="s">
        <v>334</v>
      </c>
      <c r="M5045" s="1">
        <v>3</v>
      </c>
      <c r="N5045" s="1">
        <v>3</v>
      </c>
      <c r="O5045" s="1">
        <v>3</v>
      </c>
      <c r="Q5045" s="1">
        <v>20.9</v>
      </c>
      <c r="R5045" s="1">
        <v>8.08</v>
      </c>
      <c r="S5045" s="1">
        <v>98.5</v>
      </c>
    </row>
    <row r="5046" spans="1:38" x14ac:dyDescent="0.3">
      <c r="A5046" s="1">
        <v>91334</v>
      </c>
      <c r="B5046" s="1" t="s">
        <v>310</v>
      </c>
      <c r="C5046" s="1" t="s">
        <v>294</v>
      </c>
      <c r="D5046" s="1">
        <v>2022</v>
      </c>
      <c r="E5046" s="1">
        <v>8</v>
      </c>
      <c r="G5046" s="4">
        <v>44782</v>
      </c>
      <c r="H5046" s="1" t="s">
        <v>332</v>
      </c>
      <c r="I5046" s="1" t="s">
        <v>333</v>
      </c>
      <c r="J5046" s="1" t="s">
        <v>186</v>
      </c>
      <c r="K5046" s="1">
        <v>2</v>
      </c>
      <c r="L5046" s="1" t="s">
        <v>334</v>
      </c>
      <c r="M5046" s="1">
        <v>4</v>
      </c>
      <c r="N5046" s="1">
        <v>4</v>
      </c>
      <c r="O5046" s="1">
        <v>4</v>
      </c>
      <c r="Q5046" s="1">
        <v>20.8</v>
      </c>
      <c r="R5046" s="1">
        <v>8.31</v>
      </c>
      <c r="S5046" s="1">
        <v>92.7</v>
      </c>
    </row>
    <row r="5047" spans="1:38" x14ac:dyDescent="0.3">
      <c r="A5047" s="1">
        <v>91335</v>
      </c>
      <c r="B5047" s="1" t="s">
        <v>310</v>
      </c>
      <c r="C5047" s="1" t="s">
        <v>294</v>
      </c>
      <c r="D5047" s="1">
        <v>2022</v>
      </c>
      <c r="E5047" s="1">
        <v>8</v>
      </c>
      <c r="G5047" s="4">
        <v>44782</v>
      </c>
      <c r="H5047" s="1" t="s">
        <v>332</v>
      </c>
      <c r="I5047" s="1" t="s">
        <v>333</v>
      </c>
      <c r="J5047" s="1" t="s">
        <v>186</v>
      </c>
      <c r="K5047" s="1">
        <v>2</v>
      </c>
      <c r="L5047" s="1" t="s">
        <v>334</v>
      </c>
      <c r="M5047" s="1">
        <v>5</v>
      </c>
      <c r="N5047" s="1">
        <v>5</v>
      </c>
      <c r="O5047" s="1">
        <v>5</v>
      </c>
      <c r="Q5047" s="1">
        <v>20.6</v>
      </c>
      <c r="R5047" s="1">
        <v>8.01</v>
      </c>
      <c r="S5047" s="1">
        <v>90.2</v>
      </c>
    </row>
    <row r="5048" spans="1:38" x14ac:dyDescent="0.3">
      <c r="A5048" s="1">
        <v>91336</v>
      </c>
      <c r="B5048" s="1" t="s">
        <v>310</v>
      </c>
      <c r="C5048" s="1" t="s">
        <v>294</v>
      </c>
      <c r="D5048" s="1">
        <v>2022</v>
      </c>
      <c r="E5048" s="1">
        <v>8</v>
      </c>
      <c r="G5048" s="4">
        <v>44782</v>
      </c>
      <c r="H5048" s="1" t="s">
        <v>332</v>
      </c>
      <c r="I5048" s="1" t="s">
        <v>333</v>
      </c>
      <c r="J5048" s="1" t="s">
        <v>186</v>
      </c>
      <c r="K5048" s="1">
        <v>2</v>
      </c>
      <c r="L5048" s="1" t="s">
        <v>334</v>
      </c>
      <c r="M5048" s="1">
        <v>6</v>
      </c>
      <c r="N5048" s="1">
        <v>6</v>
      </c>
      <c r="O5048" s="1">
        <v>6</v>
      </c>
      <c r="Q5048" s="1">
        <v>20.3</v>
      </c>
      <c r="R5048" s="1">
        <v>7.06</v>
      </c>
      <c r="S5048" s="1">
        <v>83.5</v>
      </c>
    </row>
    <row r="5049" spans="1:38" x14ac:dyDescent="0.3">
      <c r="A5049" s="1">
        <v>91337</v>
      </c>
      <c r="B5049" s="1" t="s">
        <v>310</v>
      </c>
      <c r="C5049" s="1" t="s">
        <v>294</v>
      </c>
      <c r="D5049" s="1">
        <v>2022</v>
      </c>
      <c r="E5049" s="1">
        <v>8</v>
      </c>
      <c r="G5049" s="4">
        <v>44782</v>
      </c>
      <c r="H5049" s="1" t="s">
        <v>332</v>
      </c>
      <c r="I5049" s="1" t="s">
        <v>333</v>
      </c>
      <c r="J5049" s="1" t="s">
        <v>186</v>
      </c>
      <c r="K5049" s="1">
        <v>2</v>
      </c>
      <c r="L5049" s="1" t="s">
        <v>334</v>
      </c>
      <c r="M5049" s="1">
        <v>7</v>
      </c>
      <c r="N5049" s="1">
        <v>7</v>
      </c>
      <c r="O5049" s="1">
        <v>7</v>
      </c>
      <c r="Q5049" s="1">
        <v>19.3</v>
      </c>
      <c r="R5049" s="1">
        <v>3.8</v>
      </c>
      <c r="S5049" s="1">
        <v>38</v>
      </c>
    </row>
    <row r="5050" spans="1:38" x14ac:dyDescent="0.3">
      <c r="A5050" s="1">
        <v>91338</v>
      </c>
      <c r="B5050" s="1" t="s">
        <v>310</v>
      </c>
      <c r="C5050" s="1" t="s">
        <v>294</v>
      </c>
      <c r="D5050" s="1">
        <v>2022</v>
      </c>
      <c r="E5050" s="1">
        <v>8</v>
      </c>
      <c r="G5050" s="4">
        <v>44782</v>
      </c>
      <c r="H5050" s="1" t="s">
        <v>332</v>
      </c>
      <c r="I5050" s="1" t="s">
        <v>333</v>
      </c>
      <c r="J5050" s="1" t="s">
        <v>186</v>
      </c>
      <c r="K5050" s="1">
        <v>2</v>
      </c>
      <c r="L5050" s="1" t="s">
        <v>334</v>
      </c>
      <c r="M5050" s="1" t="s">
        <v>286</v>
      </c>
      <c r="N5050" s="1">
        <v>7.3</v>
      </c>
      <c r="O5050" s="1">
        <v>7.3</v>
      </c>
      <c r="P5050" s="1" t="s">
        <v>266</v>
      </c>
      <c r="Q5050" s="1">
        <v>16.5</v>
      </c>
      <c r="R5050" s="1">
        <v>0.31</v>
      </c>
      <c r="S5050" s="1">
        <v>3.3</v>
      </c>
      <c r="V5050" s="1">
        <v>2.6</v>
      </c>
      <c r="W5050" s="1">
        <v>64</v>
      </c>
      <c r="Y5050" s="1">
        <v>2.8000000000000001E-2</v>
      </c>
      <c r="Z5050" s="1">
        <v>13</v>
      </c>
      <c r="AA5050" s="1">
        <v>3.1</v>
      </c>
      <c r="AB5050" s="1" t="s">
        <v>266</v>
      </c>
      <c r="AD5050" s="1">
        <v>8.3000000000000007</v>
      </c>
      <c r="AE5050" s="1">
        <v>8.1</v>
      </c>
      <c r="AK5050" s="1">
        <v>30</v>
      </c>
      <c r="AL5050" s="1">
        <v>570</v>
      </c>
    </row>
    <row r="5051" spans="1:38" x14ac:dyDescent="0.3">
      <c r="A5051" s="1">
        <v>91339</v>
      </c>
      <c r="B5051" s="1" t="s">
        <v>310</v>
      </c>
      <c r="C5051" s="1" t="s">
        <v>294</v>
      </c>
      <c r="D5051" s="1">
        <v>2022</v>
      </c>
      <c r="E5051" s="1">
        <v>8</v>
      </c>
      <c r="G5051" s="4">
        <v>44782</v>
      </c>
      <c r="H5051" s="1" t="s">
        <v>335</v>
      </c>
      <c r="I5051" s="1" t="s">
        <v>336</v>
      </c>
      <c r="J5051" s="1" t="s">
        <v>186</v>
      </c>
      <c r="K5051" s="1">
        <v>3</v>
      </c>
      <c r="L5051" s="1" t="s">
        <v>337</v>
      </c>
      <c r="M5051" s="1" t="s">
        <v>285</v>
      </c>
      <c r="N5051" s="1">
        <v>0.5</v>
      </c>
      <c r="O5051" s="1">
        <v>0.5</v>
      </c>
      <c r="P5051" s="1">
        <v>3.5</v>
      </c>
      <c r="Q5051" s="1">
        <v>22.3</v>
      </c>
      <c r="R5051" s="1">
        <v>9.81</v>
      </c>
      <c r="S5051" s="1">
        <v>122.9</v>
      </c>
      <c r="V5051" s="1">
        <v>2.6</v>
      </c>
      <c r="W5051" s="1">
        <v>24</v>
      </c>
      <c r="Y5051" s="1">
        <v>3.4000000000000002E-2</v>
      </c>
      <c r="Z5051" s="1">
        <v>1.2</v>
      </c>
      <c r="AA5051" s="1">
        <v>1.7</v>
      </c>
      <c r="AB5051" s="1">
        <v>8</v>
      </c>
      <c r="AD5051" s="1">
        <v>1.8</v>
      </c>
      <c r="AE5051" s="1">
        <v>8.4</v>
      </c>
      <c r="AK5051" s="1">
        <v>20</v>
      </c>
      <c r="AL5051" s="1">
        <v>530</v>
      </c>
    </row>
    <row r="5052" spans="1:38" x14ac:dyDescent="0.3">
      <c r="A5052" s="1">
        <v>91340</v>
      </c>
      <c r="B5052" s="1" t="s">
        <v>310</v>
      </c>
      <c r="C5052" s="1" t="s">
        <v>294</v>
      </c>
      <c r="D5052" s="1">
        <v>2022</v>
      </c>
      <c r="E5052" s="1">
        <v>8</v>
      </c>
      <c r="G5052" s="4">
        <v>44782</v>
      </c>
      <c r="H5052" s="1" t="s">
        <v>335</v>
      </c>
      <c r="I5052" s="1" t="s">
        <v>336</v>
      </c>
      <c r="J5052" s="1" t="s">
        <v>186</v>
      </c>
      <c r="K5052" s="1">
        <v>3</v>
      </c>
      <c r="L5052" s="1" t="s">
        <v>337</v>
      </c>
      <c r="M5052" s="1">
        <v>1</v>
      </c>
      <c r="N5052" s="1">
        <v>1</v>
      </c>
      <c r="O5052" s="1">
        <v>1</v>
      </c>
      <c r="Q5052" s="1">
        <v>22</v>
      </c>
      <c r="R5052" s="1">
        <v>9.09</v>
      </c>
      <c r="S5052" s="1">
        <v>113.2</v>
      </c>
    </row>
    <row r="5053" spans="1:38" x14ac:dyDescent="0.3">
      <c r="A5053" s="1">
        <v>91341</v>
      </c>
      <c r="B5053" s="1" t="s">
        <v>310</v>
      </c>
      <c r="C5053" s="1" t="s">
        <v>294</v>
      </c>
      <c r="D5053" s="1">
        <v>2022</v>
      </c>
      <c r="E5053" s="1">
        <v>8</v>
      </c>
      <c r="G5053" s="4">
        <v>44782</v>
      </c>
      <c r="H5053" s="1" t="s">
        <v>335</v>
      </c>
      <c r="I5053" s="1" t="s">
        <v>336</v>
      </c>
      <c r="J5053" s="1" t="s">
        <v>186</v>
      </c>
      <c r="K5053" s="1">
        <v>3</v>
      </c>
      <c r="L5053" s="1" t="s">
        <v>337</v>
      </c>
      <c r="M5053" s="1">
        <v>2</v>
      </c>
      <c r="N5053" s="1">
        <v>2</v>
      </c>
      <c r="O5053" s="1">
        <v>2</v>
      </c>
      <c r="Q5053" s="1">
        <v>21.1</v>
      </c>
      <c r="R5053" s="1">
        <v>8.73</v>
      </c>
      <c r="S5053" s="1">
        <v>98.1</v>
      </c>
    </row>
    <row r="5054" spans="1:38" x14ac:dyDescent="0.3">
      <c r="A5054" s="1">
        <v>91342</v>
      </c>
      <c r="B5054" s="1" t="s">
        <v>310</v>
      </c>
      <c r="C5054" s="1" t="s">
        <v>294</v>
      </c>
      <c r="D5054" s="1">
        <v>2022</v>
      </c>
      <c r="E5054" s="1">
        <v>8</v>
      </c>
      <c r="G5054" s="4">
        <v>44782</v>
      </c>
      <c r="H5054" s="1" t="s">
        <v>335</v>
      </c>
      <c r="I5054" s="1" t="s">
        <v>336</v>
      </c>
      <c r="J5054" s="1" t="s">
        <v>186</v>
      </c>
      <c r="K5054" s="1">
        <v>3</v>
      </c>
      <c r="L5054" s="1" t="s">
        <v>337</v>
      </c>
      <c r="M5054" s="1">
        <v>3</v>
      </c>
      <c r="N5054" s="1">
        <v>3</v>
      </c>
      <c r="O5054" s="1">
        <v>3</v>
      </c>
      <c r="Q5054" s="1">
        <v>20.8</v>
      </c>
      <c r="R5054" s="1">
        <v>8.4700000000000006</v>
      </c>
      <c r="S5054" s="1">
        <v>44.6</v>
      </c>
    </row>
    <row r="5055" spans="1:38" x14ac:dyDescent="0.3">
      <c r="A5055" s="1">
        <v>91343</v>
      </c>
      <c r="B5055" s="1" t="s">
        <v>310</v>
      </c>
      <c r="C5055" s="1" t="s">
        <v>294</v>
      </c>
      <c r="D5055" s="1">
        <v>2022</v>
      </c>
      <c r="E5055" s="1">
        <v>8</v>
      </c>
      <c r="G5055" s="4">
        <v>44782</v>
      </c>
      <c r="H5055" s="1" t="s">
        <v>335</v>
      </c>
      <c r="I5055" s="1" t="s">
        <v>336</v>
      </c>
      <c r="J5055" s="1" t="s">
        <v>186</v>
      </c>
      <c r="K5055" s="1">
        <v>3</v>
      </c>
      <c r="L5055" s="1" t="s">
        <v>337</v>
      </c>
      <c r="M5055" s="1">
        <v>4</v>
      </c>
      <c r="N5055" s="1">
        <v>4</v>
      </c>
      <c r="O5055" s="1">
        <v>4</v>
      </c>
      <c r="Q5055" s="1">
        <v>20.6</v>
      </c>
      <c r="R5055" s="1">
        <v>8.0299999999999994</v>
      </c>
      <c r="S5055" s="1">
        <v>89.4</v>
      </c>
    </row>
    <row r="5056" spans="1:38" x14ac:dyDescent="0.3">
      <c r="A5056" s="1">
        <v>91344</v>
      </c>
      <c r="B5056" s="1" t="s">
        <v>310</v>
      </c>
      <c r="C5056" s="1" t="s">
        <v>294</v>
      </c>
      <c r="D5056" s="1">
        <v>2022</v>
      </c>
      <c r="E5056" s="1">
        <v>8</v>
      </c>
      <c r="G5056" s="4">
        <v>44782</v>
      </c>
      <c r="H5056" s="1" t="s">
        <v>335</v>
      </c>
      <c r="I5056" s="1" t="s">
        <v>336</v>
      </c>
      <c r="J5056" s="1" t="s">
        <v>186</v>
      </c>
      <c r="K5056" s="1">
        <v>3</v>
      </c>
      <c r="L5056" s="1" t="s">
        <v>337</v>
      </c>
      <c r="M5056" s="1">
        <v>5</v>
      </c>
      <c r="N5056" s="1">
        <v>5</v>
      </c>
      <c r="O5056" s="1">
        <v>5</v>
      </c>
      <c r="Q5056" s="1">
        <v>20.399999999999999</v>
      </c>
      <c r="R5056" s="1">
        <v>6.58</v>
      </c>
      <c r="S5056" s="1">
        <v>73</v>
      </c>
    </row>
    <row r="5057" spans="1:38" x14ac:dyDescent="0.3">
      <c r="A5057" s="1">
        <v>91345</v>
      </c>
      <c r="B5057" s="1" t="s">
        <v>310</v>
      </c>
      <c r="C5057" s="1" t="s">
        <v>294</v>
      </c>
      <c r="D5057" s="1">
        <v>2022</v>
      </c>
      <c r="E5057" s="1">
        <v>8</v>
      </c>
      <c r="G5057" s="4">
        <v>44782</v>
      </c>
      <c r="H5057" s="1" t="s">
        <v>335</v>
      </c>
      <c r="I5057" s="1" t="s">
        <v>336</v>
      </c>
      <c r="J5057" s="1" t="s">
        <v>186</v>
      </c>
      <c r="K5057" s="1">
        <v>3</v>
      </c>
      <c r="L5057" s="1" t="s">
        <v>337</v>
      </c>
      <c r="M5057" s="1">
        <v>6</v>
      </c>
      <c r="N5057" s="1">
        <v>6</v>
      </c>
      <c r="O5057" s="1">
        <v>6</v>
      </c>
      <c r="Q5057" s="1">
        <v>20.3</v>
      </c>
      <c r="R5057" s="1">
        <v>6.2</v>
      </c>
      <c r="S5057" s="1">
        <v>68.5</v>
      </c>
    </row>
    <row r="5058" spans="1:38" x14ac:dyDescent="0.3">
      <c r="A5058" s="1">
        <v>91346</v>
      </c>
      <c r="B5058" s="1" t="s">
        <v>310</v>
      </c>
      <c r="C5058" s="1" t="s">
        <v>294</v>
      </c>
      <c r="D5058" s="1">
        <v>2022</v>
      </c>
      <c r="E5058" s="1">
        <v>8</v>
      </c>
      <c r="G5058" s="4">
        <v>44782</v>
      </c>
      <c r="H5058" s="1" t="s">
        <v>335</v>
      </c>
      <c r="I5058" s="1" t="s">
        <v>336</v>
      </c>
      <c r="J5058" s="1" t="s">
        <v>186</v>
      </c>
      <c r="K5058" s="1">
        <v>3</v>
      </c>
      <c r="L5058" s="1" t="s">
        <v>337</v>
      </c>
      <c r="M5058" s="1">
        <v>7</v>
      </c>
      <c r="N5058" s="1">
        <v>7</v>
      </c>
      <c r="O5058" s="1">
        <v>7</v>
      </c>
      <c r="Q5058" s="1">
        <v>19</v>
      </c>
      <c r="R5058" s="1">
        <v>1.93</v>
      </c>
      <c r="S5058" s="1">
        <v>20</v>
      </c>
    </row>
    <row r="5059" spans="1:38" x14ac:dyDescent="0.3">
      <c r="A5059" s="1">
        <v>91347</v>
      </c>
      <c r="B5059" s="1" t="s">
        <v>310</v>
      </c>
      <c r="C5059" s="1" t="s">
        <v>294</v>
      </c>
      <c r="D5059" s="1">
        <v>2022</v>
      </c>
      <c r="E5059" s="1">
        <v>8</v>
      </c>
      <c r="G5059" s="4">
        <v>44782</v>
      </c>
      <c r="H5059" s="1" t="s">
        <v>335</v>
      </c>
      <c r="I5059" s="1" t="s">
        <v>336</v>
      </c>
      <c r="J5059" s="1" t="s">
        <v>186</v>
      </c>
      <c r="K5059" s="1">
        <v>3</v>
      </c>
      <c r="L5059" s="1" t="s">
        <v>337</v>
      </c>
      <c r="M5059" s="1">
        <v>8</v>
      </c>
      <c r="N5059" s="1">
        <v>8</v>
      </c>
      <c r="O5059" s="1">
        <v>8</v>
      </c>
      <c r="Q5059" s="1">
        <v>16.7</v>
      </c>
      <c r="R5059" s="1">
        <v>0.11</v>
      </c>
      <c r="S5059" s="1">
        <v>1.02</v>
      </c>
    </row>
    <row r="5060" spans="1:38" x14ac:dyDescent="0.3">
      <c r="A5060" s="1">
        <v>91348</v>
      </c>
      <c r="B5060" s="1" t="s">
        <v>310</v>
      </c>
      <c r="C5060" s="1" t="s">
        <v>294</v>
      </c>
      <c r="D5060" s="1">
        <v>2022</v>
      </c>
      <c r="E5060" s="1">
        <v>8</v>
      </c>
      <c r="G5060" s="4">
        <v>44782</v>
      </c>
      <c r="H5060" s="1" t="s">
        <v>335</v>
      </c>
      <c r="I5060" s="1" t="s">
        <v>336</v>
      </c>
      <c r="J5060" s="1" t="s">
        <v>186</v>
      </c>
      <c r="K5060" s="1">
        <v>3</v>
      </c>
      <c r="L5060" s="1" t="s">
        <v>337</v>
      </c>
      <c r="M5060" s="1">
        <v>9</v>
      </c>
      <c r="N5060" s="1">
        <v>9</v>
      </c>
      <c r="O5060" s="1">
        <v>9</v>
      </c>
      <c r="Q5060" s="1">
        <v>13.7</v>
      </c>
      <c r="R5060" s="1">
        <v>-0.01</v>
      </c>
      <c r="S5060" s="1">
        <v>-0.1</v>
      </c>
    </row>
    <row r="5061" spans="1:38" x14ac:dyDescent="0.3">
      <c r="A5061" s="1">
        <v>91349</v>
      </c>
      <c r="B5061" s="1" t="s">
        <v>310</v>
      </c>
      <c r="C5061" s="1" t="s">
        <v>294</v>
      </c>
      <c r="D5061" s="1">
        <v>2022</v>
      </c>
      <c r="E5061" s="1">
        <v>8</v>
      </c>
      <c r="G5061" s="4">
        <v>44782</v>
      </c>
      <c r="H5061" s="1" t="s">
        <v>335</v>
      </c>
      <c r="I5061" s="1" t="s">
        <v>336</v>
      </c>
      <c r="J5061" s="1" t="s">
        <v>186</v>
      </c>
      <c r="K5061" s="1">
        <v>3</v>
      </c>
      <c r="L5061" s="1" t="s">
        <v>337</v>
      </c>
      <c r="M5061" s="1">
        <v>10</v>
      </c>
      <c r="N5061" s="1">
        <v>10</v>
      </c>
      <c r="O5061" s="1">
        <v>10</v>
      </c>
      <c r="Q5061" s="1">
        <v>12.5</v>
      </c>
      <c r="R5061" s="1">
        <v>-0.03</v>
      </c>
      <c r="S5061" s="1">
        <v>-0.2</v>
      </c>
    </row>
    <row r="5062" spans="1:38" x14ac:dyDescent="0.3">
      <c r="A5062" s="1">
        <v>91350</v>
      </c>
      <c r="B5062" s="1" t="s">
        <v>310</v>
      </c>
      <c r="C5062" s="1" t="s">
        <v>294</v>
      </c>
      <c r="D5062" s="1">
        <v>2022</v>
      </c>
      <c r="E5062" s="1">
        <v>8</v>
      </c>
      <c r="G5062" s="4">
        <v>44782</v>
      </c>
      <c r="H5062" s="1" t="s">
        <v>335</v>
      </c>
      <c r="I5062" s="1" t="s">
        <v>336</v>
      </c>
      <c r="J5062" s="1" t="s">
        <v>186</v>
      </c>
      <c r="K5062" s="1">
        <v>3</v>
      </c>
      <c r="L5062" s="1" t="s">
        <v>337</v>
      </c>
      <c r="M5062" s="1" t="s">
        <v>286</v>
      </c>
      <c r="N5062" s="1">
        <v>10.3</v>
      </c>
      <c r="O5062" s="1">
        <v>10.3</v>
      </c>
      <c r="P5062" s="1" t="s">
        <v>266</v>
      </c>
      <c r="Q5062" s="1">
        <v>12.3</v>
      </c>
      <c r="R5062" s="1">
        <v>-0.04</v>
      </c>
      <c r="S5062" s="1">
        <v>-0.4</v>
      </c>
      <c r="V5062" s="1">
        <v>3</v>
      </c>
      <c r="W5062" s="1">
        <v>750</v>
      </c>
      <c r="Y5062" s="1">
        <v>4.3999999999999997E-2</v>
      </c>
      <c r="Z5062" s="1">
        <v>190</v>
      </c>
      <c r="AA5062" s="1">
        <v>5.2</v>
      </c>
      <c r="AB5062" s="1" t="s">
        <v>266</v>
      </c>
      <c r="AD5062" s="1">
        <v>9.6</v>
      </c>
      <c r="AE5062" s="1">
        <v>7.9</v>
      </c>
      <c r="AK5062" s="1">
        <v>260</v>
      </c>
      <c r="AL5062" s="1">
        <v>1400</v>
      </c>
    </row>
    <row r="5063" spans="1:38" x14ac:dyDescent="0.3">
      <c r="A5063" s="1">
        <v>91351</v>
      </c>
      <c r="B5063" s="1" t="s">
        <v>310</v>
      </c>
      <c r="C5063" s="1" t="s">
        <v>294</v>
      </c>
      <c r="D5063" s="1">
        <v>2022</v>
      </c>
      <c r="E5063" s="1">
        <v>8</v>
      </c>
      <c r="G5063" s="4">
        <v>44782</v>
      </c>
      <c r="H5063" s="1" t="s">
        <v>338</v>
      </c>
      <c r="I5063" s="1" t="s">
        <v>339</v>
      </c>
      <c r="J5063" s="1" t="s">
        <v>186</v>
      </c>
      <c r="K5063" s="1">
        <v>4</v>
      </c>
      <c r="L5063" s="1" t="s">
        <v>340</v>
      </c>
      <c r="M5063" s="1" t="s">
        <v>285</v>
      </c>
      <c r="N5063" s="1">
        <v>0.5</v>
      </c>
      <c r="O5063" s="1">
        <v>0.5</v>
      </c>
      <c r="P5063" s="1" t="s">
        <v>361</v>
      </c>
      <c r="Q5063" s="1">
        <v>22.1</v>
      </c>
      <c r="R5063" s="1">
        <v>9.19</v>
      </c>
      <c r="S5063" s="1">
        <v>105.2</v>
      </c>
      <c r="V5063" s="1">
        <v>2.6</v>
      </c>
      <c r="W5063" s="1">
        <v>11</v>
      </c>
      <c r="Y5063" s="1">
        <v>3.2000000000000001E-2</v>
      </c>
      <c r="Z5063" s="1">
        <v>3.6</v>
      </c>
      <c r="AA5063" s="1">
        <v>2.2000000000000002</v>
      </c>
      <c r="AB5063" s="1">
        <v>7.1</v>
      </c>
      <c r="AD5063" s="1">
        <v>2</v>
      </c>
      <c r="AE5063" s="1">
        <v>8.4</v>
      </c>
      <c r="AK5063" s="1">
        <v>25</v>
      </c>
      <c r="AL5063" s="1">
        <v>560</v>
      </c>
    </row>
    <row r="5064" spans="1:38" x14ac:dyDescent="0.3">
      <c r="A5064" s="1">
        <v>91352</v>
      </c>
      <c r="B5064" s="1" t="s">
        <v>310</v>
      </c>
      <c r="C5064" s="1" t="s">
        <v>294</v>
      </c>
      <c r="D5064" s="1">
        <v>2022</v>
      </c>
      <c r="E5064" s="1">
        <v>8</v>
      </c>
      <c r="G5064" s="4">
        <v>44782</v>
      </c>
      <c r="H5064" s="1" t="s">
        <v>338</v>
      </c>
      <c r="I5064" s="1" t="s">
        <v>339</v>
      </c>
      <c r="J5064" s="1" t="s">
        <v>186</v>
      </c>
      <c r="K5064" s="1">
        <v>4</v>
      </c>
      <c r="L5064" s="1" t="s">
        <v>340</v>
      </c>
      <c r="M5064" s="1">
        <v>1</v>
      </c>
      <c r="N5064" s="1">
        <v>1</v>
      </c>
      <c r="O5064" s="1">
        <v>1</v>
      </c>
      <c r="Q5064" s="1">
        <v>21.4</v>
      </c>
      <c r="R5064" s="1">
        <v>9.15</v>
      </c>
      <c r="S5064" s="1">
        <v>103.3</v>
      </c>
    </row>
    <row r="5065" spans="1:38" x14ac:dyDescent="0.3">
      <c r="A5065" s="1">
        <v>91353</v>
      </c>
      <c r="B5065" s="1" t="s">
        <v>310</v>
      </c>
      <c r="C5065" s="1" t="s">
        <v>294</v>
      </c>
      <c r="D5065" s="1">
        <v>2022</v>
      </c>
      <c r="E5065" s="1">
        <v>8</v>
      </c>
      <c r="G5065" s="4">
        <v>44782</v>
      </c>
      <c r="H5065" s="1" t="s">
        <v>338</v>
      </c>
      <c r="I5065" s="1" t="s">
        <v>339</v>
      </c>
      <c r="J5065" s="1" t="s">
        <v>186</v>
      </c>
      <c r="K5065" s="1">
        <v>4</v>
      </c>
      <c r="L5065" s="1" t="s">
        <v>340</v>
      </c>
      <c r="M5065" s="1" t="s">
        <v>286</v>
      </c>
      <c r="N5065" s="1">
        <v>1.4</v>
      </c>
      <c r="O5065" s="1">
        <v>1.4</v>
      </c>
      <c r="Q5065" s="1">
        <v>20.7</v>
      </c>
      <c r="R5065" s="1">
        <v>9.0299999999999994</v>
      </c>
      <c r="S5065" s="1">
        <v>103.9</v>
      </c>
    </row>
    <row r="5066" spans="1:38" x14ac:dyDescent="0.3">
      <c r="A5066" s="1">
        <v>91354</v>
      </c>
      <c r="B5066" s="1" t="s">
        <v>310</v>
      </c>
      <c r="C5066" s="1" t="s">
        <v>294</v>
      </c>
      <c r="D5066" s="1">
        <v>2022</v>
      </c>
      <c r="E5066" s="1">
        <v>8</v>
      </c>
      <c r="G5066" s="4">
        <v>44783</v>
      </c>
      <c r="H5066" s="1" t="s">
        <v>341</v>
      </c>
      <c r="I5066" s="1" t="s">
        <v>342</v>
      </c>
      <c r="J5066" s="1" t="s">
        <v>187</v>
      </c>
      <c r="K5066" s="1"/>
      <c r="L5066" s="1" t="s">
        <v>343</v>
      </c>
      <c r="M5066" s="1" t="s">
        <v>285</v>
      </c>
      <c r="N5066" s="1">
        <v>0.5</v>
      </c>
      <c r="O5066" s="1">
        <v>0.5</v>
      </c>
      <c r="P5066" s="1">
        <v>1.5</v>
      </c>
      <c r="Q5066" s="1">
        <v>21</v>
      </c>
      <c r="R5066" s="1">
        <v>9.4</v>
      </c>
      <c r="S5066" s="1">
        <v>105.6</v>
      </c>
      <c r="V5066" s="1">
        <v>2</v>
      </c>
      <c r="W5066" s="1">
        <v>60</v>
      </c>
      <c r="Y5066" s="1">
        <v>3.6999999999999998E-2</v>
      </c>
      <c r="Z5066" s="1">
        <v>9.8000000000000007</v>
      </c>
      <c r="AA5066" s="1">
        <v>8.1999999999999993</v>
      </c>
      <c r="AB5066" s="1">
        <v>31</v>
      </c>
      <c r="AD5066" s="1">
        <v>5.6</v>
      </c>
      <c r="AE5066" s="1">
        <v>8.4</v>
      </c>
      <c r="AK5066" s="1">
        <v>55</v>
      </c>
      <c r="AL5066" s="1">
        <v>750</v>
      </c>
    </row>
    <row r="5067" spans="1:38" x14ac:dyDescent="0.3">
      <c r="A5067" s="1">
        <v>91355</v>
      </c>
      <c r="B5067" s="1" t="s">
        <v>310</v>
      </c>
      <c r="C5067" s="1" t="s">
        <v>294</v>
      </c>
      <c r="D5067" s="1">
        <v>2022</v>
      </c>
      <c r="E5067" s="1">
        <v>8</v>
      </c>
      <c r="G5067" s="4">
        <v>44783</v>
      </c>
      <c r="H5067" s="1" t="s">
        <v>341</v>
      </c>
      <c r="I5067" s="1" t="s">
        <v>342</v>
      </c>
      <c r="J5067" s="1" t="s">
        <v>187</v>
      </c>
      <c r="K5067" s="1"/>
      <c r="L5067" s="1" t="s">
        <v>343</v>
      </c>
      <c r="M5067" s="1">
        <v>1</v>
      </c>
      <c r="N5067" s="1">
        <v>1</v>
      </c>
      <c r="O5067" s="1">
        <v>1</v>
      </c>
      <c r="Q5067" s="1">
        <v>21</v>
      </c>
      <c r="R5067" s="1">
        <v>9.44</v>
      </c>
      <c r="S5067" s="1">
        <v>106</v>
      </c>
    </row>
    <row r="5068" spans="1:38" x14ac:dyDescent="0.3">
      <c r="A5068" s="1">
        <v>91356</v>
      </c>
      <c r="B5068" s="1" t="s">
        <v>310</v>
      </c>
      <c r="C5068" s="1" t="s">
        <v>294</v>
      </c>
      <c r="D5068" s="1">
        <v>2022</v>
      </c>
      <c r="E5068" s="1">
        <v>8</v>
      </c>
      <c r="G5068" s="4">
        <v>44783</v>
      </c>
      <c r="H5068" s="1" t="s">
        <v>341</v>
      </c>
      <c r="I5068" s="1" t="s">
        <v>342</v>
      </c>
      <c r="J5068" s="1" t="s">
        <v>187</v>
      </c>
      <c r="K5068" s="1"/>
      <c r="L5068" s="1" t="s">
        <v>343</v>
      </c>
      <c r="M5068" s="1">
        <v>2</v>
      </c>
      <c r="N5068" s="1">
        <v>2</v>
      </c>
      <c r="O5068" s="1">
        <v>2</v>
      </c>
      <c r="Q5068" s="1">
        <v>21</v>
      </c>
      <c r="R5068" s="1">
        <v>9.41</v>
      </c>
      <c r="S5068" s="1">
        <v>105.5</v>
      </c>
    </row>
    <row r="5069" spans="1:38" x14ac:dyDescent="0.3">
      <c r="A5069" s="1">
        <v>91357</v>
      </c>
      <c r="B5069" s="1" t="s">
        <v>310</v>
      </c>
      <c r="C5069" s="1" t="s">
        <v>294</v>
      </c>
      <c r="D5069" s="1">
        <v>2022</v>
      </c>
      <c r="E5069" s="1">
        <v>8</v>
      </c>
      <c r="G5069" s="4">
        <v>44783</v>
      </c>
      <c r="H5069" s="1" t="s">
        <v>341</v>
      </c>
      <c r="I5069" s="1" t="s">
        <v>342</v>
      </c>
      <c r="J5069" s="1" t="s">
        <v>187</v>
      </c>
      <c r="K5069" s="1"/>
      <c r="L5069" s="1" t="s">
        <v>343</v>
      </c>
      <c r="M5069" s="1">
        <v>3</v>
      </c>
      <c r="N5069" s="1">
        <v>3</v>
      </c>
      <c r="O5069" s="1">
        <v>3</v>
      </c>
      <c r="Q5069" s="1">
        <v>20.7</v>
      </c>
      <c r="R5069" s="1">
        <v>7.22</v>
      </c>
      <c r="S5069" s="1">
        <v>80.3</v>
      </c>
    </row>
    <row r="5070" spans="1:38" x14ac:dyDescent="0.3">
      <c r="A5070" s="1">
        <v>91358</v>
      </c>
      <c r="B5070" s="1" t="s">
        <v>310</v>
      </c>
      <c r="C5070" s="1" t="s">
        <v>294</v>
      </c>
      <c r="D5070" s="1">
        <v>2022</v>
      </c>
      <c r="E5070" s="1">
        <v>8</v>
      </c>
      <c r="G5070" s="4">
        <v>44783</v>
      </c>
      <c r="H5070" s="1" t="s">
        <v>341</v>
      </c>
      <c r="I5070" s="1" t="s">
        <v>342</v>
      </c>
      <c r="J5070" s="1" t="s">
        <v>187</v>
      </c>
      <c r="K5070" s="1"/>
      <c r="L5070" s="1" t="s">
        <v>343</v>
      </c>
      <c r="M5070" s="1">
        <v>4</v>
      </c>
      <c r="N5070" s="1">
        <v>4</v>
      </c>
      <c r="O5070" s="1">
        <v>4</v>
      </c>
      <c r="Q5070" s="1">
        <v>20.3</v>
      </c>
      <c r="R5070" s="1">
        <v>5.27</v>
      </c>
      <c r="S5070" s="1">
        <v>58.3</v>
      </c>
    </row>
    <row r="5071" spans="1:38" x14ac:dyDescent="0.3">
      <c r="A5071" s="1">
        <v>91359</v>
      </c>
      <c r="B5071" s="1" t="s">
        <v>310</v>
      </c>
      <c r="C5071" s="1" t="s">
        <v>294</v>
      </c>
      <c r="D5071" s="1">
        <v>2022</v>
      </c>
      <c r="E5071" s="1">
        <v>8</v>
      </c>
      <c r="G5071" s="4">
        <v>44783</v>
      </c>
      <c r="H5071" s="1" t="s">
        <v>341</v>
      </c>
      <c r="I5071" s="1" t="s">
        <v>342</v>
      </c>
      <c r="J5071" s="1" t="s">
        <v>187</v>
      </c>
      <c r="K5071" s="1"/>
      <c r="L5071" s="1" t="s">
        <v>343</v>
      </c>
      <c r="M5071" s="1">
        <v>5</v>
      </c>
      <c r="N5071" s="1">
        <v>5</v>
      </c>
      <c r="O5071" s="1">
        <v>5</v>
      </c>
      <c r="Q5071" s="1">
        <v>20</v>
      </c>
      <c r="R5071" s="1">
        <v>1.99</v>
      </c>
      <c r="S5071" s="1">
        <v>20.7</v>
      </c>
    </row>
    <row r="5072" spans="1:38" x14ac:dyDescent="0.3">
      <c r="A5072" s="1">
        <v>91360</v>
      </c>
      <c r="B5072" s="1" t="s">
        <v>310</v>
      </c>
      <c r="C5072" s="1" t="s">
        <v>294</v>
      </c>
      <c r="D5072" s="1">
        <v>2022</v>
      </c>
      <c r="E5072" s="1">
        <v>8</v>
      </c>
      <c r="G5072" s="4">
        <v>44783</v>
      </c>
      <c r="H5072" s="1" t="s">
        <v>341</v>
      </c>
      <c r="I5072" s="1" t="s">
        <v>342</v>
      </c>
      <c r="J5072" s="1" t="s">
        <v>187</v>
      </c>
      <c r="K5072" s="1"/>
      <c r="L5072" s="1" t="s">
        <v>343</v>
      </c>
      <c r="M5072" s="1" t="s">
        <v>286</v>
      </c>
      <c r="N5072" s="1">
        <v>6</v>
      </c>
      <c r="O5072" s="1">
        <v>6</v>
      </c>
      <c r="P5072" s="1" t="s">
        <v>266</v>
      </c>
      <c r="Q5072" s="1">
        <v>19.2</v>
      </c>
      <c r="R5072" s="1">
        <v>0.22</v>
      </c>
      <c r="S5072" s="1">
        <v>2.9</v>
      </c>
      <c r="V5072" s="1">
        <v>2.6</v>
      </c>
      <c r="W5072" s="1">
        <v>610</v>
      </c>
      <c r="Y5072" s="1">
        <v>3.6999999999999998E-2</v>
      </c>
      <c r="Z5072" s="1">
        <v>140</v>
      </c>
      <c r="AA5072" s="1">
        <v>12</v>
      </c>
      <c r="AB5072" s="1" t="s">
        <v>266</v>
      </c>
      <c r="AD5072" s="1">
        <v>10</v>
      </c>
      <c r="AE5072" s="1">
        <v>7.9</v>
      </c>
      <c r="AK5072" s="1">
        <v>150</v>
      </c>
      <c r="AL5072" s="1">
        <v>1300</v>
      </c>
    </row>
    <row r="5073" spans="1:38" x14ac:dyDescent="0.3">
      <c r="A5073" s="1">
        <v>91361</v>
      </c>
      <c r="B5073" s="1" t="s">
        <v>310</v>
      </c>
      <c r="C5073" s="1" t="s">
        <v>294</v>
      </c>
      <c r="D5073" s="1">
        <v>2022</v>
      </c>
      <c r="E5073" s="1">
        <v>8</v>
      </c>
      <c r="G5073" s="4">
        <v>44786</v>
      </c>
      <c r="H5073" s="1" t="s">
        <v>344</v>
      </c>
      <c r="I5073" s="1" t="s">
        <v>345</v>
      </c>
      <c r="J5073" s="1" t="s">
        <v>188</v>
      </c>
      <c r="K5073" s="1"/>
      <c r="L5073" s="1" t="s">
        <v>346</v>
      </c>
      <c r="M5073" s="1" t="s">
        <v>285</v>
      </c>
      <c r="N5073" s="1">
        <v>0.5</v>
      </c>
      <c r="O5073" s="1">
        <v>0.5</v>
      </c>
      <c r="P5073" s="1" t="s">
        <v>360</v>
      </c>
      <c r="Q5073" s="1">
        <v>23.4</v>
      </c>
      <c r="R5073" s="1">
        <v>16.16</v>
      </c>
      <c r="S5073" s="1">
        <v>130.5</v>
      </c>
      <c r="V5073" s="1">
        <v>1.3</v>
      </c>
      <c r="W5073" s="1">
        <v>31</v>
      </c>
      <c r="Y5073" s="1">
        <v>5.7000000000000002E-2</v>
      </c>
      <c r="Z5073" s="1">
        <v>2.5</v>
      </c>
      <c r="AA5073" s="1">
        <v>0.54</v>
      </c>
      <c r="AB5073" s="1" t="s">
        <v>266</v>
      </c>
      <c r="AD5073" s="1">
        <v>2</v>
      </c>
      <c r="AE5073" s="1">
        <v>8.8000000000000007</v>
      </c>
      <c r="AK5073" s="1">
        <v>14</v>
      </c>
      <c r="AL5073" s="1">
        <v>810</v>
      </c>
    </row>
    <row r="5074" spans="1:38" x14ac:dyDescent="0.3">
      <c r="A5074" s="1">
        <v>91362</v>
      </c>
      <c r="B5074" s="1" t="s">
        <v>310</v>
      </c>
      <c r="C5074" s="1" t="s">
        <v>294</v>
      </c>
      <c r="D5074" s="1">
        <v>2022</v>
      </c>
      <c r="E5074" s="1">
        <v>8</v>
      </c>
      <c r="G5074" s="4">
        <v>44786</v>
      </c>
      <c r="H5074" s="1" t="s">
        <v>344</v>
      </c>
      <c r="I5074" s="1" t="s">
        <v>345</v>
      </c>
      <c r="J5074" s="1" t="s">
        <v>188</v>
      </c>
      <c r="K5074" s="1"/>
      <c r="L5074" s="1" t="s">
        <v>346</v>
      </c>
      <c r="M5074" s="1" t="s">
        <v>286</v>
      </c>
      <c r="N5074" s="1">
        <v>1</v>
      </c>
      <c r="O5074" s="1">
        <v>1</v>
      </c>
      <c r="P5074" s="1" t="s">
        <v>266</v>
      </c>
      <c r="Q5074" s="1">
        <v>23.1</v>
      </c>
      <c r="R5074" s="1">
        <v>13.37</v>
      </c>
      <c r="S5074" s="1">
        <v>156.1</v>
      </c>
      <c r="V5074" s="1">
        <v>1.2</v>
      </c>
      <c r="W5074" s="1">
        <v>24</v>
      </c>
      <c r="Y5074" s="1">
        <v>5.8000000000000003E-2</v>
      </c>
      <c r="Z5074" s="1">
        <v>1.3</v>
      </c>
      <c r="AA5074" s="1">
        <v>0.55000000000000004</v>
      </c>
      <c r="AB5074" s="1" t="s">
        <v>266</v>
      </c>
      <c r="AD5074" s="1">
        <v>1.3</v>
      </c>
      <c r="AE5074" s="1">
        <v>8.8000000000000007</v>
      </c>
      <c r="AK5074" s="1">
        <v>19</v>
      </c>
      <c r="AL5074" s="1">
        <v>710</v>
      </c>
    </row>
    <row r="5075" spans="1:38" x14ac:dyDescent="0.3">
      <c r="A5075" s="1">
        <v>91363</v>
      </c>
      <c r="B5075" s="1" t="s">
        <v>310</v>
      </c>
      <c r="C5075" s="1" t="s">
        <v>296</v>
      </c>
      <c r="D5075" s="1">
        <v>2022</v>
      </c>
      <c r="E5075" s="1">
        <v>8</v>
      </c>
      <c r="G5075" s="4">
        <v>44784</v>
      </c>
      <c r="H5075" s="1" t="s">
        <v>348</v>
      </c>
      <c r="I5075" s="1" t="s">
        <v>349</v>
      </c>
      <c r="J5075" s="1" t="s">
        <v>189</v>
      </c>
      <c r="K5075" s="1"/>
      <c r="L5075" s="1" t="s">
        <v>350</v>
      </c>
      <c r="M5075" s="1" t="s">
        <v>285</v>
      </c>
      <c r="N5075" s="1">
        <v>0.5</v>
      </c>
      <c r="O5075" s="1">
        <v>0.5</v>
      </c>
      <c r="P5075" s="1">
        <v>4.5</v>
      </c>
      <c r="Q5075" s="1">
        <v>23.6</v>
      </c>
      <c r="R5075" s="1">
        <v>8.92</v>
      </c>
      <c r="S5075" s="1">
        <v>104.8</v>
      </c>
      <c r="V5075" s="1">
        <v>1.6</v>
      </c>
      <c r="W5075" s="1">
        <v>12</v>
      </c>
      <c r="Y5075" s="1">
        <v>2.7E-2</v>
      </c>
      <c r="Z5075" s="1">
        <v>1.4</v>
      </c>
      <c r="AA5075" s="1">
        <v>0.78</v>
      </c>
      <c r="AB5075" s="1" t="s">
        <v>362</v>
      </c>
      <c r="AD5075" s="1" t="s">
        <v>319</v>
      </c>
      <c r="AE5075" s="1">
        <v>8.1999999999999993</v>
      </c>
      <c r="AK5075" s="1">
        <v>13</v>
      </c>
      <c r="AL5075" s="1">
        <v>450</v>
      </c>
    </row>
    <row r="5076" spans="1:38" x14ac:dyDescent="0.3">
      <c r="A5076" s="1">
        <v>91364</v>
      </c>
      <c r="B5076" s="1" t="s">
        <v>310</v>
      </c>
      <c r="C5076" s="1" t="s">
        <v>296</v>
      </c>
      <c r="D5076" s="1">
        <v>2022</v>
      </c>
      <c r="E5076" s="1">
        <v>8</v>
      </c>
      <c r="G5076" s="4">
        <v>44784</v>
      </c>
      <c r="H5076" s="1" t="s">
        <v>348</v>
      </c>
      <c r="I5076" s="1" t="s">
        <v>349</v>
      </c>
      <c r="J5076" s="1" t="s">
        <v>189</v>
      </c>
      <c r="K5076" s="1"/>
      <c r="L5076" s="1" t="s">
        <v>350</v>
      </c>
      <c r="M5076" s="1">
        <v>1</v>
      </c>
      <c r="N5076" s="1">
        <v>1</v>
      </c>
      <c r="O5076" s="1">
        <v>1</v>
      </c>
      <c r="Q5076" s="1">
        <v>23.2</v>
      </c>
      <c r="R5076" s="1">
        <v>8.99</v>
      </c>
      <c r="S5076" s="1">
        <v>104.6</v>
      </c>
    </row>
    <row r="5077" spans="1:38" x14ac:dyDescent="0.3">
      <c r="A5077" s="1">
        <v>91365</v>
      </c>
      <c r="B5077" s="1" t="s">
        <v>310</v>
      </c>
      <c r="C5077" s="1" t="s">
        <v>296</v>
      </c>
      <c r="D5077" s="1">
        <v>2022</v>
      </c>
      <c r="E5077" s="1">
        <v>8</v>
      </c>
      <c r="G5077" s="4">
        <v>44784</v>
      </c>
      <c r="H5077" s="1" t="s">
        <v>348</v>
      </c>
      <c r="I5077" s="1" t="s">
        <v>349</v>
      </c>
      <c r="J5077" s="1" t="s">
        <v>189</v>
      </c>
      <c r="K5077" s="1"/>
      <c r="L5077" s="1" t="s">
        <v>350</v>
      </c>
      <c r="M5077" s="1">
        <v>2</v>
      </c>
      <c r="N5077" s="1">
        <v>2</v>
      </c>
      <c r="O5077" s="1">
        <v>2</v>
      </c>
      <c r="Q5077" s="1">
        <v>22.3</v>
      </c>
      <c r="R5077" s="1">
        <v>9.1</v>
      </c>
      <c r="S5077" s="1">
        <v>104.4</v>
      </c>
    </row>
    <row r="5078" spans="1:38" x14ac:dyDescent="0.3">
      <c r="A5078" s="1">
        <v>91366</v>
      </c>
      <c r="B5078" s="1" t="s">
        <v>310</v>
      </c>
      <c r="C5078" s="1" t="s">
        <v>296</v>
      </c>
      <c r="D5078" s="1">
        <v>2022</v>
      </c>
      <c r="E5078" s="1">
        <v>8</v>
      </c>
      <c r="G5078" s="4">
        <v>44784</v>
      </c>
      <c r="H5078" s="1" t="s">
        <v>348</v>
      </c>
      <c r="I5078" s="1" t="s">
        <v>349</v>
      </c>
      <c r="J5078" s="1" t="s">
        <v>189</v>
      </c>
      <c r="K5078" s="1"/>
      <c r="L5078" s="1" t="s">
        <v>350</v>
      </c>
      <c r="M5078" s="1">
        <v>3</v>
      </c>
      <c r="N5078" s="1">
        <v>3</v>
      </c>
      <c r="O5078" s="1">
        <v>3</v>
      </c>
      <c r="Q5078" s="1">
        <v>21.8</v>
      </c>
      <c r="R5078" s="1">
        <v>8.58</v>
      </c>
      <c r="S5078" s="1">
        <v>97.4</v>
      </c>
    </row>
    <row r="5079" spans="1:38" x14ac:dyDescent="0.3">
      <c r="A5079" s="1">
        <v>91367</v>
      </c>
      <c r="B5079" s="1" t="s">
        <v>310</v>
      </c>
      <c r="C5079" s="1" t="s">
        <v>296</v>
      </c>
      <c r="D5079" s="1">
        <v>2022</v>
      </c>
      <c r="E5079" s="1">
        <v>8</v>
      </c>
      <c r="G5079" s="4">
        <v>44784</v>
      </c>
      <c r="H5079" s="1" t="s">
        <v>348</v>
      </c>
      <c r="I5079" s="1" t="s">
        <v>349</v>
      </c>
      <c r="J5079" s="1" t="s">
        <v>189</v>
      </c>
      <c r="K5079" s="1"/>
      <c r="L5079" s="1" t="s">
        <v>350</v>
      </c>
      <c r="M5079" s="1">
        <v>4</v>
      </c>
      <c r="N5079" s="1">
        <v>4</v>
      </c>
      <c r="O5079" s="1">
        <v>4</v>
      </c>
      <c r="Q5079" s="1">
        <v>21.4</v>
      </c>
      <c r="R5079" s="1">
        <v>7.5</v>
      </c>
      <c r="S5079" s="1">
        <v>84.7</v>
      </c>
    </row>
    <row r="5080" spans="1:38" x14ac:dyDescent="0.3">
      <c r="A5080" s="1">
        <v>91368</v>
      </c>
      <c r="B5080" s="1" t="s">
        <v>310</v>
      </c>
      <c r="C5080" s="1" t="s">
        <v>296</v>
      </c>
      <c r="D5080" s="1">
        <v>2022</v>
      </c>
      <c r="E5080" s="1">
        <v>8</v>
      </c>
      <c r="G5080" s="4">
        <v>44784</v>
      </c>
      <c r="H5080" s="1" t="s">
        <v>348</v>
      </c>
      <c r="I5080" s="1" t="s">
        <v>349</v>
      </c>
      <c r="J5080" s="1" t="s">
        <v>189</v>
      </c>
      <c r="K5080" s="1"/>
      <c r="L5080" s="1" t="s">
        <v>350</v>
      </c>
      <c r="M5080" s="1">
        <v>5</v>
      </c>
      <c r="N5080" s="1">
        <v>5</v>
      </c>
      <c r="O5080" s="1">
        <v>5</v>
      </c>
      <c r="Q5080" s="1">
        <v>21.1</v>
      </c>
      <c r="R5080" s="1">
        <v>5.79</v>
      </c>
      <c r="S5080" s="1">
        <v>65.099999999999994</v>
      </c>
    </row>
    <row r="5081" spans="1:38" x14ac:dyDescent="0.3">
      <c r="A5081" s="1">
        <v>91369</v>
      </c>
      <c r="B5081" s="1" t="s">
        <v>310</v>
      </c>
      <c r="C5081" s="1" t="s">
        <v>296</v>
      </c>
      <c r="D5081" s="1">
        <v>2022</v>
      </c>
      <c r="E5081" s="1">
        <v>8</v>
      </c>
      <c r="G5081" s="4">
        <v>44784</v>
      </c>
      <c r="H5081" s="1" t="s">
        <v>348</v>
      </c>
      <c r="I5081" s="1" t="s">
        <v>349</v>
      </c>
      <c r="J5081" s="1" t="s">
        <v>189</v>
      </c>
      <c r="K5081" s="1"/>
      <c r="L5081" s="1" t="s">
        <v>350</v>
      </c>
      <c r="M5081" s="1" t="s">
        <v>286</v>
      </c>
      <c r="N5081" s="1">
        <v>5.8</v>
      </c>
      <c r="O5081" s="1">
        <v>5.8</v>
      </c>
      <c r="P5081" s="1" t="s">
        <v>266</v>
      </c>
      <c r="Q5081" s="1">
        <v>20.7</v>
      </c>
      <c r="R5081" s="1">
        <v>2.2000000000000002</v>
      </c>
      <c r="S5081" s="1">
        <v>24.2</v>
      </c>
      <c r="V5081" s="1">
        <v>1.6</v>
      </c>
      <c r="W5081" s="1">
        <v>21</v>
      </c>
      <c r="Y5081" s="1">
        <v>2.8000000000000001E-2</v>
      </c>
      <c r="Z5081" s="1">
        <v>2.7</v>
      </c>
      <c r="AA5081" s="1">
        <v>2.8</v>
      </c>
      <c r="AB5081" s="1" t="s">
        <v>266</v>
      </c>
      <c r="AD5081" s="1">
        <v>1.5</v>
      </c>
      <c r="AE5081" s="1">
        <v>7.8</v>
      </c>
      <c r="AK5081" s="1">
        <v>25</v>
      </c>
      <c r="AL5081" s="1">
        <v>450</v>
      </c>
    </row>
    <row r="5082" spans="1:38" x14ac:dyDescent="0.3">
      <c r="A5082" s="1">
        <v>91370</v>
      </c>
      <c r="B5082" s="1" t="s">
        <v>310</v>
      </c>
      <c r="C5082" s="1" t="s">
        <v>294</v>
      </c>
      <c r="D5082" s="1">
        <v>2022</v>
      </c>
      <c r="E5082" s="1">
        <v>8</v>
      </c>
      <c r="G5082" s="4">
        <v>44784</v>
      </c>
      <c r="H5082" s="1" t="s">
        <v>351</v>
      </c>
      <c r="I5082" s="1" t="s">
        <v>352</v>
      </c>
      <c r="J5082" s="1" t="s">
        <v>190</v>
      </c>
      <c r="K5082" s="1"/>
      <c r="L5082" s="1" t="s">
        <v>190</v>
      </c>
      <c r="M5082" s="1" t="s">
        <v>285</v>
      </c>
      <c r="N5082" s="1">
        <v>0.5</v>
      </c>
      <c r="O5082" s="1">
        <v>0.5</v>
      </c>
      <c r="P5082" s="1">
        <v>1.2</v>
      </c>
      <c r="Q5082" s="1">
        <v>22.3</v>
      </c>
      <c r="R5082" s="1">
        <v>8.86</v>
      </c>
      <c r="S5082" s="1">
        <v>101.9</v>
      </c>
      <c r="V5082" s="1">
        <v>7.0999999999999994E-2</v>
      </c>
      <c r="W5082" s="1">
        <v>23</v>
      </c>
      <c r="Y5082" s="1">
        <v>0.78</v>
      </c>
      <c r="Z5082" s="1">
        <v>2.4</v>
      </c>
      <c r="AA5082" s="1">
        <v>3</v>
      </c>
      <c r="AB5082" s="1">
        <v>65</v>
      </c>
      <c r="AD5082" s="1">
        <v>12</v>
      </c>
      <c r="AE5082" s="1">
        <v>6</v>
      </c>
      <c r="AK5082" s="1">
        <v>24</v>
      </c>
      <c r="AL5082" s="1">
        <v>860</v>
      </c>
    </row>
    <row r="5083" spans="1:38" x14ac:dyDescent="0.3">
      <c r="A5083" s="1">
        <v>91371</v>
      </c>
      <c r="B5083" s="1" t="s">
        <v>310</v>
      </c>
      <c r="C5083" s="1" t="s">
        <v>294</v>
      </c>
      <c r="D5083" s="1">
        <v>2022</v>
      </c>
      <c r="E5083" s="1">
        <v>8</v>
      </c>
      <c r="G5083" s="4">
        <v>44784</v>
      </c>
      <c r="H5083" s="1" t="s">
        <v>351</v>
      </c>
      <c r="I5083" s="1" t="s">
        <v>352</v>
      </c>
      <c r="J5083" s="1" t="s">
        <v>190</v>
      </c>
      <c r="K5083" s="1"/>
      <c r="L5083" s="1" t="s">
        <v>190</v>
      </c>
      <c r="M5083" s="1">
        <v>1</v>
      </c>
      <c r="N5083" s="1">
        <v>1</v>
      </c>
      <c r="O5083" s="1">
        <v>1</v>
      </c>
      <c r="Q5083" s="1">
        <v>20</v>
      </c>
      <c r="R5083" s="1">
        <v>6.69</v>
      </c>
      <c r="S5083" s="1">
        <v>73.7</v>
      </c>
    </row>
    <row r="5084" spans="1:38" x14ac:dyDescent="0.3">
      <c r="A5084" s="1">
        <v>91372</v>
      </c>
      <c r="B5084" s="1" t="s">
        <v>310</v>
      </c>
      <c r="C5084" s="1" t="s">
        <v>294</v>
      </c>
      <c r="D5084" s="1">
        <v>2022</v>
      </c>
      <c r="E5084" s="1">
        <v>8</v>
      </c>
      <c r="G5084" s="4">
        <v>44784</v>
      </c>
      <c r="H5084" s="1" t="s">
        <v>351</v>
      </c>
      <c r="I5084" s="1" t="s">
        <v>352</v>
      </c>
      <c r="J5084" s="1" t="s">
        <v>190</v>
      </c>
      <c r="K5084" s="1"/>
      <c r="L5084" s="1" t="s">
        <v>190</v>
      </c>
      <c r="M5084" s="1">
        <v>2</v>
      </c>
      <c r="N5084" s="1">
        <v>2</v>
      </c>
      <c r="O5084" s="1">
        <v>2</v>
      </c>
      <c r="Q5084" s="1">
        <v>14.7</v>
      </c>
      <c r="R5084" s="1">
        <v>0.4</v>
      </c>
      <c r="S5084" s="1">
        <v>3.9</v>
      </c>
    </row>
    <row r="5085" spans="1:38" x14ac:dyDescent="0.3">
      <c r="A5085" s="1">
        <v>91373</v>
      </c>
      <c r="B5085" s="1" t="s">
        <v>310</v>
      </c>
      <c r="C5085" s="1" t="s">
        <v>294</v>
      </c>
      <c r="D5085" s="1">
        <v>2022</v>
      </c>
      <c r="E5085" s="1">
        <v>8</v>
      </c>
      <c r="G5085" s="4">
        <v>44784</v>
      </c>
      <c r="H5085" s="1" t="s">
        <v>351</v>
      </c>
      <c r="I5085" s="1" t="s">
        <v>352</v>
      </c>
      <c r="J5085" s="1" t="s">
        <v>190</v>
      </c>
      <c r="K5085" s="1"/>
      <c r="L5085" s="1" t="s">
        <v>190</v>
      </c>
      <c r="M5085" s="1" t="s">
        <v>286</v>
      </c>
      <c r="N5085" s="1">
        <v>2.7</v>
      </c>
      <c r="O5085" s="1">
        <v>2.7</v>
      </c>
      <c r="P5085" s="1" t="s">
        <v>266</v>
      </c>
      <c r="Q5085" s="1">
        <v>12.3</v>
      </c>
      <c r="R5085" s="1">
        <v>0.19</v>
      </c>
      <c r="S5085" s="1">
        <v>1.8</v>
      </c>
      <c r="V5085" s="1">
        <v>0.12</v>
      </c>
      <c r="W5085" s="1">
        <v>24</v>
      </c>
      <c r="Y5085" s="1">
        <v>0.89400000000000002</v>
      </c>
      <c r="Z5085" s="1">
        <v>2.2000000000000002</v>
      </c>
      <c r="AA5085" s="1">
        <v>4.7</v>
      </c>
      <c r="AB5085" s="1" t="s">
        <v>266</v>
      </c>
      <c r="AD5085" s="1">
        <v>12</v>
      </c>
      <c r="AE5085" s="1">
        <v>6.1</v>
      </c>
      <c r="AK5085" s="1">
        <v>29</v>
      </c>
      <c r="AL5085" s="1">
        <v>870</v>
      </c>
    </row>
    <row r="5086" spans="1:38" x14ac:dyDescent="0.3">
      <c r="A5086" s="1">
        <v>91374</v>
      </c>
      <c r="B5086" s="1" t="s">
        <v>310</v>
      </c>
      <c r="C5086" s="1" t="s">
        <v>296</v>
      </c>
      <c r="D5086" s="1">
        <v>2022</v>
      </c>
      <c r="E5086" s="1">
        <v>8</v>
      </c>
      <c r="G5086" s="4">
        <v>44784</v>
      </c>
      <c r="H5086" s="1" t="s">
        <v>353</v>
      </c>
      <c r="I5086" s="1" t="s">
        <v>354</v>
      </c>
      <c r="J5086" s="1" t="s">
        <v>192</v>
      </c>
      <c r="K5086" s="1"/>
      <c r="L5086" s="1" t="s">
        <v>355</v>
      </c>
      <c r="M5086" s="1" t="s">
        <v>285</v>
      </c>
      <c r="N5086" s="1">
        <v>0.5</v>
      </c>
      <c r="O5086" s="1">
        <v>0.5</v>
      </c>
      <c r="P5086" s="1">
        <v>1.2</v>
      </c>
      <c r="Q5086" s="1">
        <v>22.1</v>
      </c>
      <c r="R5086" s="1">
        <v>8.67</v>
      </c>
      <c r="S5086" s="1">
        <v>99.1</v>
      </c>
      <c r="V5086" s="1">
        <v>3.1</v>
      </c>
      <c r="W5086" s="1">
        <v>17</v>
      </c>
      <c r="Y5086" s="1">
        <v>4.4999999999999998E-2</v>
      </c>
      <c r="Z5086" s="1">
        <v>1.6</v>
      </c>
      <c r="AA5086" s="1">
        <v>1.6</v>
      </c>
      <c r="AB5086" s="1">
        <v>5.2</v>
      </c>
      <c r="AD5086" s="1">
        <v>1.2</v>
      </c>
      <c r="AE5086" s="1">
        <v>8.3000000000000007</v>
      </c>
      <c r="AK5086" s="1">
        <v>22</v>
      </c>
      <c r="AL5086" s="1">
        <v>580</v>
      </c>
    </row>
    <row r="5087" spans="1:38" x14ac:dyDescent="0.3">
      <c r="A5087" s="1">
        <v>91375</v>
      </c>
      <c r="B5087" s="1" t="s">
        <v>310</v>
      </c>
      <c r="C5087" s="1" t="s">
        <v>296</v>
      </c>
      <c r="D5087" s="1">
        <v>2022</v>
      </c>
      <c r="E5087" s="1">
        <v>8</v>
      </c>
      <c r="G5087" s="4">
        <v>44784</v>
      </c>
      <c r="H5087" s="1" t="s">
        <v>353</v>
      </c>
      <c r="I5087" s="1" t="s">
        <v>354</v>
      </c>
      <c r="J5087" s="1" t="s">
        <v>192</v>
      </c>
      <c r="K5087" s="1"/>
      <c r="L5087" s="1" t="s">
        <v>355</v>
      </c>
      <c r="M5087" s="1">
        <v>1</v>
      </c>
      <c r="N5087" s="1">
        <v>1</v>
      </c>
      <c r="O5087" s="1">
        <v>1</v>
      </c>
      <c r="Q5087" s="1">
        <v>21.9</v>
      </c>
      <c r="R5087" s="1">
        <v>8.76</v>
      </c>
      <c r="S5087" s="1">
        <v>99.9</v>
      </c>
    </row>
    <row r="5088" spans="1:38" x14ac:dyDescent="0.3">
      <c r="A5088" s="1">
        <v>91376</v>
      </c>
      <c r="B5088" s="1" t="s">
        <v>310</v>
      </c>
      <c r="C5088" s="1" t="s">
        <v>296</v>
      </c>
      <c r="D5088" s="1">
        <v>2022</v>
      </c>
      <c r="E5088" s="1">
        <v>8</v>
      </c>
      <c r="G5088" s="4">
        <v>44784</v>
      </c>
      <c r="H5088" s="1" t="s">
        <v>353</v>
      </c>
      <c r="I5088" s="1" t="s">
        <v>354</v>
      </c>
      <c r="J5088" s="1" t="s">
        <v>192</v>
      </c>
      <c r="K5088" s="1"/>
      <c r="L5088" s="1" t="s">
        <v>355</v>
      </c>
      <c r="M5088" s="1">
        <v>2</v>
      </c>
      <c r="N5088" s="1">
        <v>2</v>
      </c>
      <c r="O5088" s="1">
        <v>2</v>
      </c>
      <c r="Q5088" s="1">
        <v>21.4</v>
      </c>
      <c r="R5088" s="1">
        <v>9.23</v>
      </c>
      <c r="S5088" s="1">
        <v>104.5</v>
      </c>
    </row>
    <row r="5089" spans="1:180" x14ac:dyDescent="0.3">
      <c r="A5089" s="1">
        <v>91377</v>
      </c>
      <c r="B5089" s="1" t="s">
        <v>310</v>
      </c>
      <c r="C5089" s="1" t="s">
        <v>296</v>
      </c>
      <c r="D5089" s="1">
        <v>2022</v>
      </c>
      <c r="E5089" s="1">
        <v>8</v>
      </c>
      <c r="G5089" s="4">
        <v>44784</v>
      </c>
      <c r="H5089" s="1" t="s">
        <v>353</v>
      </c>
      <c r="I5089" s="1" t="s">
        <v>354</v>
      </c>
      <c r="J5089" s="1" t="s">
        <v>192</v>
      </c>
      <c r="K5089" s="1"/>
      <c r="L5089" s="1" t="s">
        <v>355</v>
      </c>
      <c r="M5089" s="1" t="s">
        <v>286</v>
      </c>
      <c r="N5089" s="1">
        <v>2.6</v>
      </c>
      <c r="O5089" s="1">
        <v>2.6</v>
      </c>
      <c r="P5089" s="1" t="s">
        <v>266</v>
      </c>
      <c r="Q5089" s="1">
        <v>20.9</v>
      </c>
      <c r="R5089" s="1">
        <v>9.34</v>
      </c>
      <c r="S5089" s="1">
        <v>104.6</v>
      </c>
      <c r="V5089" s="1">
        <v>3.1</v>
      </c>
      <c r="W5089" s="1">
        <v>14</v>
      </c>
      <c r="Y5089" s="1">
        <v>4.4999999999999998E-2</v>
      </c>
      <c r="Z5089" s="1">
        <v>1.5</v>
      </c>
      <c r="AA5089" s="1">
        <v>1.5</v>
      </c>
      <c r="AB5089" s="1" t="s">
        <v>266</v>
      </c>
      <c r="AD5089" s="1">
        <v>1.5</v>
      </c>
      <c r="AE5089" s="1">
        <v>8.3000000000000007</v>
      </c>
      <c r="AK5089" s="1">
        <v>18</v>
      </c>
      <c r="AL5089" s="1">
        <v>540</v>
      </c>
    </row>
    <row r="5090" spans="1:180" x14ac:dyDescent="0.3">
      <c r="A5090" s="1">
        <v>91378</v>
      </c>
      <c r="B5090" s="1" t="s">
        <v>310</v>
      </c>
      <c r="C5090" s="1" t="s">
        <v>294</v>
      </c>
      <c r="D5090" s="1">
        <v>2022</v>
      </c>
      <c r="E5090" s="1">
        <v>8</v>
      </c>
      <c r="G5090" s="4">
        <v>44783</v>
      </c>
      <c r="H5090" s="1" t="s">
        <v>357</v>
      </c>
      <c r="I5090" s="1" t="s">
        <v>358</v>
      </c>
      <c r="J5090" s="1" t="s">
        <v>193</v>
      </c>
      <c r="K5090" s="1"/>
      <c r="L5090" s="1" t="s">
        <v>359</v>
      </c>
      <c r="M5090" s="1" t="s">
        <v>285</v>
      </c>
      <c r="N5090" s="1">
        <v>0.5</v>
      </c>
      <c r="O5090" s="1">
        <v>0.5</v>
      </c>
      <c r="P5090" s="1">
        <v>1.7</v>
      </c>
      <c r="Q5090" s="1">
        <v>22.1</v>
      </c>
      <c r="R5090" s="1">
        <v>10.64</v>
      </c>
      <c r="S5090" s="1">
        <v>122</v>
      </c>
      <c r="V5090" s="1">
        <v>1.8</v>
      </c>
      <c r="W5090" s="1">
        <v>34</v>
      </c>
      <c r="Y5090" s="1">
        <v>3.5999999999999997E-2</v>
      </c>
      <c r="Z5090" s="1">
        <v>1.4</v>
      </c>
      <c r="AA5090" s="1">
        <v>5.7</v>
      </c>
      <c r="AB5090" s="1">
        <v>24</v>
      </c>
      <c r="AD5090" s="1">
        <v>2.9</v>
      </c>
      <c r="AE5090" s="1">
        <v>8.6</v>
      </c>
      <c r="AK5090" s="1">
        <v>19</v>
      </c>
      <c r="AL5090" s="1">
        <v>980</v>
      </c>
    </row>
    <row r="5091" spans="1:180" x14ac:dyDescent="0.3">
      <c r="A5091" s="1">
        <v>91379</v>
      </c>
      <c r="B5091" s="1" t="s">
        <v>310</v>
      </c>
      <c r="C5091" s="1" t="s">
        <v>294</v>
      </c>
      <c r="D5091" s="1">
        <v>2022</v>
      </c>
      <c r="E5091" s="1">
        <v>8</v>
      </c>
      <c r="G5091" s="4">
        <v>44783</v>
      </c>
      <c r="H5091" s="1" t="s">
        <v>357</v>
      </c>
      <c r="I5091" s="1" t="s">
        <v>358</v>
      </c>
      <c r="J5091" s="1" t="s">
        <v>193</v>
      </c>
      <c r="K5091" s="1"/>
      <c r="L5091" s="1" t="s">
        <v>359</v>
      </c>
      <c r="M5091" s="1">
        <v>1</v>
      </c>
      <c r="N5091" s="1">
        <v>1</v>
      </c>
      <c r="O5091" s="1">
        <v>1</v>
      </c>
      <c r="Q5091" s="1">
        <v>21.9</v>
      </c>
      <c r="R5091" s="1">
        <v>10.87</v>
      </c>
      <c r="S5091" s="1">
        <v>124.1</v>
      </c>
    </row>
    <row r="5092" spans="1:180" x14ac:dyDescent="0.3">
      <c r="A5092" s="1">
        <v>91380</v>
      </c>
      <c r="B5092" s="1" t="s">
        <v>310</v>
      </c>
      <c r="C5092" s="1" t="s">
        <v>294</v>
      </c>
      <c r="D5092" s="1">
        <v>2022</v>
      </c>
      <c r="E5092" s="1">
        <v>8</v>
      </c>
      <c r="G5092" s="4">
        <v>44783</v>
      </c>
      <c r="H5092" s="1" t="s">
        <v>357</v>
      </c>
      <c r="I5092" s="1" t="s">
        <v>358</v>
      </c>
      <c r="J5092" s="1" t="s">
        <v>193</v>
      </c>
      <c r="K5092" s="1"/>
      <c r="L5092" s="1" t="s">
        <v>359</v>
      </c>
      <c r="M5092" s="1">
        <v>2</v>
      </c>
      <c r="N5092" s="1">
        <v>2</v>
      </c>
      <c r="O5092" s="1">
        <v>2</v>
      </c>
      <c r="Q5092" s="1">
        <v>21.5</v>
      </c>
      <c r="R5092" s="1">
        <v>10.24</v>
      </c>
      <c r="S5092" s="1">
        <v>115.9</v>
      </c>
    </row>
    <row r="5093" spans="1:180" x14ac:dyDescent="0.3">
      <c r="A5093" s="1">
        <v>91381</v>
      </c>
      <c r="B5093" s="1" t="s">
        <v>310</v>
      </c>
      <c r="C5093" s="1" t="s">
        <v>294</v>
      </c>
      <c r="D5093" s="1">
        <v>2022</v>
      </c>
      <c r="E5093" s="1">
        <v>8</v>
      </c>
      <c r="G5093" s="4">
        <v>44783</v>
      </c>
      <c r="H5093" s="1" t="s">
        <v>357</v>
      </c>
      <c r="I5093" s="1" t="s">
        <v>358</v>
      </c>
      <c r="J5093" s="1" t="s">
        <v>193</v>
      </c>
      <c r="K5093" s="1"/>
      <c r="L5093" s="1" t="s">
        <v>359</v>
      </c>
      <c r="M5093" s="1" t="s">
        <v>286</v>
      </c>
      <c r="N5093" s="1">
        <v>3.2</v>
      </c>
      <c r="O5093" s="1">
        <v>3.2</v>
      </c>
      <c r="P5093" s="1" t="s">
        <v>266</v>
      </c>
      <c r="Q5093" s="1">
        <v>20.7</v>
      </c>
      <c r="R5093" s="1">
        <v>4.54</v>
      </c>
      <c r="S5093" s="1">
        <v>50.6</v>
      </c>
      <c r="V5093" s="1">
        <v>1.8</v>
      </c>
      <c r="W5093" s="1">
        <v>55</v>
      </c>
      <c r="Y5093" s="1">
        <v>3.5999999999999997E-2</v>
      </c>
      <c r="Z5093" s="1" t="s">
        <v>319</v>
      </c>
      <c r="AA5093" s="1">
        <v>6.4</v>
      </c>
      <c r="AB5093" s="1" t="s">
        <v>266</v>
      </c>
      <c r="AD5093" s="1">
        <v>5</v>
      </c>
      <c r="AE5093" s="1">
        <v>8</v>
      </c>
      <c r="AK5093" s="1">
        <v>32</v>
      </c>
      <c r="AL5093" s="1">
        <v>920</v>
      </c>
    </row>
    <row r="5094" spans="1:180" x14ac:dyDescent="0.3">
      <c r="A5094" s="1">
        <v>91382</v>
      </c>
      <c r="B5094" s="1" t="s">
        <v>310</v>
      </c>
      <c r="C5094" s="1" t="s">
        <v>294</v>
      </c>
      <c r="D5094" s="1">
        <v>2022</v>
      </c>
      <c r="E5094" s="1">
        <v>8</v>
      </c>
      <c r="G5094" s="4" t="s">
        <v>363</v>
      </c>
      <c r="H5094" s="1" t="s">
        <v>311</v>
      </c>
      <c r="I5094" s="1" t="s">
        <v>312</v>
      </c>
      <c r="J5094" s="1" t="s">
        <v>313</v>
      </c>
      <c r="K5094" s="1"/>
      <c r="L5094" s="1" t="s">
        <v>182</v>
      </c>
      <c r="M5094" s="1" t="s">
        <v>225</v>
      </c>
      <c r="N5094" s="1">
        <v>0</v>
      </c>
      <c r="O5094" s="1">
        <v>2</v>
      </c>
      <c r="BR5094" s="1" t="s">
        <v>364</v>
      </c>
      <c r="BT5094" s="1" t="s">
        <v>365</v>
      </c>
      <c r="BU5094" s="1">
        <v>0.6</v>
      </c>
      <c r="BW5094" s="1">
        <v>1.4</v>
      </c>
      <c r="BX5094" s="1" t="s">
        <v>366</v>
      </c>
      <c r="BY5094" s="1">
        <v>0.35</v>
      </c>
      <c r="CG5094" s="1">
        <v>1.4</v>
      </c>
      <c r="CI5094" s="1" t="s">
        <v>367</v>
      </c>
      <c r="CN5094" s="1">
        <v>10</v>
      </c>
      <c r="DH5094" s="1">
        <v>6.6</v>
      </c>
      <c r="DI5094" s="1">
        <v>5.4</v>
      </c>
      <c r="DJ5094" s="20" t="s">
        <v>368</v>
      </c>
      <c r="DK5094" s="20">
        <v>5.8</v>
      </c>
      <c r="DL5094" s="20">
        <v>1.6</v>
      </c>
      <c r="DM5094" s="20" t="s">
        <v>368</v>
      </c>
      <c r="DN5094" s="20">
        <v>3.5</v>
      </c>
      <c r="DO5094" s="20">
        <v>6.5</v>
      </c>
      <c r="DP5094" s="20">
        <v>2</v>
      </c>
      <c r="DQ5094" s="20">
        <v>0.56000000000000005</v>
      </c>
      <c r="DR5094" s="20">
        <v>6.6</v>
      </c>
      <c r="DS5094" s="20">
        <v>39</v>
      </c>
      <c r="DT5094" s="20">
        <v>15</v>
      </c>
      <c r="DU5094" s="20" t="s">
        <v>369</v>
      </c>
      <c r="DV5094" s="20" t="s">
        <v>369</v>
      </c>
      <c r="DW5094" s="20" t="s">
        <v>369</v>
      </c>
      <c r="DX5094" s="20" t="s">
        <v>370</v>
      </c>
      <c r="DY5094" s="20" t="s">
        <v>371</v>
      </c>
      <c r="DZ5094" s="20" t="s">
        <v>371</v>
      </c>
      <c r="EA5094" s="20" t="s">
        <v>371</v>
      </c>
      <c r="EB5094" s="20" t="s">
        <v>372</v>
      </c>
      <c r="EC5094" s="20" t="s">
        <v>372</v>
      </c>
      <c r="ED5094" s="20" t="s">
        <v>372</v>
      </c>
      <c r="EE5094" s="20" t="s">
        <v>372</v>
      </c>
      <c r="EF5094" s="20" t="s">
        <v>373</v>
      </c>
      <c r="EG5094" s="20" t="s">
        <v>374</v>
      </c>
      <c r="EH5094" s="20" t="s">
        <v>374</v>
      </c>
      <c r="EI5094" s="20" t="s">
        <v>374</v>
      </c>
      <c r="EJ5094" s="20" t="s">
        <v>375</v>
      </c>
      <c r="EK5094" s="20" t="s">
        <v>375</v>
      </c>
      <c r="EL5094" s="20" t="s">
        <v>376</v>
      </c>
      <c r="EM5094" s="20" t="s">
        <v>376</v>
      </c>
      <c r="EN5094" s="20" t="s">
        <v>377</v>
      </c>
      <c r="EO5094" s="20" t="s">
        <v>373</v>
      </c>
      <c r="EP5094" s="20" t="s">
        <v>378</v>
      </c>
      <c r="EQ5094" s="20" t="s">
        <v>378</v>
      </c>
      <c r="ER5094" s="20" t="s">
        <v>378</v>
      </c>
      <c r="ES5094" s="20" t="s">
        <v>378</v>
      </c>
      <c r="ET5094" s="20" t="s">
        <v>378</v>
      </c>
      <c r="EU5094" s="20" t="s">
        <v>371</v>
      </c>
      <c r="EV5094" s="20" t="s">
        <v>371</v>
      </c>
      <c r="EW5094" s="20" t="s">
        <v>370</v>
      </c>
      <c r="EX5094" s="20">
        <v>9.15</v>
      </c>
      <c r="EY5094" s="20" t="s">
        <v>370</v>
      </c>
      <c r="EZ5094" s="20">
        <v>0.89700000000000002</v>
      </c>
      <c r="FA5094" s="20" t="s">
        <v>370</v>
      </c>
      <c r="FB5094" s="20">
        <v>0.71799999999999997</v>
      </c>
      <c r="FC5094" s="20" t="s">
        <v>370</v>
      </c>
      <c r="FD5094" s="20">
        <v>2.39</v>
      </c>
      <c r="FE5094" s="20" t="s">
        <v>370</v>
      </c>
      <c r="FF5094" s="20">
        <v>1.2</v>
      </c>
      <c r="FG5094" s="20" t="s">
        <v>370</v>
      </c>
      <c r="FH5094" s="20">
        <v>0.59799999999999998</v>
      </c>
      <c r="FI5094" s="20" t="s">
        <v>370</v>
      </c>
      <c r="FJ5094" s="20">
        <v>0.29899999999999999</v>
      </c>
      <c r="FK5094" s="20" t="s">
        <v>370</v>
      </c>
      <c r="FL5094" s="20">
        <v>5.1299999999999998E-2</v>
      </c>
      <c r="FM5094" s="20" t="s">
        <v>379</v>
      </c>
      <c r="FN5094" s="20" t="s">
        <v>380</v>
      </c>
      <c r="FO5094" s="20" t="s">
        <v>381</v>
      </c>
      <c r="FP5094" s="20" t="s">
        <v>382</v>
      </c>
      <c r="FQ5094" s="20" t="s">
        <v>383</v>
      </c>
      <c r="FR5094" s="20" t="s">
        <v>384</v>
      </c>
      <c r="FS5094" s="20" t="s">
        <v>385</v>
      </c>
      <c r="FT5094" s="20" t="s">
        <v>370</v>
      </c>
      <c r="FU5094" s="20">
        <v>3920</v>
      </c>
      <c r="FV5094" s="20" t="s">
        <v>370</v>
      </c>
      <c r="FW5094" s="20">
        <v>4160</v>
      </c>
      <c r="FX5094" s="20" t="s">
        <v>386</v>
      </c>
    </row>
    <row r="5095" spans="1:180" x14ac:dyDescent="0.3">
      <c r="A5095" s="1">
        <v>91383</v>
      </c>
      <c r="B5095" s="1" t="s">
        <v>310</v>
      </c>
      <c r="C5095" s="1" t="s">
        <v>294</v>
      </c>
      <c r="D5095" s="1">
        <v>2022</v>
      </c>
      <c r="E5095" s="1">
        <v>8</v>
      </c>
      <c r="G5095" s="4" t="s">
        <v>387</v>
      </c>
      <c r="H5095" s="1" t="s">
        <v>315</v>
      </c>
      <c r="I5095" s="1" t="s">
        <v>316</v>
      </c>
      <c r="J5095" s="1" t="s">
        <v>183</v>
      </c>
      <c r="K5095" s="1"/>
      <c r="L5095" s="1" t="s">
        <v>183</v>
      </c>
      <c r="M5095" s="1" t="s">
        <v>225</v>
      </c>
      <c r="N5095" s="1">
        <v>0</v>
      </c>
      <c r="O5095" s="1">
        <v>2</v>
      </c>
      <c r="BR5095" s="1" t="s">
        <v>364</v>
      </c>
      <c r="BT5095" s="1" t="s">
        <v>365</v>
      </c>
      <c r="BU5095" s="1">
        <v>0.82</v>
      </c>
      <c r="BW5095" s="1">
        <v>0.76</v>
      </c>
      <c r="BX5095" s="1">
        <v>0.01</v>
      </c>
      <c r="BY5095" s="1">
        <v>2</v>
      </c>
      <c r="CG5095" s="1">
        <v>0.83</v>
      </c>
      <c r="CI5095" s="1" t="s">
        <v>367</v>
      </c>
      <c r="CN5095" s="1">
        <v>7.8</v>
      </c>
      <c r="DH5095" s="1">
        <v>1.1000000000000001</v>
      </c>
      <c r="DI5095" s="1">
        <v>3.8</v>
      </c>
      <c r="DJ5095" s="20" t="s">
        <v>368</v>
      </c>
      <c r="DK5095" s="20">
        <v>4</v>
      </c>
      <c r="DL5095" s="20">
        <v>1.1000000000000001</v>
      </c>
      <c r="DM5095" s="20" t="s">
        <v>368</v>
      </c>
      <c r="DN5095" s="20">
        <v>2.2000000000000002</v>
      </c>
      <c r="DO5095" s="20">
        <v>3.1</v>
      </c>
      <c r="DP5095" s="20">
        <v>0.93</v>
      </c>
      <c r="DQ5095" s="20">
        <v>0.5</v>
      </c>
      <c r="DR5095" s="20">
        <v>2.5</v>
      </c>
      <c r="DS5095" s="20">
        <v>19</v>
      </c>
      <c r="DT5095" s="20">
        <v>6.3</v>
      </c>
      <c r="DU5095" s="20" t="s">
        <v>388</v>
      </c>
      <c r="DV5095" s="20" t="s">
        <v>388</v>
      </c>
      <c r="DW5095" s="20" t="s">
        <v>388</v>
      </c>
      <c r="DX5095" s="20" t="s">
        <v>370</v>
      </c>
      <c r="DY5095" s="20" t="s">
        <v>389</v>
      </c>
      <c r="DZ5095" s="20" t="s">
        <v>389</v>
      </c>
      <c r="EA5095" s="20" t="s">
        <v>389</v>
      </c>
      <c r="EB5095" s="20" t="s">
        <v>390</v>
      </c>
      <c r="EC5095" s="20" t="s">
        <v>390</v>
      </c>
      <c r="ED5095" s="20" t="s">
        <v>390</v>
      </c>
      <c r="EE5095" s="20" t="s">
        <v>390</v>
      </c>
      <c r="EF5095" s="20" t="s">
        <v>391</v>
      </c>
      <c r="EG5095" s="20" t="s">
        <v>392</v>
      </c>
      <c r="EH5095" s="20" t="s">
        <v>392</v>
      </c>
      <c r="EI5095" s="20" t="s">
        <v>392</v>
      </c>
      <c r="EJ5095" s="20" t="s">
        <v>393</v>
      </c>
      <c r="EK5095" s="20" t="s">
        <v>393</v>
      </c>
      <c r="EL5095" s="20" t="s">
        <v>394</v>
      </c>
      <c r="EM5095" s="20" t="s">
        <v>394</v>
      </c>
      <c r="EN5095" s="20" t="s">
        <v>395</v>
      </c>
      <c r="EO5095" s="20" t="s">
        <v>391</v>
      </c>
      <c r="EP5095" s="20" t="s">
        <v>396</v>
      </c>
      <c r="EQ5095" s="20" t="s">
        <v>396</v>
      </c>
      <c r="ER5095" s="20" t="s">
        <v>396</v>
      </c>
      <c r="ES5095" s="20" t="s">
        <v>396</v>
      </c>
      <c r="ET5095" s="20" t="s">
        <v>396</v>
      </c>
      <c r="EU5095" s="20" t="s">
        <v>389</v>
      </c>
      <c r="EV5095" s="20" t="s">
        <v>389</v>
      </c>
      <c r="EW5095" s="20" t="s">
        <v>370</v>
      </c>
      <c r="EX5095" s="20">
        <v>8.8699999999999992</v>
      </c>
      <c r="EY5095" s="20" t="s">
        <v>370</v>
      </c>
      <c r="EZ5095" s="20">
        <v>0.871</v>
      </c>
      <c r="FA5095" s="20" t="s">
        <v>370</v>
      </c>
      <c r="FB5095" s="20">
        <v>0.69699999999999995</v>
      </c>
      <c r="FC5095" s="20" t="s">
        <v>370</v>
      </c>
      <c r="FD5095" s="20">
        <v>2.3199999999999998</v>
      </c>
      <c r="FE5095" s="20" t="s">
        <v>370</v>
      </c>
      <c r="FF5095" s="20">
        <v>1.1599999999999999</v>
      </c>
      <c r="FG5095" s="20" t="s">
        <v>370</v>
      </c>
      <c r="FH5095" s="20">
        <v>0.57999999999999996</v>
      </c>
      <c r="FI5095" s="20" t="s">
        <v>370</v>
      </c>
      <c r="FJ5095" s="20">
        <v>0.28999999999999998</v>
      </c>
      <c r="FK5095" s="20" t="s">
        <v>370</v>
      </c>
      <c r="FL5095" s="20">
        <v>4.9799999999999997E-2</v>
      </c>
      <c r="FM5095" s="20" t="s">
        <v>397</v>
      </c>
      <c r="FN5095" s="20" t="s">
        <v>398</v>
      </c>
      <c r="FO5095" s="20" t="s">
        <v>399</v>
      </c>
      <c r="FP5095" s="20" t="s">
        <v>400</v>
      </c>
      <c r="FQ5095" s="20" t="s">
        <v>401</v>
      </c>
      <c r="FR5095" s="20" t="s">
        <v>402</v>
      </c>
      <c r="FS5095" s="20" t="s">
        <v>403</v>
      </c>
      <c r="FT5095" s="20" t="s">
        <v>370</v>
      </c>
      <c r="FU5095" s="20">
        <v>4570</v>
      </c>
      <c r="FV5095" s="20" t="s">
        <v>370</v>
      </c>
      <c r="FW5095" s="20">
        <v>4850</v>
      </c>
      <c r="FX5095" s="20" t="s">
        <v>386</v>
      </c>
    </row>
    <row r="5096" spans="1:180" x14ac:dyDescent="0.3">
      <c r="A5096" s="1">
        <v>91384</v>
      </c>
      <c r="B5096" s="1" t="s">
        <v>310</v>
      </c>
      <c r="C5096" s="1" t="s">
        <v>294</v>
      </c>
      <c r="D5096" s="1">
        <v>2022</v>
      </c>
      <c r="E5096" s="1">
        <v>8</v>
      </c>
      <c r="G5096" s="4" t="s">
        <v>363</v>
      </c>
      <c r="H5096" s="1" t="s">
        <v>404</v>
      </c>
      <c r="I5096" s="1" t="s">
        <v>405</v>
      </c>
      <c r="J5096" s="1" t="s">
        <v>181</v>
      </c>
      <c r="K5096" s="1"/>
      <c r="L5096" s="1" t="s">
        <v>181</v>
      </c>
      <c r="M5096" s="1" t="s">
        <v>225</v>
      </c>
      <c r="N5096" s="1">
        <v>0</v>
      </c>
      <c r="O5096" s="1">
        <v>2</v>
      </c>
      <c r="BR5096" s="1" t="s">
        <v>364</v>
      </c>
      <c r="BT5096" s="1" t="s">
        <v>365</v>
      </c>
      <c r="BU5096" s="1">
        <v>0.64</v>
      </c>
      <c r="BW5096" s="1">
        <v>4.4000000000000004</v>
      </c>
      <c r="BX5096" s="1" t="s">
        <v>366</v>
      </c>
      <c r="BY5096" s="1">
        <v>0.7</v>
      </c>
      <c r="CG5096" s="1">
        <v>0.76999999999999991</v>
      </c>
      <c r="CI5096" s="1" t="s">
        <v>367</v>
      </c>
      <c r="CN5096" s="1">
        <v>14</v>
      </c>
      <c r="DH5096" s="1">
        <v>2</v>
      </c>
      <c r="DI5096" s="1">
        <v>2.5</v>
      </c>
      <c r="DJ5096" s="20" t="s">
        <v>368</v>
      </c>
      <c r="DK5096" s="20">
        <v>3.2</v>
      </c>
      <c r="DL5096" s="20">
        <v>0.75</v>
      </c>
      <c r="DM5096" s="20" t="s">
        <v>368</v>
      </c>
      <c r="DN5096" s="20">
        <v>1.6</v>
      </c>
      <c r="DO5096" s="20">
        <v>2.2999999999999998</v>
      </c>
      <c r="DP5096" s="20">
        <v>2.2999999999999998</v>
      </c>
      <c r="DQ5096" s="20" t="s">
        <v>368</v>
      </c>
      <c r="DR5096" s="20">
        <v>3</v>
      </c>
      <c r="DS5096" s="20">
        <v>18</v>
      </c>
      <c r="DT5096" s="20">
        <v>6.8</v>
      </c>
      <c r="DU5096" s="20" t="s">
        <v>406</v>
      </c>
      <c r="DV5096" s="20" t="s">
        <v>406</v>
      </c>
      <c r="DW5096" s="20" t="s">
        <v>406</v>
      </c>
      <c r="DX5096" s="20" t="s">
        <v>370</v>
      </c>
      <c r="DY5096" s="20" t="s">
        <v>407</v>
      </c>
      <c r="DZ5096" s="20" t="s">
        <v>407</v>
      </c>
      <c r="EA5096" s="20" t="s">
        <v>407</v>
      </c>
      <c r="EB5096" s="20" t="s">
        <v>408</v>
      </c>
      <c r="EC5096" s="20" t="s">
        <v>408</v>
      </c>
      <c r="ED5096" s="20" t="s">
        <v>408</v>
      </c>
      <c r="EE5096" s="20" t="s">
        <v>408</v>
      </c>
      <c r="EF5096" s="20" t="s">
        <v>409</v>
      </c>
      <c r="EG5096" s="20" t="s">
        <v>410</v>
      </c>
      <c r="EH5096" s="20" t="s">
        <v>410</v>
      </c>
      <c r="EI5096" s="20" t="s">
        <v>410</v>
      </c>
      <c r="EJ5096" s="20" t="s">
        <v>411</v>
      </c>
      <c r="EK5096" s="20" t="s">
        <v>411</v>
      </c>
      <c r="EL5096" s="20" t="s">
        <v>412</v>
      </c>
      <c r="EM5096" s="20" t="s">
        <v>412</v>
      </c>
      <c r="EN5096" s="20" t="s">
        <v>413</v>
      </c>
      <c r="EO5096" s="20" t="s">
        <v>409</v>
      </c>
      <c r="EP5096" s="20" t="s">
        <v>414</v>
      </c>
      <c r="EQ5096" s="20" t="s">
        <v>414</v>
      </c>
      <c r="ER5096" s="20" t="s">
        <v>414</v>
      </c>
      <c r="ES5096" s="20" t="s">
        <v>414</v>
      </c>
      <c r="ET5096" s="20" t="s">
        <v>414</v>
      </c>
      <c r="EU5096" s="20" t="s">
        <v>407</v>
      </c>
      <c r="EV5096" s="20" t="s">
        <v>407</v>
      </c>
      <c r="EW5096" s="20" t="s">
        <v>370</v>
      </c>
      <c r="EX5096" s="20">
        <v>9.01</v>
      </c>
      <c r="EY5096" s="20" t="s">
        <v>370</v>
      </c>
      <c r="EZ5096" s="20">
        <v>0.88400000000000001</v>
      </c>
      <c r="FA5096" s="20" t="s">
        <v>370</v>
      </c>
      <c r="FB5096" s="20">
        <v>0.70699999999999996</v>
      </c>
      <c r="FC5096" s="20" t="s">
        <v>370</v>
      </c>
      <c r="FD5096" s="20">
        <v>2.36</v>
      </c>
      <c r="FE5096" s="20" t="s">
        <v>370</v>
      </c>
      <c r="FF5096" s="20">
        <v>1.18</v>
      </c>
      <c r="FG5096" s="20" t="s">
        <v>370</v>
      </c>
      <c r="FH5096" s="20">
        <v>0.58899999999999997</v>
      </c>
      <c r="FI5096" s="20" t="s">
        <v>370</v>
      </c>
      <c r="FJ5096" s="20">
        <v>0.29499999999999998</v>
      </c>
      <c r="FK5096" s="20" t="s">
        <v>370</v>
      </c>
      <c r="FL5096" s="20">
        <v>5.0500000000000003E-2</v>
      </c>
      <c r="FM5096" s="20" t="s">
        <v>415</v>
      </c>
      <c r="FN5096" s="20" t="s">
        <v>416</v>
      </c>
      <c r="FO5096" s="20" t="s">
        <v>417</v>
      </c>
      <c r="FP5096" s="20" t="s">
        <v>418</v>
      </c>
      <c r="FQ5096" s="20" t="s">
        <v>419</v>
      </c>
      <c r="FR5096" s="20" t="s">
        <v>420</v>
      </c>
      <c r="FS5096" s="20" t="s">
        <v>421</v>
      </c>
      <c r="FT5096" s="20" t="s">
        <v>370</v>
      </c>
      <c r="FU5096" s="20">
        <v>3860</v>
      </c>
      <c r="FV5096" s="20" t="s">
        <v>370</v>
      </c>
      <c r="FW5096" s="20">
        <v>4100</v>
      </c>
      <c r="FX5096" s="20" t="s">
        <v>386</v>
      </c>
    </row>
    <row r="5097" spans="1:180" x14ac:dyDescent="0.3">
      <c r="A5097" s="1">
        <v>91385</v>
      </c>
      <c r="B5097" s="1" t="s">
        <v>310</v>
      </c>
      <c r="C5097" s="1" t="s">
        <v>294</v>
      </c>
      <c r="D5097" s="1">
        <v>2022</v>
      </c>
      <c r="E5097" s="1">
        <v>8</v>
      </c>
      <c r="G5097" s="4" t="s">
        <v>387</v>
      </c>
      <c r="H5097" s="1" t="s">
        <v>320</v>
      </c>
      <c r="I5097" s="1" t="s">
        <v>321</v>
      </c>
      <c r="J5097" s="1" t="s">
        <v>185</v>
      </c>
      <c r="K5097" s="1"/>
      <c r="L5097" s="1" t="s">
        <v>185</v>
      </c>
      <c r="M5097" s="1" t="s">
        <v>225</v>
      </c>
      <c r="N5097" s="1">
        <v>0</v>
      </c>
      <c r="O5097" s="1">
        <v>2</v>
      </c>
      <c r="BR5097" s="1" t="s">
        <v>364</v>
      </c>
      <c r="BT5097" s="1">
        <v>0.12999999999999998</v>
      </c>
      <c r="BU5097" s="1">
        <v>0.18000000000000002</v>
      </c>
      <c r="BW5097" s="1">
        <v>0.25</v>
      </c>
      <c r="BX5097" s="1" t="s">
        <v>366</v>
      </c>
      <c r="BY5097" s="1">
        <v>0.86</v>
      </c>
      <c r="CG5097" s="1">
        <v>0.33</v>
      </c>
      <c r="CI5097" s="1" t="s">
        <v>367</v>
      </c>
      <c r="CN5097" s="1">
        <v>0.87</v>
      </c>
      <c r="DH5097" s="1">
        <v>0.88</v>
      </c>
      <c r="DI5097" s="1">
        <v>1.1000000000000001</v>
      </c>
      <c r="DJ5097" s="20" t="s">
        <v>368</v>
      </c>
      <c r="DK5097" s="20">
        <v>4.9000000000000004</v>
      </c>
      <c r="DL5097" s="20">
        <v>0.65</v>
      </c>
      <c r="DM5097" s="20" t="s">
        <v>368</v>
      </c>
      <c r="DN5097" s="20">
        <v>0.89</v>
      </c>
      <c r="DO5097" s="20">
        <v>1.4</v>
      </c>
      <c r="DP5097" s="20">
        <v>0.75</v>
      </c>
      <c r="DQ5097" s="20">
        <v>0.3</v>
      </c>
      <c r="DR5097" s="20">
        <v>1.2</v>
      </c>
      <c r="DS5097" s="20">
        <v>12</v>
      </c>
      <c r="DT5097" s="20">
        <v>3</v>
      </c>
      <c r="DU5097" s="20" t="s">
        <v>422</v>
      </c>
      <c r="DV5097" s="20" t="s">
        <v>422</v>
      </c>
      <c r="DW5097" s="20" t="s">
        <v>422</v>
      </c>
      <c r="DX5097" s="20" t="s">
        <v>370</v>
      </c>
      <c r="DY5097" s="20" t="s">
        <v>423</v>
      </c>
      <c r="DZ5097" s="20" t="s">
        <v>423</v>
      </c>
      <c r="EA5097" s="20" t="s">
        <v>423</v>
      </c>
      <c r="EB5097" s="20" t="s">
        <v>424</v>
      </c>
      <c r="EC5097" s="20" t="s">
        <v>424</v>
      </c>
      <c r="ED5097" s="20" t="s">
        <v>424</v>
      </c>
      <c r="EE5097" s="20" t="s">
        <v>424</v>
      </c>
      <c r="EF5097" s="20" t="s">
        <v>425</v>
      </c>
      <c r="EG5097" s="20" t="s">
        <v>426</v>
      </c>
      <c r="EH5097" s="20" t="s">
        <v>426</v>
      </c>
      <c r="EI5097" s="20" t="s">
        <v>426</v>
      </c>
      <c r="EJ5097" s="20" t="s">
        <v>427</v>
      </c>
      <c r="EK5097" s="20" t="s">
        <v>427</v>
      </c>
      <c r="EL5097" s="20" t="s">
        <v>428</v>
      </c>
      <c r="EM5097" s="20" t="s">
        <v>428</v>
      </c>
      <c r="EN5097" s="20" t="s">
        <v>429</v>
      </c>
      <c r="EO5097" s="20" t="s">
        <v>425</v>
      </c>
      <c r="EP5097" s="20" t="s">
        <v>430</v>
      </c>
      <c r="EQ5097" s="20" t="s">
        <v>430</v>
      </c>
      <c r="ER5097" s="20" t="s">
        <v>430</v>
      </c>
      <c r="ES5097" s="20" t="s">
        <v>430</v>
      </c>
      <c r="ET5097" s="20" t="s">
        <v>430</v>
      </c>
      <c r="EU5097" s="20" t="s">
        <v>423</v>
      </c>
      <c r="EV5097" s="20" t="s">
        <v>423</v>
      </c>
      <c r="EW5097" s="20" t="s">
        <v>370</v>
      </c>
      <c r="EX5097" s="20">
        <v>8.92</v>
      </c>
      <c r="EY5097" s="20" t="s">
        <v>370</v>
      </c>
      <c r="EZ5097" s="20">
        <v>0.875</v>
      </c>
      <c r="FA5097" s="20" t="s">
        <v>370</v>
      </c>
      <c r="FB5097" s="20">
        <v>0.7</v>
      </c>
      <c r="FC5097" s="20" t="s">
        <v>370</v>
      </c>
      <c r="FD5097" s="20">
        <v>2.33</v>
      </c>
      <c r="FE5097" s="20" t="s">
        <v>370</v>
      </c>
      <c r="FF5097" s="20">
        <v>1.17</v>
      </c>
      <c r="FG5097" s="20" t="s">
        <v>370</v>
      </c>
      <c r="FH5097" s="20">
        <v>0.58299999999999996</v>
      </c>
      <c r="FI5097" s="20" t="s">
        <v>370</v>
      </c>
      <c r="FJ5097" s="20">
        <v>0.29199999999999998</v>
      </c>
      <c r="FK5097" s="20" t="s">
        <v>370</v>
      </c>
      <c r="FL5097" s="20">
        <v>0.05</v>
      </c>
      <c r="FM5097" s="20" t="s">
        <v>431</v>
      </c>
      <c r="FN5097" s="20" t="s">
        <v>432</v>
      </c>
      <c r="FO5097" s="20" t="s">
        <v>433</v>
      </c>
      <c r="FP5097" s="20" t="s">
        <v>434</v>
      </c>
      <c r="FQ5097" s="20" t="s">
        <v>435</v>
      </c>
      <c r="FR5097" s="20" t="s">
        <v>436</v>
      </c>
      <c r="FS5097" s="20" t="s">
        <v>437</v>
      </c>
      <c r="FT5097" s="20" t="s">
        <v>370</v>
      </c>
      <c r="FU5097" s="20">
        <v>4590</v>
      </c>
      <c r="FV5097" s="20" t="s">
        <v>370</v>
      </c>
      <c r="FW5097" s="20">
        <v>4870</v>
      </c>
      <c r="FX5097" s="20" t="s">
        <v>386</v>
      </c>
    </row>
    <row r="5098" spans="1:180" x14ac:dyDescent="0.3">
      <c r="A5098" s="1">
        <v>91386</v>
      </c>
      <c r="B5098" s="1" t="s">
        <v>310</v>
      </c>
      <c r="C5098" s="1" t="s">
        <v>294</v>
      </c>
      <c r="D5098" s="1">
        <v>2022</v>
      </c>
      <c r="E5098" s="1">
        <v>8</v>
      </c>
      <c r="G5098" s="4" t="s">
        <v>387</v>
      </c>
      <c r="H5098" s="1" t="s">
        <v>326</v>
      </c>
      <c r="I5098" s="1" t="s">
        <v>327</v>
      </c>
      <c r="J5098" s="1" t="s">
        <v>201</v>
      </c>
      <c r="K5098" s="1"/>
      <c r="L5098" s="1" t="s">
        <v>201</v>
      </c>
      <c r="M5098" s="1" t="s">
        <v>225</v>
      </c>
      <c r="N5098" s="1">
        <v>0</v>
      </c>
      <c r="O5098" s="1">
        <v>2</v>
      </c>
      <c r="BR5098" s="1" t="s">
        <v>364</v>
      </c>
      <c r="BT5098" s="1">
        <v>0.15</v>
      </c>
      <c r="BU5098" s="1">
        <v>1.1000000000000001</v>
      </c>
      <c r="BW5098" s="1">
        <v>0.65</v>
      </c>
      <c r="BX5098" s="1" t="s">
        <v>366</v>
      </c>
      <c r="BY5098" s="1">
        <v>3</v>
      </c>
      <c r="CG5098" s="1">
        <v>0.71</v>
      </c>
      <c r="CI5098" s="1" t="s">
        <v>367</v>
      </c>
      <c r="CN5098" s="1">
        <v>3.7</v>
      </c>
      <c r="DH5098" s="1">
        <v>2.5</v>
      </c>
      <c r="DI5098" s="1">
        <v>9</v>
      </c>
      <c r="DJ5098" s="20">
        <v>0.45</v>
      </c>
      <c r="DK5098" s="20">
        <v>4.7</v>
      </c>
      <c r="DL5098" s="20">
        <v>1.6</v>
      </c>
      <c r="DM5098" s="20">
        <v>1.1000000000000001</v>
      </c>
      <c r="DN5098" s="20">
        <v>3.6</v>
      </c>
      <c r="DO5098" s="20">
        <v>4</v>
      </c>
      <c r="DP5098" s="20">
        <v>1.2</v>
      </c>
      <c r="DQ5098" s="20">
        <v>1.3</v>
      </c>
      <c r="DR5098" s="20">
        <v>2.6</v>
      </c>
      <c r="DS5098" s="20">
        <v>32</v>
      </c>
      <c r="DT5098" s="20">
        <v>14</v>
      </c>
      <c r="DU5098" s="20" t="s">
        <v>438</v>
      </c>
      <c r="DV5098" s="20" t="s">
        <v>438</v>
      </c>
      <c r="DW5098" s="20" t="s">
        <v>438</v>
      </c>
      <c r="DX5098" s="20" t="s">
        <v>370</v>
      </c>
      <c r="DY5098" s="20" t="s">
        <v>389</v>
      </c>
      <c r="DZ5098" s="20" t="s">
        <v>389</v>
      </c>
      <c r="EA5098" s="20" t="s">
        <v>389</v>
      </c>
      <c r="EB5098" s="20" t="s">
        <v>439</v>
      </c>
      <c r="EC5098" s="20" t="s">
        <v>439</v>
      </c>
      <c r="ED5098" s="20" t="s">
        <v>439</v>
      </c>
      <c r="EE5098" s="20" t="s">
        <v>439</v>
      </c>
      <c r="EF5098" s="20" t="s">
        <v>440</v>
      </c>
      <c r="EG5098" s="20" t="s">
        <v>441</v>
      </c>
      <c r="EH5098" s="20" t="s">
        <v>441</v>
      </c>
      <c r="EI5098" s="20" t="s">
        <v>441</v>
      </c>
      <c r="EJ5098" s="20" t="s">
        <v>442</v>
      </c>
      <c r="EK5098" s="20" t="s">
        <v>442</v>
      </c>
      <c r="EL5098" s="20" t="s">
        <v>394</v>
      </c>
      <c r="EM5098" s="20" t="s">
        <v>394</v>
      </c>
      <c r="EN5098" s="20" t="s">
        <v>443</v>
      </c>
      <c r="EO5098" s="20" t="s">
        <v>440</v>
      </c>
      <c r="EP5098" s="20" t="s">
        <v>444</v>
      </c>
      <c r="EQ5098" s="20" t="s">
        <v>444</v>
      </c>
      <c r="ER5098" s="20" t="s">
        <v>444</v>
      </c>
      <c r="ES5098" s="20" t="s">
        <v>444</v>
      </c>
      <c r="ET5098" s="20" t="s">
        <v>444</v>
      </c>
      <c r="EU5098" s="20" t="s">
        <v>389</v>
      </c>
      <c r="EV5098" s="20" t="s">
        <v>389</v>
      </c>
      <c r="EW5098" s="20" t="s">
        <v>370</v>
      </c>
      <c r="EX5098" s="20">
        <v>8.83</v>
      </c>
      <c r="EY5098" s="20" t="s">
        <v>370</v>
      </c>
      <c r="EZ5098" s="20">
        <v>0.86599999999999999</v>
      </c>
      <c r="FA5098" s="20" t="s">
        <v>370</v>
      </c>
      <c r="FB5098" s="20">
        <v>0.69299999999999995</v>
      </c>
      <c r="FC5098" s="20" t="s">
        <v>370</v>
      </c>
      <c r="FD5098" s="20">
        <v>2.31</v>
      </c>
      <c r="FE5098" s="20" t="s">
        <v>370</v>
      </c>
      <c r="FF5098" s="20">
        <v>1.1599999999999999</v>
      </c>
      <c r="FG5098" s="20" t="s">
        <v>370</v>
      </c>
      <c r="FH5098" s="20">
        <v>0.57799999999999996</v>
      </c>
      <c r="FI5098" s="20" t="s">
        <v>370</v>
      </c>
      <c r="FJ5098" s="20">
        <v>0.28899999999999998</v>
      </c>
      <c r="FK5098" s="20" t="s">
        <v>370</v>
      </c>
      <c r="FL5098" s="20">
        <v>4.9500000000000002E-2</v>
      </c>
      <c r="FM5098" s="20" t="s">
        <v>445</v>
      </c>
      <c r="FN5098" s="20" t="s">
        <v>446</v>
      </c>
      <c r="FO5098" s="20" t="s">
        <v>447</v>
      </c>
      <c r="FP5098" s="20" t="s">
        <v>400</v>
      </c>
      <c r="FQ5098" s="20" t="s">
        <v>448</v>
      </c>
      <c r="FR5098" s="20" t="s">
        <v>449</v>
      </c>
      <c r="FS5098" s="20" t="s">
        <v>450</v>
      </c>
      <c r="FT5098" s="20" t="s">
        <v>370</v>
      </c>
      <c r="FU5098" s="20">
        <v>4540</v>
      </c>
      <c r="FV5098" s="20" t="s">
        <v>370</v>
      </c>
      <c r="FW5098" s="20">
        <v>4820</v>
      </c>
      <c r="FX5098" s="20" t="s">
        <v>386</v>
      </c>
    </row>
    <row r="5099" spans="1:180" x14ac:dyDescent="0.3">
      <c r="A5099" s="1">
        <v>91387</v>
      </c>
      <c r="B5099" s="1" t="s">
        <v>310</v>
      </c>
      <c r="C5099" s="1" t="s">
        <v>294</v>
      </c>
      <c r="D5099" s="1">
        <v>2022</v>
      </c>
      <c r="E5099" s="1">
        <v>8</v>
      </c>
      <c r="G5099" s="4">
        <v>44782</v>
      </c>
      <c r="H5099" s="1" t="s">
        <v>338</v>
      </c>
      <c r="I5099" s="1" t="s">
        <v>339</v>
      </c>
      <c r="J5099" s="1" t="s">
        <v>186</v>
      </c>
      <c r="K5099" s="1">
        <v>4</v>
      </c>
      <c r="L5099" s="1" t="s">
        <v>340</v>
      </c>
      <c r="M5099" s="1" t="s">
        <v>225</v>
      </c>
      <c r="N5099" s="1">
        <v>0</v>
      </c>
      <c r="O5099" s="1">
        <v>2</v>
      </c>
      <c r="BR5099" s="1" t="s">
        <v>364</v>
      </c>
      <c r="BT5099" s="1" t="s">
        <v>365</v>
      </c>
      <c r="BU5099" s="1">
        <v>1.1000000000000001</v>
      </c>
      <c r="BW5099" s="1">
        <v>1.5</v>
      </c>
      <c r="BX5099" s="1">
        <v>1.9E-2</v>
      </c>
      <c r="BY5099" s="1">
        <v>0.8</v>
      </c>
      <c r="CG5099" s="1">
        <v>1.2</v>
      </c>
      <c r="CI5099" s="1" t="s">
        <v>367</v>
      </c>
      <c r="CN5099" s="1">
        <v>10</v>
      </c>
      <c r="DH5099" s="1">
        <v>5.9</v>
      </c>
      <c r="DI5099" s="1">
        <v>5.0999999999999996</v>
      </c>
      <c r="DJ5099" s="20" t="s">
        <v>368</v>
      </c>
      <c r="DK5099" s="20">
        <v>6.1</v>
      </c>
      <c r="DL5099" s="20">
        <v>1.9</v>
      </c>
      <c r="DM5099" s="20" t="s">
        <v>368</v>
      </c>
      <c r="DN5099" s="20">
        <v>3.7</v>
      </c>
      <c r="DO5099" s="20">
        <v>5.7</v>
      </c>
      <c r="DP5099" s="20">
        <v>2</v>
      </c>
      <c r="DQ5099" s="20">
        <v>0.61</v>
      </c>
      <c r="DR5099" s="20">
        <v>6</v>
      </c>
      <c r="DS5099" s="20">
        <v>37</v>
      </c>
      <c r="DT5099" s="20">
        <v>14</v>
      </c>
      <c r="DU5099" s="20" t="s">
        <v>406</v>
      </c>
      <c r="DV5099" s="20" t="s">
        <v>406</v>
      </c>
      <c r="DW5099" s="20" t="s">
        <v>406</v>
      </c>
      <c r="DX5099" s="20" t="s">
        <v>370</v>
      </c>
      <c r="DY5099" s="20" t="s">
        <v>407</v>
      </c>
      <c r="DZ5099" s="20" t="s">
        <v>407</v>
      </c>
      <c r="EA5099" s="20" t="s">
        <v>407</v>
      </c>
      <c r="EB5099" s="20" t="s">
        <v>408</v>
      </c>
      <c r="EC5099" s="20" t="s">
        <v>408</v>
      </c>
      <c r="ED5099" s="20" t="s">
        <v>408</v>
      </c>
      <c r="EE5099" s="20" t="s">
        <v>408</v>
      </c>
      <c r="EF5099" s="20" t="s">
        <v>409</v>
      </c>
      <c r="EG5099" s="20" t="s">
        <v>410</v>
      </c>
      <c r="EH5099" s="20" t="s">
        <v>410</v>
      </c>
      <c r="EI5099" s="20" t="s">
        <v>410</v>
      </c>
      <c r="EJ5099" s="20" t="s">
        <v>411</v>
      </c>
      <c r="EK5099" s="20" t="s">
        <v>411</v>
      </c>
      <c r="EL5099" s="20" t="s">
        <v>412</v>
      </c>
      <c r="EM5099" s="20" t="s">
        <v>412</v>
      </c>
      <c r="EN5099" s="20" t="s">
        <v>413</v>
      </c>
      <c r="EO5099" s="20" t="s">
        <v>409</v>
      </c>
      <c r="EP5099" s="20" t="s">
        <v>414</v>
      </c>
      <c r="EQ5099" s="20" t="s">
        <v>414</v>
      </c>
      <c r="ER5099" s="20" t="s">
        <v>414</v>
      </c>
      <c r="ES5099" s="20" t="s">
        <v>414</v>
      </c>
      <c r="ET5099" s="20" t="s">
        <v>414</v>
      </c>
      <c r="EU5099" s="20" t="s">
        <v>407</v>
      </c>
      <c r="EV5099" s="20" t="s">
        <v>407</v>
      </c>
      <c r="EW5099" s="20" t="s">
        <v>370</v>
      </c>
      <c r="EX5099" s="20">
        <v>9.01</v>
      </c>
      <c r="EY5099" s="20" t="s">
        <v>370</v>
      </c>
      <c r="EZ5099" s="20">
        <v>0.88400000000000001</v>
      </c>
      <c r="FA5099" s="20" t="s">
        <v>370</v>
      </c>
      <c r="FB5099" s="20">
        <v>0.70699999999999996</v>
      </c>
      <c r="FC5099" s="20" t="s">
        <v>370</v>
      </c>
      <c r="FD5099" s="20">
        <v>2.36</v>
      </c>
      <c r="FE5099" s="20" t="s">
        <v>370</v>
      </c>
      <c r="FF5099" s="20">
        <v>1.18</v>
      </c>
      <c r="FG5099" s="20" t="s">
        <v>370</v>
      </c>
      <c r="FH5099" s="20">
        <v>0.58899999999999997</v>
      </c>
      <c r="FI5099" s="20" t="s">
        <v>370</v>
      </c>
      <c r="FJ5099" s="20">
        <v>0.29499999999999998</v>
      </c>
      <c r="FK5099" s="20" t="s">
        <v>370</v>
      </c>
      <c r="FL5099" s="20">
        <v>5.0500000000000003E-2</v>
      </c>
      <c r="FM5099" s="20" t="s">
        <v>415</v>
      </c>
      <c r="FN5099" s="20" t="s">
        <v>416</v>
      </c>
      <c r="FO5099" s="20" t="s">
        <v>417</v>
      </c>
      <c r="FP5099" s="20" t="s">
        <v>418</v>
      </c>
      <c r="FQ5099" s="20" t="s">
        <v>419</v>
      </c>
      <c r="FR5099" s="20" t="s">
        <v>420</v>
      </c>
      <c r="FS5099" s="20" t="s">
        <v>421</v>
      </c>
      <c r="FT5099" s="20" t="s">
        <v>370</v>
      </c>
      <c r="FU5099" s="20">
        <v>3860</v>
      </c>
      <c r="FV5099" s="20" t="s">
        <v>370</v>
      </c>
      <c r="FW5099" s="20">
        <v>4100</v>
      </c>
      <c r="FX5099" s="20" t="s">
        <v>386</v>
      </c>
    </row>
    <row r="5100" spans="1:180" x14ac:dyDescent="0.3">
      <c r="A5100" s="1">
        <v>91388</v>
      </c>
      <c r="B5100" s="1" t="s">
        <v>310</v>
      </c>
      <c r="C5100" s="1" t="s">
        <v>294</v>
      </c>
      <c r="D5100" s="1">
        <v>2022</v>
      </c>
      <c r="E5100" s="1">
        <v>8</v>
      </c>
      <c r="G5100" s="4" t="s">
        <v>363</v>
      </c>
      <c r="H5100" s="1" t="s">
        <v>341</v>
      </c>
      <c r="I5100" s="1" t="s">
        <v>342</v>
      </c>
      <c r="J5100" s="1" t="s">
        <v>187</v>
      </c>
      <c r="K5100" s="1"/>
      <c r="L5100" s="1" t="s">
        <v>187</v>
      </c>
      <c r="M5100" s="1" t="s">
        <v>225</v>
      </c>
      <c r="N5100" s="1">
        <v>0</v>
      </c>
      <c r="O5100" s="1">
        <v>2</v>
      </c>
      <c r="BR5100" s="1" t="s">
        <v>364</v>
      </c>
      <c r="BT5100" s="1">
        <v>0.11</v>
      </c>
      <c r="BU5100" s="1">
        <v>1.1000000000000001</v>
      </c>
      <c r="BW5100" s="1">
        <v>3.2</v>
      </c>
      <c r="BX5100" s="1" t="s">
        <v>366</v>
      </c>
      <c r="BY5100" s="1">
        <v>0.73</v>
      </c>
      <c r="CG5100" s="1">
        <v>1.2</v>
      </c>
      <c r="CI5100" s="1" t="s">
        <v>367</v>
      </c>
      <c r="CN5100" s="1">
        <v>11</v>
      </c>
      <c r="DH5100" s="1">
        <v>4</v>
      </c>
      <c r="DI5100" s="1">
        <v>3.6</v>
      </c>
      <c r="DJ5100" s="20" t="s">
        <v>368</v>
      </c>
      <c r="DK5100" s="20">
        <v>4.2</v>
      </c>
      <c r="DL5100" s="20">
        <v>1.3</v>
      </c>
      <c r="DM5100" s="20" t="s">
        <v>368</v>
      </c>
      <c r="DN5100" s="20">
        <v>2.4</v>
      </c>
      <c r="DO5100" s="20">
        <v>4.3</v>
      </c>
      <c r="DP5100" s="20">
        <v>1.8</v>
      </c>
      <c r="DQ5100" s="20">
        <v>0.51</v>
      </c>
      <c r="DR5100" s="20">
        <v>4.8</v>
      </c>
      <c r="DS5100" s="20">
        <v>27</v>
      </c>
      <c r="DT5100" s="20">
        <v>9.9</v>
      </c>
      <c r="DU5100" s="20" t="s">
        <v>406</v>
      </c>
      <c r="DV5100" s="20" t="s">
        <v>406</v>
      </c>
      <c r="DW5100" s="20" t="s">
        <v>406</v>
      </c>
      <c r="DX5100" s="20" t="s">
        <v>370</v>
      </c>
      <c r="DY5100" s="20" t="s">
        <v>407</v>
      </c>
      <c r="DZ5100" s="20" t="s">
        <v>407</v>
      </c>
      <c r="EA5100" s="20" t="s">
        <v>407</v>
      </c>
      <c r="EB5100" s="20" t="s">
        <v>408</v>
      </c>
      <c r="EC5100" s="20" t="s">
        <v>408</v>
      </c>
      <c r="ED5100" s="20" t="s">
        <v>408</v>
      </c>
      <c r="EE5100" s="20" t="s">
        <v>408</v>
      </c>
      <c r="EF5100" s="20" t="s">
        <v>409</v>
      </c>
      <c r="EG5100" s="20" t="s">
        <v>410</v>
      </c>
      <c r="EH5100" s="20" t="s">
        <v>410</v>
      </c>
      <c r="EI5100" s="20" t="s">
        <v>410</v>
      </c>
      <c r="EJ5100" s="20" t="s">
        <v>411</v>
      </c>
      <c r="EK5100" s="20" t="s">
        <v>411</v>
      </c>
      <c r="EL5100" s="20" t="s">
        <v>412</v>
      </c>
      <c r="EM5100" s="20" t="s">
        <v>412</v>
      </c>
      <c r="EN5100" s="20" t="s">
        <v>413</v>
      </c>
      <c r="EO5100" s="20" t="s">
        <v>409</v>
      </c>
      <c r="EP5100" s="20" t="s">
        <v>414</v>
      </c>
      <c r="EQ5100" s="20" t="s">
        <v>414</v>
      </c>
      <c r="ER5100" s="20" t="s">
        <v>414</v>
      </c>
      <c r="ES5100" s="20" t="s">
        <v>414</v>
      </c>
      <c r="ET5100" s="20" t="s">
        <v>414</v>
      </c>
      <c r="EU5100" s="20" t="s">
        <v>407</v>
      </c>
      <c r="EV5100" s="20" t="s">
        <v>407</v>
      </c>
      <c r="EW5100" s="20" t="s">
        <v>370</v>
      </c>
      <c r="EX5100" s="20">
        <v>9.01</v>
      </c>
      <c r="EY5100" s="20" t="s">
        <v>370</v>
      </c>
      <c r="EZ5100" s="20">
        <v>0.88400000000000001</v>
      </c>
      <c r="FA5100" s="20" t="s">
        <v>370</v>
      </c>
      <c r="FB5100" s="20">
        <v>0.70699999999999996</v>
      </c>
      <c r="FC5100" s="20" t="s">
        <v>370</v>
      </c>
      <c r="FD5100" s="20">
        <v>2.36</v>
      </c>
      <c r="FE5100" s="20" t="s">
        <v>370</v>
      </c>
      <c r="FF5100" s="20">
        <v>1.18</v>
      </c>
      <c r="FG5100" s="20" t="s">
        <v>370</v>
      </c>
      <c r="FH5100" s="20">
        <v>0.58899999999999997</v>
      </c>
      <c r="FI5100" s="20" t="s">
        <v>370</v>
      </c>
      <c r="FJ5100" s="20">
        <v>0.29499999999999998</v>
      </c>
      <c r="FK5100" s="20" t="s">
        <v>370</v>
      </c>
      <c r="FL5100" s="20">
        <v>5.0500000000000003E-2</v>
      </c>
      <c r="FM5100" s="20">
        <v>940</v>
      </c>
      <c r="FN5100" s="20">
        <v>294</v>
      </c>
      <c r="FO5100" s="20" t="s">
        <v>417</v>
      </c>
      <c r="FP5100" s="20" t="s">
        <v>418</v>
      </c>
      <c r="FQ5100" s="20" t="s">
        <v>419</v>
      </c>
      <c r="FR5100" s="20">
        <v>4280</v>
      </c>
      <c r="FS5100" s="20">
        <v>3520</v>
      </c>
      <c r="FT5100" s="20">
        <v>8740</v>
      </c>
      <c r="FU5100" s="20">
        <v>10600</v>
      </c>
      <c r="FV5100" s="20">
        <v>9030</v>
      </c>
      <c r="FW5100" s="20">
        <v>10900</v>
      </c>
      <c r="FX5100" s="20" t="s">
        <v>386</v>
      </c>
    </row>
    <row r="5101" spans="1:180" x14ac:dyDescent="0.3">
      <c r="A5101" s="1">
        <v>91389</v>
      </c>
      <c r="B5101" s="1" t="s">
        <v>310</v>
      </c>
      <c r="C5101" s="1" t="s">
        <v>294</v>
      </c>
      <c r="D5101" s="1">
        <v>2022</v>
      </c>
      <c r="E5101" s="1">
        <v>8</v>
      </c>
      <c r="G5101" s="4" t="s">
        <v>387</v>
      </c>
      <c r="H5101" s="1" t="s">
        <v>344</v>
      </c>
      <c r="I5101" s="1" t="s">
        <v>345</v>
      </c>
      <c r="J5101" s="1" t="s">
        <v>188</v>
      </c>
      <c r="K5101" s="1"/>
      <c r="L5101" s="1" t="s">
        <v>188</v>
      </c>
      <c r="M5101" s="1" t="s">
        <v>225</v>
      </c>
      <c r="N5101" s="1">
        <v>0</v>
      </c>
      <c r="O5101" s="1">
        <v>2</v>
      </c>
      <c r="BR5101" s="1" t="s">
        <v>364</v>
      </c>
      <c r="BT5101" s="1" t="s">
        <v>365</v>
      </c>
      <c r="BU5101" s="1">
        <v>0.16</v>
      </c>
      <c r="BW5101" s="1">
        <v>0.2</v>
      </c>
      <c r="BX5101" s="1" t="s">
        <v>366</v>
      </c>
      <c r="BY5101" s="1">
        <v>0.28999999999999998</v>
      </c>
      <c r="CG5101" s="1">
        <v>0.46</v>
      </c>
      <c r="CI5101" s="1" t="s">
        <v>367</v>
      </c>
      <c r="CN5101" s="1">
        <v>3.2</v>
      </c>
      <c r="DH5101" s="1">
        <v>1</v>
      </c>
      <c r="DI5101" s="1">
        <v>1.9</v>
      </c>
      <c r="DJ5101" s="20" t="s">
        <v>368</v>
      </c>
      <c r="DK5101" s="20">
        <v>6.3</v>
      </c>
      <c r="DL5101" s="20">
        <v>0.92</v>
      </c>
      <c r="DM5101" s="20" t="s">
        <v>368</v>
      </c>
      <c r="DN5101" s="20">
        <v>3.7</v>
      </c>
      <c r="DO5101" s="20">
        <v>5.2</v>
      </c>
      <c r="DP5101" s="20">
        <v>0.69</v>
      </c>
      <c r="DQ5101" s="20" t="s">
        <v>368</v>
      </c>
      <c r="DR5101" s="20">
        <v>8.4</v>
      </c>
      <c r="DS5101" s="20">
        <v>28</v>
      </c>
      <c r="DT5101" s="20">
        <v>3.6</v>
      </c>
      <c r="DU5101" s="20" t="s">
        <v>451</v>
      </c>
      <c r="DV5101" s="20" t="s">
        <v>451</v>
      </c>
      <c r="DW5101" s="20" t="s">
        <v>451</v>
      </c>
      <c r="DX5101" s="20" t="s">
        <v>370</v>
      </c>
      <c r="DY5101" s="20" t="s">
        <v>389</v>
      </c>
      <c r="DZ5101" s="20" t="s">
        <v>389</v>
      </c>
      <c r="EA5101" s="20" t="s">
        <v>389</v>
      </c>
      <c r="EB5101" s="20" t="s">
        <v>390</v>
      </c>
      <c r="EC5101" s="20" t="s">
        <v>390</v>
      </c>
      <c r="ED5101" s="20" t="s">
        <v>390</v>
      </c>
      <c r="EE5101" s="20" t="s">
        <v>390</v>
      </c>
      <c r="EF5101" s="20" t="s">
        <v>391</v>
      </c>
      <c r="EG5101" s="20" t="s">
        <v>392</v>
      </c>
      <c r="EH5101" s="20" t="s">
        <v>392</v>
      </c>
      <c r="EI5101" s="20" t="s">
        <v>392</v>
      </c>
      <c r="EJ5101" s="20" t="s">
        <v>393</v>
      </c>
      <c r="EK5101" s="20" t="s">
        <v>393</v>
      </c>
      <c r="EL5101" s="20" t="s">
        <v>394</v>
      </c>
      <c r="EM5101" s="20" t="s">
        <v>394</v>
      </c>
      <c r="EN5101" s="20" t="s">
        <v>395</v>
      </c>
      <c r="EO5101" s="20" t="s">
        <v>391</v>
      </c>
      <c r="EP5101" s="20" t="s">
        <v>396</v>
      </c>
      <c r="EQ5101" s="20" t="s">
        <v>396</v>
      </c>
      <c r="ER5101" s="20" t="s">
        <v>396</v>
      </c>
      <c r="ES5101" s="20" t="s">
        <v>396</v>
      </c>
      <c r="ET5101" s="20" t="s">
        <v>396</v>
      </c>
      <c r="EU5101" s="20" t="s">
        <v>389</v>
      </c>
      <c r="EV5101" s="20" t="s">
        <v>389</v>
      </c>
      <c r="EW5101" s="20" t="s">
        <v>370</v>
      </c>
      <c r="EX5101" s="20">
        <v>8.8699999999999992</v>
      </c>
      <c r="EY5101" s="20" t="s">
        <v>370</v>
      </c>
      <c r="EZ5101" s="20">
        <v>0.871</v>
      </c>
      <c r="FA5101" s="20" t="s">
        <v>370</v>
      </c>
      <c r="FB5101" s="20">
        <v>0.69699999999999995</v>
      </c>
      <c r="FC5101" s="20" t="s">
        <v>370</v>
      </c>
      <c r="FD5101" s="20">
        <v>2.3199999999999998</v>
      </c>
      <c r="FE5101" s="20" t="s">
        <v>370</v>
      </c>
      <c r="FF5101" s="20">
        <v>1.1599999999999999</v>
      </c>
      <c r="FG5101" s="20" t="s">
        <v>370</v>
      </c>
      <c r="FH5101" s="20">
        <v>0.57999999999999996</v>
      </c>
      <c r="FI5101" s="20" t="s">
        <v>370</v>
      </c>
      <c r="FJ5101" s="20">
        <v>0.28999999999999998</v>
      </c>
      <c r="FK5101" s="20" t="s">
        <v>370</v>
      </c>
      <c r="FL5101" s="20">
        <v>4.9799999999999997E-2</v>
      </c>
      <c r="FM5101" s="20" t="s">
        <v>397</v>
      </c>
      <c r="FN5101" s="20" t="s">
        <v>398</v>
      </c>
      <c r="FO5101" s="20" t="s">
        <v>399</v>
      </c>
      <c r="FP5101" s="20" t="s">
        <v>400</v>
      </c>
      <c r="FQ5101" s="20" t="s">
        <v>401</v>
      </c>
      <c r="FR5101" s="20" t="s">
        <v>402</v>
      </c>
      <c r="FS5101" s="20" t="s">
        <v>403</v>
      </c>
      <c r="FT5101" s="20" t="s">
        <v>370</v>
      </c>
      <c r="FU5101" s="20">
        <v>4570</v>
      </c>
      <c r="FV5101" s="20" t="s">
        <v>370</v>
      </c>
      <c r="FW5101" s="20">
        <v>4850</v>
      </c>
      <c r="FX5101" s="20" t="s">
        <v>386</v>
      </c>
    </row>
    <row r="5102" spans="1:180" x14ac:dyDescent="0.3">
      <c r="A5102" s="1">
        <v>91390</v>
      </c>
      <c r="B5102" s="1" t="s">
        <v>310</v>
      </c>
      <c r="C5102" s="1" t="s">
        <v>296</v>
      </c>
      <c r="D5102" s="1">
        <v>2022</v>
      </c>
      <c r="E5102" s="1">
        <v>8</v>
      </c>
      <c r="G5102" s="4" t="s">
        <v>452</v>
      </c>
      <c r="H5102" s="1" t="s">
        <v>348</v>
      </c>
      <c r="I5102" s="1" t="s">
        <v>349</v>
      </c>
      <c r="J5102" s="1" t="s">
        <v>189</v>
      </c>
      <c r="K5102" s="1"/>
      <c r="L5102" s="1" t="s">
        <v>189</v>
      </c>
      <c r="M5102" s="1" t="s">
        <v>225</v>
      </c>
      <c r="N5102" s="1">
        <v>0</v>
      </c>
      <c r="O5102" s="1">
        <v>2</v>
      </c>
      <c r="BR5102" s="1" t="s">
        <v>364</v>
      </c>
      <c r="BT5102" s="1" t="s">
        <v>365</v>
      </c>
      <c r="BU5102" s="1">
        <v>0.84000000000000008</v>
      </c>
      <c r="BW5102" s="1">
        <v>0.33</v>
      </c>
      <c r="BX5102" s="1">
        <v>3.2000000000000001E-2</v>
      </c>
      <c r="BY5102" s="1">
        <v>1.8</v>
      </c>
      <c r="CG5102" s="1">
        <v>1.1000000000000001</v>
      </c>
      <c r="CI5102" s="1" t="s">
        <v>367</v>
      </c>
      <c r="CN5102" s="1">
        <v>3.6</v>
      </c>
      <c r="DH5102" s="1">
        <v>0.69</v>
      </c>
      <c r="DI5102" s="1">
        <v>2.2999999999999998</v>
      </c>
      <c r="DJ5102" s="20" t="s">
        <v>368</v>
      </c>
      <c r="DK5102" s="20">
        <v>2.2999999999999998</v>
      </c>
      <c r="DL5102" s="20">
        <v>0.71</v>
      </c>
      <c r="DM5102" s="20" t="s">
        <v>368</v>
      </c>
      <c r="DN5102" s="20">
        <v>2</v>
      </c>
      <c r="DO5102" s="20">
        <v>2.4</v>
      </c>
      <c r="DP5102" s="20">
        <v>1.3</v>
      </c>
      <c r="DQ5102" s="20" t="s">
        <v>368</v>
      </c>
      <c r="DR5102" s="20">
        <v>3.4</v>
      </c>
      <c r="DS5102" s="20">
        <v>15</v>
      </c>
      <c r="DT5102" s="20">
        <v>4.3</v>
      </c>
      <c r="DU5102" s="20" t="s">
        <v>453</v>
      </c>
      <c r="DV5102" s="20" t="s">
        <v>453</v>
      </c>
      <c r="DW5102" s="20" t="s">
        <v>453</v>
      </c>
      <c r="DX5102" s="20" t="s">
        <v>370</v>
      </c>
      <c r="DY5102" s="20" t="s">
        <v>454</v>
      </c>
      <c r="DZ5102" s="20" t="s">
        <v>454</v>
      </c>
      <c r="EA5102" s="20" t="s">
        <v>454</v>
      </c>
      <c r="EB5102" s="20" t="s">
        <v>455</v>
      </c>
      <c r="EC5102" s="20" t="s">
        <v>455</v>
      </c>
      <c r="ED5102" s="20" t="s">
        <v>455</v>
      </c>
      <c r="EE5102" s="20" t="s">
        <v>455</v>
      </c>
      <c r="EF5102" s="20" t="s">
        <v>456</v>
      </c>
      <c r="EG5102" s="20" t="s">
        <v>457</v>
      </c>
      <c r="EH5102" s="20" t="s">
        <v>457</v>
      </c>
      <c r="EI5102" s="20" t="s">
        <v>457</v>
      </c>
      <c r="EJ5102" s="20" t="s">
        <v>458</v>
      </c>
      <c r="EK5102" s="20" t="s">
        <v>458</v>
      </c>
      <c r="EL5102" s="20" t="s">
        <v>459</v>
      </c>
      <c r="EM5102" s="20" t="s">
        <v>459</v>
      </c>
      <c r="EN5102" s="20" t="s">
        <v>460</v>
      </c>
      <c r="EO5102" s="20" t="s">
        <v>456</v>
      </c>
      <c r="EP5102" s="20" t="s">
        <v>461</v>
      </c>
      <c r="EQ5102" s="20" t="s">
        <v>461</v>
      </c>
      <c r="ER5102" s="20" t="s">
        <v>461</v>
      </c>
      <c r="ES5102" s="20" t="s">
        <v>461</v>
      </c>
      <c r="ET5102" s="20" t="s">
        <v>461</v>
      </c>
      <c r="EU5102" s="20" t="s">
        <v>454</v>
      </c>
      <c r="EV5102" s="20" t="s">
        <v>454</v>
      </c>
      <c r="EW5102" s="20" t="s">
        <v>370</v>
      </c>
      <c r="EX5102" s="20">
        <v>8.92</v>
      </c>
      <c r="EY5102" s="20" t="s">
        <v>370</v>
      </c>
      <c r="EZ5102" s="20">
        <v>0.875</v>
      </c>
      <c r="FA5102" s="20" t="s">
        <v>370</v>
      </c>
      <c r="FB5102" s="20">
        <v>0.7</v>
      </c>
      <c r="FC5102" s="20" t="s">
        <v>370</v>
      </c>
      <c r="FD5102" s="20">
        <v>2.33</v>
      </c>
      <c r="FE5102" s="20" t="s">
        <v>370</v>
      </c>
      <c r="FF5102" s="20">
        <v>1.17</v>
      </c>
      <c r="FG5102" s="20" t="s">
        <v>370</v>
      </c>
      <c r="FH5102" s="20">
        <v>0.58299999999999996</v>
      </c>
      <c r="FI5102" s="20" t="s">
        <v>370</v>
      </c>
      <c r="FJ5102" s="20">
        <v>0.29199999999999998</v>
      </c>
      <c r="FK5102" s="20" t="s">
        <v>370</v>
      </c>
      <c r="FL5102" s="20">
        <v>0.05</v>
      </c>
      <c r="FM5102" s="20" t="s">
        <v>462</v>
      </c>
      <c r="FN5102" s="20" t="s">
        <v>463</v>
      </c>
      <c r="FO5102" s="20" t="s">
        <v>464</v>
      </c>
      <c r="FP5102" s="20" t="s">
        <v>465</v>
      </c>
      <c r="FQ5102" s="20" t="s">
        <v>466</v>
      </c>
      <c r="FR5102" s="20" t="s">
        <v>467</v>
      </c>
      <c r="FS5102" s="20" t="s">
        <v>468</v>
      </c>
      <c r="FT5102" s="20" t="s">
        <v>370</v>
      </c>
      <c r="FU5102" s="20">
        <v>3830</v>
      </c>
      <c r="FV5102" s="20" t="s">
        <v>370</v>
      </c>
      <c r="FW5102" s="20">
        <v>4060</v>
      </c>
      <c r="FX5102" s="20" t="s">
        <v>386</v>
      </c>
    </row>
    <row r="5103" spans="1:180" x14ac:dyDescent="0.3">
      <c r="A5103" s="1">
        <v>91391</v>
      </c>
      <c r="B5103" s="1" t="s">
        <v>310</v>
      </c>
      <c r="C5103" s="1" t="s">
        <v>294</v>
      </c>
      <c r="D5103" s="1">
        <v>2022</v>
      </c>
      <c r="E5103" s="1">
        <v>8</v>
      </c>
      <c r="G5103" s="4" t="s">
        <v>452</v>
      </c>
      <c r="H5103" s="1" t="s">
        <v>351</v>
      </c>
      <c r="I5103" s="1" t="s">
        <v>352</v>
      </c>
      <c r="J5103" s="1" t="s">
        <v>190</v>
      </c>
      <c r="K5103" s="1"/>
      <c r="L5103" s="1" t="s">
        <v>190</v>
      </c>
      <c r="M5103" s="1" t="s">
        <v>225</v>
      </c>
      <c r="N5103" s="1">
        <v>0</v>
      </c>
      <c r="O5103" s="1">
        <v>2</v>
      </c>
      <c r="BR5103" s="1">
        <v>1.8000000000000002E-2</v>
      </c>
      <c r="BT5103" s="1">
        <v>0.72000000000000008</v>
      </c>
      <c r="BU5103" s="1">
        <v>2.4</v>
      </c>
      <c r="BW5103" s="1">
        <v>0.8899999999999999</v>
      </c>
      <c r="BX5103" s="1">
        <v>1.6</v>
      </c>
      <c r="BY5103" s="1">
        <v>19</v>
      </c>
      <c r="CG5103" s="1">
        <v>0.93</v>
      </c>
      <c r="CI5103" s="1" t="s">
        <v>367</v>
      </c>
      <c r="CN5103" s="1">
        <v>0.72000000000000008</v>
      </c>
      <c r="DH5103" s="1">
        <v>9.3000000000000007</v>
      </c>
      <c r="DI5103" s="1">
        <v>4.2</v>
      </c>
      <c r="DJ5103" s="20" t="s">
        <v>368</v>
      </c>
      <c r="DK5103" s="20">
        <v>4.4000000000000004</v>
      </c>
      <c r="DL5103" s="20">
        <v>1.1000000000000001</v>
      </c>
      <c r="DM5103" s="20" t="s">
        <v>368</v>
      </c>
      <c r="DN5103" s="20">
        <v>3.8</v>
      </c>
      <c r="DO5103" s="20">
        <v>5.6</v>
      </c>
      <c r="DP5103" s="20">
        <v>1.8</v>
      </c>
      <c r="DQ5103" s="20">
        <v>0.67</v>
      </c>
      <c r="DR5103" s="20">
        <v>6.5</v>
      </c>
      <c r="DS5103" s="20">
        <v>37</v>
      </c>
      <c r="DT5103" s="20">
        <v>16</v>
      </c>
      <c r="DU5103" s="20" t="s">
        <v>453</v>
      </c>
      <c r="DV5103" s="20" t="s">
        <v>453</v>
      </c>
      <c r="DW5103" s="20" t="s">
        <v>453</v>
      </c>
      <c r="DX5103" s="20" t="s">
        <v>370</v>
      </c>
      <c r="DY5103" s="20" t="s">
        <v>454</v>
      </c>
      <c r="DZ5103" s="20" t="s">
        <v>454</v>
      </c>
      <c r="EA5103" s="20" t="s">
        <v>454</v>
      </c>
      <c r="EB5103" s="20" t="s">
        <v>455</v>
      </c>
      <c r="EC5103" s="20" t="s">
        <v>455</v>
      </c>
      <c r="ED5103" s="20" t="s">
        <v>455</v>
      </c>
      <c r="EE5103" s="20" t="s">
        <v>455</v>
      </c>
      <c r="EF5103" s="20" t="s">
        <v>469</v>
      </c>
      <c r="EG5103" s="20" t="s">
        <v>457</v>
      </c>
      <c r="EH5103" s="20" t="s">
        <v>457</v>
      </c>
      <c r="EI5103" s="20" t="s">
        <v>457</v>
      </c>
      <c r="EJ5103" s="20" t="s">
        <v>458</v>
      </c>
      <c r="EK5103" s="20" t="s">
        <v>458</v>
      </c>
      <c r="EL5103" s="20" t="s">
        <v>459</v>
      </c>
      <c r="EM5103" s="20" t="s">
        <v>459</v>
      </c>
      <c r="EN5103" s="20" t="s">
        <v>460</v>
      </c>
      <c r="EO5103" s="20" t="s">
        <v>469</v>
      </c>
      <c r="EP5103" s="20" t="s">
        <v>430</v>
      </c>
      <c r="EQ5103" s="20" t="s">
        <v>430</v>
      </c>
      <c r="ER5103" s="20" t="s">
        <v>430</v>
      </c>
      <c r="ES5103" s="20" t="s">
        <v>430</v>
      </c>
      <c r="ET5103" s="20" t="s">
        <v>430</v>
      </c>
      <c r="EU5103" s="20" t="s">
        <v>454</v>
      </c>
      <c r="EV5103" s="20" t="s">
        <v>454</v>
      </c>
      <c r="EW5103" s="20" t="s">
        <v>370</v>
      </c>
      <c r="EX5103" s="20">
        <v>8.92</v>
      </c>
      <c r="EY5103" s="20" t="s">
        <v>370</v>
      </c>
      <c r="EZ5103" s="20">
        <v>0.875</v>
      </c>
      <c r="FA5103" s="20" t="s">
        <v>370</v>
      </c>
      <c r="FB5103" s="20">
        <v>0.7</v>
      </c>
      <c r="FC5103" s="20" t="s">
        <v>370</v>
      </c>
      <c r="FD5103" s="20">
        <v>2.33</v>
      </c>
      <c r="FE5103" s="20" t="s">
        <v>370</v>
      </c>
      <c r="FF5103" s="20">
        <v>1.17</v>
      </c>
      <c r="FG5103" s="20" t="s">
        <v>370</v>
      </c>
      <c r="FH5103" s="20">
        <v>0.58299999999999996</v>
      </c>
      <c r="FI5103" s="20" t="s">
        <v>370</v>
      </c>
      <c r="FJ5103" s="20">
        <v>0.29199999999999998</v>
      </c>
      <c r="FK5103" s="20" t="s">
        <v>370</v>
      </c>
      <c r="FL5103" s="20">
        <v>0.05</v>
      </c>
      <c r="FM5103" s="20" t="s">
        <v>462</v>
      </c>
      <c r="FN5103" s="20" t="s">
        <v>463</v>
      </c>
      <c r="FO5103" s="20" t="s">
        <v>464</v>
      </c>
      <c r="FP5103" s="20" t="s">
        <v>465</v>
      </c>
      <c r="FQ5103" s="20" t="s">
        <v>466</v>
      </c>
      <c r="FR5103" s="20" t="s">
        <v>467</v>
      </c>
      <c r="FS5103" s="20" t="s">
        <v>468</v>
      </c>
      <c r="FT5103" s="20" t="s">
        <v>370</v>
      </c>
      <c r="FU5103" s="20">
        <v>3830</v>
      </c>
      <c r="FV5103" s="20" t="s">
        <v>370</v>
      </c>
      <c r="FW5103" s="20">
        <v>4060</v>
      </c>
      <c r="FX5103" s="20" t="s">
        <v>386</v>
      </c>
    </row>
    <row r="5104" spans="1:180" x14ac:dyDescent="0.3">
      <c r="A5104" s="1">
        <v>91392</v>
      </c>
      <c r="B5104" s="1" t="s">
        <v>470</v>
      </c>
      <c r="C5104" s="1" t="s">
        <v>209</v>
      </c>
      <c r="D5104" s="1">
        <v>2022</v>
      </c>
      <c r="E5104" s="1">
        <v>8</v>
      </c>
      <c r="G5104" s="4" t="s">
        <v>452</v>
      </c>
      <c r="H5104" s="1" t="s">
        <v>471</v>
      </c>
      <c r="I5104" s="1" t="s">
        <v>472</v>
      </c>
      <c r="J5104" s="1" t="s">
        <v>191</v>
      </c>
      <c r="K5104" s="1" t="s">
        <v>210</v>
      </c>
      <c r="L5104" s="1" t="s">
        <v>473</v>
      </c>
      <c r="M5104" s="1" t="s">
        <v>225</v>
      </c>
      <c r="N5104" s="1">
        <v>0</v>
      </c>
      <c r="O5104" s="1">
        <v>2</v>
      </c>
      <c r="BR5104" s="1" t="s">
        <v>364</v>
      </c>
      <c r="BT5104" s="1" t="s">
        <v>365</v>
      </c>
      <c r="BU5104" s="1">
        <v>0.78</v>
      </c>
      <c r="BW5104" s="1">
        <v>0.68</v>
      </c>
      <c r="BX5104" s="1" t="s">
        <v>366</v>
      </c>
      <c r="BY5104" s="1">
        <v>1.7</v>
      </c>
      <c r="CG5104" s="1">
        <v>0.69</v>
      </c>
      <c r="CI5104" s="1" t="s">
        <v>367</v>
      </c>
      <c r="CN5104" s="1">
        <v>11</v>
      </c>
      <c r="DH5104" s="1">
        <v>1.2</v>
      </c>
      <c r="DI5104" s="1">
        <v>1.4</v>
      </c>
      <c r="DJ5104" s="20" t="s">
        <v>368</v>
      </c>
      <c r="DK5104" s="20">
        <v>4.3</v>
      </c>
      <c r="DL5104" s="20">
        <v>0.44</v>
      </c>
      <c r="DM5104" s="20" t="s">
        <v>368</v>
      </c>
      <c r="DN5104" s="20">
        <v>1</v>
      </c>
      <c r="DO5104" s="20">
        <v>0.69</v>
      </c>
      <c r="DP5104" s="20" t="s">
        <v>368</v>
      </c>
      <c r="DQ5104" s="20">
        <v>0.35</v>
      </c>
      <c r="DR5104" s="20">
        <v>0.41</v>
      </c>
      <c r="DS5104" s="20">
        <v>9.8000000000000007</v>
      </c>
      <c r="DT5104" s="20">
        <v>3</v>
      </c>
      <c r="DU5104" s="20" t="s">
        <v>438</v>
      </c>
      <c r="DV5104" s="20" t="s">
        <v>438</v>
      </c>
      <c r="DW5104" s="20" t="s">
        <v>438</v>
      </c>
      <c r="DX5104" s="20" t="s">
        <v>370</v>
      </c>
      <c r="DY5104" s="20" t="s">
        <v>389</v>
      </c>
      <c r="DZ5104" s="20" t="s">
        <v>389</v>
      </c>
      <c r="EA5104" s="20" t="s">
        <v>389</v>
      </c>
      <c r="EB5104" s="20" t="s">
        <v>439</v>
      </c>
      <c r="EC5104" s="20" t="s">
        <v>439</v>
      </c>
      <c r="ED5104" s="20" t="s">
        <v>439</v>
      </c>
      <c r="EE5104" s="20" t="s">
        <v>439</v>
      </c>
      <c r="EF5104" s="20" t="s">
        <v>440</v>
      </c>
      <c r="EG5104" s="20" t="s">
        <v>441</v>
      </c>
      <c r="EH5104" s="20" t="s">
        <v>441</v>
      </c>
      <c r="EI5104" s="20" t="s">
        <v>441</v>
      </c>
      <c r="EJ5104" s="20" t="s">
        <v>442</v>
      </c>
      <c r="EK5104" s="20" t="s">
        <v>442</v>
      </c>
      <c r="EL5104" s="20" t="s">
        <v>474</v>
      </c>
      <c r="EM5104" s="20" t="s">
        <v>474</v>
      </c>
      <c r="EN5104" s="20" t="s">
        <v>475</v>
      </c>
      <c r="EO5104" s="20" t="s">
        <v>440</v>
      </c>
      <c r="EP5104" s="20" t="s">
        <v>444</v>
      </c>
      <c r="EQ5104" s="20" t="s">
        <v>444</v>
      </c>
      <c r="ER5104" s="20" t="s">
        <v>444</v>
      </c>
      <c r="ES5104" s="20" t="s">
        <v>444</v>
      </c>
      <c r="ET5104" s="20" t="s">
        <v>444</v>
      </c>
      <c r="EU5104" s="20" t="s">
        <v>389</v>
      </c>
      <c r="EV5104" s="20" t="s">
        <v>389</v>
      </c>
      <c r="EW5104" s="20" t="s">
        <v>370</v>
      </c>
      <c r="EX5104" s="20">
        <v>8.83</v>
      </c>
      <c r="EY5104" s="20" t="s">
        <v>370</v>
      </c>
      <c r="EZ5104" s="20">
        <v>0.86599999999999999</v>
      </c>
      <c r="FA5104" s="20" t="s">
        <v>370</v>
      </c>
      <c r="FB5104" s="20">
        <v>0.69299999999999995</v>
      </c>
      <c r="FC5104" s="20" t="s">
        <v>370</v>
      </c>
      <c r="FD5104" s="20">
        <v>2.31</v>
      </c>
      <c r="FE5104" s="20" t="s">
        <v>370</v>
      </c>
      <c r="FF5104" s="20">
        <v>1.1599999999999999</v>
      </c>
      <c r="FG5104" s="20" t="s">
        <v>370</v>
      </c>
      <c r="FH5104" s="20">
        <v>0.57799999999999996</v>
      </c>
      <c r="FI5104" s="20" t="s">
        <v>370</v>
      </c>
      <c r="FJ5104" s="20">
        <v>0.28899999999999998</v>
      </c>
      <c r="FK5104" s="20" t="s">
        <v>370</v>
      </c>
      <c r="FL5104" s="20">
        <v>4.9500000000000002E-2</v>
      </c>
      <c r="FM5104" s="20" t="s">
        <v>476</v>
      </c>
      <c r="FN5104" s="20" t="s">
        <v>477</v>
      </c>
      <c r="FO5104" s="20" t="s">
        <v>478</v>
      </c>
      <c r="FP5104" s="20" t="s">
        <v>479</v>
      </c>
      <c r="FQ5104" s="20" t="s">
        <v>480</v>
      </c>
      <c r="FR5104" s="20" t="s">
        <v>481</v>
      </c>
      <c r="FS5104" s="20" t="s">
        <v>482</v>
      </c>
      <c r="FT5104" s="20" t="s">
        <v>370</v>
      </c>
      <c r="FU5104" s="20">
        <v>3790</v>
      </c>
      <c r="FV5104" s="20" t="s">
        <v>370</v>
      </c>
      <c r="FW5104" s="20">
        <v>4020</v>
      </c>
      <c r="FX5104" s="20" t="s">
        <v>386</v>
      </c>
    </row>
    <row r="5105" spans="1:180" x14ac:dyDescent="0.3">
      <c r="A5105" s="1">
        <v>91393</v>
      </c>
      <c r="B5105" s="1" t="s">
        <v>310</v>
      </c>
      <c r="C5105" s="1" t="s">
        <v>296</v>
      </c>
      <c r="D5105" s="1">
        <v>2022</v>
      </c>
      <c r="E5105" s="1">
        <v>8</v>
      </c>
      <c r="G5105" s="4" t="s">
        <v>452</v>
      </c>
      <c r="H5105" s="1" t="s">
        <v>353</v>
      </c>
      <c r="I5105" s="1" t="s">
        <v>354</v>
      </c>
      <c r="J5105" s="1" t="s">
        <v>192</v>
      </c>
      <c r="K5105" s="1"/>
      <c r="L5105" s="1" t="s">
        <v>192</v>
      </c>
      <c r="M5105" s="1" t="s">
        <v>225</v>
      </c>
      <c r="N5105" s="1">
        <v>0</v>
      </c>
      <c r="O5105" s="1">
        <v>2</v>
      </c>
      <c r="BR5105" s="1" t="s">
        <v>364</v>
      </c>
      <c r="BT5105" s="1" t="s">
        <v>365</v>
      </c>
      <c r="BU5105" s="1">
        <v>0.75</v>
      </c>
      <c r="BW5105" s="1">
        <v>0.45</v>
      </c>
      <c r="BX5105" s="1">
        <v>2.0999999999999998E-2</v>
      </c>
      <c r="BY5105" s="1">
        <v>3.7</v>
      </c>
      <c r="CG5105" s="1">
        <v>0.98</v>
      </c>
      <c r="CI5105" s="1" t="s">
        <v>367</v>
      </c>
      <c r="CN5105" s="1">
        <v>16</v>
      </c>
      <c r="DH5105" s="1">
        <v>1.8</v>
      </c>
      <c r="DI5105" s="1">
        <v>3.3</v>
      </c>
      <c r="DJ5105" s="20">
        <v>0.3</v>
      </c>
      <c r="DK5105" s="20">
        <v>4.2</v>
      </c>
      <c r="DL5105" s="20">
        <v>1.4</v>
      </c>
      <c r="DM5105" s="20" t="s">
        <v>368</v>
      </c>
      <c r="DN5105" s="20">
        <v>3.5</v>
      </c>
      <c r="DO5105" s="20">
        <v>5.9</v>
      </c>
      <c r="DP5105" s="20">
        <v>1.2</v>
      </c>
      <c r="DQ5105" s="20">
        <v>0.4</v>
      </c>
      <c r="DR5105" s="20">
        <v>6.9</v>
      </c>
      <c r="DS5105" s="20">
        <v>29</v>
      </c>
      <c r="DT5105" s="20">
        <v>6.7</v>
      </c>
      <c r="DU5105" s="20" t="s">
        <v>438</v>
      </c>
      <c r="DV5105" s="20" t="s">
        <v>438</v>
      </c>
      <c r="DW5105" s="20" t="s">
        <v>438</v>
      </c>
      <c r="DX5105" s="20" t="s">
        <v>370</v>
      </c>
      <c r="DY5105" s="20" t="s">
        <v>389</v>
      </c>
      <c r="DZ5105" s="20" t="s">
        <v>389</v>
      </c>
      <c r="EA5105" s="20" t="s">
        <v>389</v>
      </c>
      <c r="EB5105" s="20" t="s">
        <v>439</v>
      </c>
      <c r="EC5105" s="20" t="s">
        <v>439</v>
      </c>
      <c r="ED5105" s="20" t="s">
        <v>439</v>
      </c>
      <c r="EE5105" s="20" t="s">
        <v>439</v>
      </c>
      <c r="EF5105" s="20" t="s">
        <v>440</v>
      </c>
      <c r="EG5105" s="20" t="s">
        <v>441</v>
      </c>
      <c r="EH5105" s="20" t="s">
        <v>441</v>
      </c>
      <c r="EI5105" s="20" t="s">
        <v>441</v>
      </c>
      <c r="EJ5105" s="20" t="s">
        <v>442</v>
      </c>
      <c r="EK5105" s="20" t="s">
        <v>442</v>
      </c>
      <c r="EL5105" s="20" t="s">
        <v>474</v>
      </c>
      <c r="EM5105" s="20" t="s">
        <v>474</v>
      </c>
      <c r="EN5105" s="20" t="s">
        <v>475</v>
      </c>
      <c r="EO5105" s="20" t="s">
        <v>440</v>
      </c>
      <c r="EP5105" s="20" t="s">
        <v>444</v>
      </c>
      <c r="EQ5105" s="20" t="s">
        <v>444</v>
      </c>
      <c r="ER5105" s="20" t="s">
        <v>444</v>
      </c>
      <c r="ES5105" s="20" t="s">
        <v>444</v>
      </c>
      <c r="ET5105" s="20" t="s">
        <v>444</v>
      </c>
      <c r="EU5105" s="20" t="s">
        <v>389</v>
      </c>
      <c r="EV5105" s="20" t="s">
        <v>389</v>
      </c>
      <c r="EW5105" s="20" t="s">
        <v>370</v>
      </c>
      <c r="EX5105" s="20">
        <v>8.83</v>
      </c>
      <c r="EY5105" s="20" t="s">
        <v>370</v>
      </c>
      <c r="EZ5105" s="20">
        <v>0.86599999999999999</v>
      </c>
      <c r="FA5105" s="20" t="s">
        <v>370</v>
      </c>
      <c r="FB5105" s="20">
        <v>0.69299999999999995</v>
      </c>
      <c r="FC5105" s="20" t="s">
        <v>370</v>
      </c>
      <c r="FD5105" s="20">
        <v>2.31</v>
      </c>
      <c r="FE5105" s="20" t="s">
        <v>370</v>
      </c>
      <c r="FF5105" s="20">
        <v>1.1599999999999999</v>
      </c>
      <c r="FG5105" s="20" t="s">
        <v>370</v>
      </c>
      <c r="FH5105" s="20">
        <v>0.57799999999999996</v>
      </c>
      <c r="FI5105" s="20" t="s">
        <v>370</v>
      </c>
      <c r="FJ5105" s="20">
        <v>0.28899999999999998</v>
      </c>
      <c r="FK5105" s="20" t="s">
        <v>370</v>
      </c>
      <c r="FL5105" s="20">
        <v>4.9500000000000002E-2</v>
      </c>
      <c r="FM5105" s="20" t="s">
        <v>476</v>
      </c>
      <c r="FN5105" s="20" t="s">
        <v>477</v>
      </c>
      <c r="FO5105" s="20" t="s">
        <v>478</v>
      </c>
      <c r="FP5105" s="20" t="s">
        <v>479</v>
      </c>
      <c r="FQ5105" s="20" t="s">
        <v>480</v>
      </c>
      <c r="FR5105" s="20" t="s">
        <v>481</v>
      </c>
      <c r="FS5105" s="20" t="s">
        <v>482</v>
      </c>
      <c r="FT5105" s="20" t="s">
        <v>370</v>
      </c>
      <c r="FU5105" s="20">
        <v>3790</v>
      </c>
      <c r="FV5105" s="20" t="s">
        <v>370</v>
      </c>
      <c r="FW5105" s="20">
        <v>4020</v>
      </c>
      <c r="FX5105" s="20" t="s">
        <v>386</v>
      </c>
    </row>
    <row r="5106" spans="1:180" x14ac:dyDescent="0.3">
      <c r="A5106" s="1">
        <v>91394</v>
      </c>
      <c r="B5106" s="1" t="s">
        <v>310</v>
      </c>
      <c r="C5106" s="1" t="s">
        <v>294</v>
      </c>
      <c r="D5106" s="1">
        <v>2022</v>
      </c>
      <c r="E5106" s="1">
        <v>8</v>
      </c>
      <c r="G5106" s="4" t="s">
        <v>363</v>
      </c>
      <c r="H5106" s="1" t="s">
        <v>357</v>
      </c>
      <c r="I5106" s="1" t="s">
        <v>358</v>
      </c>
      <c r="J5106" s="1" t="s">
        <v>193</v>
      </c>
      <c r="K5106" s="1"/>
      <c r="L5106" s="1" t="s">
        <v>193</v>
      </c>
      <c r="M5106" s="1" t="s">
        <v>225</v>
      </c>
      <c r="N5106" s="1">
        <v>0</v>
      </c>
      <c r="O5106" s="1">
        <v>2</v>
      </c>
      <c r="BR5106" s="1" t="s">
        <v>364</v>
      </c>
      <c r="BT5106" s="1" t="s">
        <v>365</v>
      </c>
      <c r="BU5106" s="1">
        <v>0.31</v>
      </c>
      <c r="BW5106" s="1">
        <v>0.21000000000000002</v>
      </c>
      <c r="BX5106" s="1" t="s">
        <v>366</v>
      </c>
      <c r="BY5106" s="1">
        <v>0.46</v>
      </c>
      <c r="CG5106" s="1">
        <v>0.8899999999999999</v>
      </c>
      <c r="CI5106" s="1" t="s">
        <v>367</v>
      </c>
      <c r="CN5106" s="1">
        <v>1.8</v>
      </c>
      <c r="DH5106" s="1">
        <v>2.7</v>
      </c>
      <c r="DI5106" s="1">
        <v>2.8</v>
      </c>
      <c r="DJ5106" s="20" t="s">
        <v>368</v>
      </c>
      <c r="DK5106" s="20">
        <v>3.7</v>
      </c>
      <c r="DL5106" s="20">
        <v>0.65</v>
      </c>
      <c r="DM5106" s="20" t="s">
        <v>368</v>
      </c>
      <c r="DN5106" s="20">
        <v>1.7</v>
      </c>
      <c r="DO5106" s="20">
        <v>2.1</v>
      </c>
      <c r="DP5106" s="20">
        <v>1.5</v>
      </c>
      <c r="DQ5106" s="20">
        <v>0.47</v>
      </c>
      <c r="DR5106" s="20">
        <v>2.2000000000000002</v>
      </c>
      <c r="DS5106" s="20">
        <v>18</v>
      </c>
      <c r="DT5106" s="20">
        <v>7.5</v>
      </c>
      <c r="DU5106" s="20" t="s">
        <v>483</v>
      </c>
      <c r="DV5106" s="20" t="s">
        <v>483</v>
      </c>
      <c r="DW5106" s="20" t="s">
        <v>483</v>
      </c>
      <c r="DX5106" s="20" t="s">
        <v>370</v>
      </c>
      <c r="DY5106" s="20" t="s">
        <v>423</v>
      </c>
      <c r="DZ5106" s="20" t="s">
        <v>423</v>
      </c>
      <c r="EA5106" s="20" t="s">
        <v>423</v>
      </c>
      <c r="EB5106" s="20" t="s">
        <v>484</v>
      </c>
      <c r="EC5106" s="20" t="s">
        <v>484</v>
      </c>
      <c r="ED5106" s="20" t="s">
        <v>484</v>
      </c>
      <c r="EE5106" s="20" t="s">
        <v>484</v>
      </c>
      <c r="EF5106" s="20" t="s">
        <v>485</v>
      </c>
      <c r="EG5106" s="20" t="s">
        <v>486</v>
      </c>
      <c r="EH5106" s="20" t="s">
        <v>486</v>
      </c>
      <c r="EI5106" s="20" t="s">
        <v>486</v>
      </c>
      <c r="EJ5106" s="20" t="s">
        <v>487</v>
      </c>
      <c r="EK5106" s="20" t="s">
        <v>487</v>
      </c>
      <c r="EL5106" s="20" t="s">
        <v>428</v>
      </c>
      <c r="EM5106" s="20" t="s">
        <v>428</v>
      </c>
      <c r="EN5106" s="20" t="s">
        <v>488</v>
      </c>
      <c r="EO5106" s="20" t="s">
        <v>485</v>
      </c>
      <c r="EP5106" s="20" t="s">
        <v>489</v>
      </c>
      <c r="EQ5106" s="20" t="s">
        <v>489</v>
      </c>
      <c r="ER5106" s="20" t="s">
        <v>489</v>
      </c>
      <c r="ES5106" s="20" t="s">
        <v>489</v>
      </c>
      <c r="ET5106" s="20" t="s">
        <v>489</v>
      </c>
      <c r="EU5106" s="20" t="s">
        <v>423</v>
      </c>
      <c r="EV5106" s="20" t="s">
        <v>423</v>
      </c>
      <c r="EW5106" s="20" t="s">
        <v>370</v>
      </c>
      <c r="EX5106" s="20">
        <v>8.9600000000000009</v>
      </c>
      <c r="EY5106" s="20" t="s">
        <v>370</v>
      </c>
      <c r="EZ5106" s="20">
        <v>0.879</v>
      </c>
      <c r="FA5106" s="20" t="s">
        <v>370</v>
      </c>
      <c r="FB5106" s="20">
        <v>0.70399999999999996</v>
      </c>
      <c r="FC5106" s="20" t="s">
        <v>370</v>
      </c>
      <c r="FD5106" s="20">
        <v>2.35</v>
      </c>
      <c r="FE5106" s="20" t="s">
        <v>370</v>
      </c>
      <c r="FF5106" s="20">
        <v>1.17</v>
      </c>
      <c r="FG5106" s="20" t="s">
        <v>370</v>
      </c>
      <c r="FH5106" s="20">
        <v>0.58599999999999997</v>
      </c>
      <c r="FI5106" s="20" t="s">
        <v>370</v>
      </c>
      <c r="FJ5106" s="20">
        <v>0.29299999999999998</v>
      </c>
      <c r="FK5106" s="20" t="s">
        <v>370</v>
      </c>
      <c r="FL5106" s="20">
        <v>5.0299999999999997E-2</v>
      </c>
      <c r="FM5106" s="20" t="s">
        <v>490</v>
      </c>
      <c r="FN5106" s="20" t="s">
        <v>491</v>
      </c>
      <c r="FO5106" s="20" t="s">
        <v>492</v>
      </c>
      <c r="FP5106" s="20" t="s">
        <v>493</v>
      </c>
      <c r="FQ5106" s="20" t="s">
        <v>494</v>
      </c>
      <c r="FR5106" s="20" t="s">
        <v>495</v>
      </c>
      <c r="FS5106" s="20" t="s">
        <v>496</v>
      </c>
      <c r="FT5106" s="20" t="s">
        <v>370</v>
      </c>
      <c r="FU5106" s="20">
        <v>3840</v>
      </c>
      <c r="FV5106" s="20" t="s">
        <v>370</v>
      </c>
      <c r="FW5106" s="20">
        <v>4080</v>
      </c>
      <c r="FX5106" s="20" t="s">
        <v>386</v>
      </c>
    </row>
    <row r="5107" spans="1:180" x14ac:dyDescent="0.3">
      <c r="A5107" s="1">
        <v>91395</v>
      </c>
      <c r="B5107" s="1" t="s">
        <v>310</v>
      </c>
      <c r="C5107" s="1" t="s">
        <v>294</v>
      </c>
      <c r="D5107" s="1">
        <v>2022</v>
      </c>
      <c r="E5107" s="1">
        <v>10</v>
      </c>
      <c r="G5107" s="4">
        <v>44861</v>
      </c>
      <c r="H5107" s="1" t="s">
        <v>311</v>
      </c>
      <c r="I5107" s="1" t="s">
        <v>312</v>
      </c>
      <c r="J5107" s="1" t="s">
        <v>313</v>
      </c>
      <c r="K5107" s="1"/>
      <c r="L5107" s="1" t="s">
        <v>182</v>
      </c>
      <c r="M5107" s="1" t="s">
        <v>225</v>
      </c>
      <c r="N5107" s="1">
        <v>0</v>
      </c>
      <c r="O5107" s="1">
        <v>2</v>
      </c>
      <c r="CP5107" s="1" t="s">
        <v>497</v>
      </c>
      <c r="CQ5107" s="1" t="s">
        <v>498</v>
      </c>
      <c r="CR5107" s="1" t="s">
        <v>498</v>
      </c>
      <c r="CS5107" s="1" t="s">
        <v>498</v>
      </c>
      <c r="CT5107" s="1">
        <v>2E-3</v>
      </c>
      <c r="CU5107" s="1" t="s">
        <v>498</v>
      </c>
      <c r="CV5107" s="1" t="s">
        <v>498</v>
      </c>
      <c r="CW5107" s="1" t="s">
        <v>498</v>
      </c>
      <c r="CX5107" s="1" t="s">
        <v>498</v>
      </c>
      <c r="CY5107" s="1" t="s">
        <v>498</v>
      </c>
      <c r="CZ5107" s="20" t="s">
        <v>498</v>
      </c>
      <c r="DA5107" s="20" t="s">
        <v>498</v>
      </c>
      <c r="DC5107" s="1">
        <v>3.7800000000000003E-4</v>
      </c>
      <c r="DD5107" s="20" t="s">
        <v>499</v>
      </c>
      <c r="DE5107" s="1" t="s">
        <v>500</v>
      </c>
      <c r="DF5107" s="1" t="s">
        <v>500</v>
      </c>
    </row>
    <row r="5108" spans="1:180" x14ac:dyDescent="0.3">
      <c r="A5108" s="1">
        <v>91396</v>
      </c>
      <c r="B5108" s="1" t="s">
        <v>501</v>
      </c>
      <c r="C5108" s="1" t="s">
        <v>294</v>
      </c>
      <c r="D5108" s="1">
        <v>2022</v>
      </c>
      <c r="E5108" s="1">
        <v>10</v>
      </c>
      <c r="G5108" s="4">
        <v>44861</v>
      </c>
      <c r="H5108" s="1" t="s">
        <v>315</v>
      </c>
      <c r="I5108" s="1" t="s">
        <v>316</v>
      </c>
      <c r="J5108" s="1" t="s">
        <v>183</v>
      </c>
      <c r="K5108" s="1"/>
      <c r="L5108" s="1" t="s">
        <v>183</v>
      </c>
      <c r="M5108" s="1" t="s">
        <v>225</v>
      </c>
      <c r="N5108" s="1">
        <v>0</v>
      </c>
      <c r="O5108" s="1">
        <v>2</v>
      </c>
      <c r="CP5108" s="1" t="s">
        <v>497</v>
      </c>
      <c r="CQ5108" s="1" t="s">
        <v>498</v>
      </c>
      <c r="CR5108" s="1" t="s">
        <v>498</v>
      </c>
      <c r="CS5108" s="1" t="s">
        <v>498</v>
      </c>
      <c r="CT5108" s="1">
        <v>1.5E-3</v>
      </c>
      <c r="CU5108" s="1" t="s">
        <v>498</v>
      </c>
      <c r="CV5108" s="1" t="s">
        <v>498</v>
      </c>
      <c r="CW5108" s="1" t="s">
        <v>498</v>
      </c>
      <c r="CX5108" s="1" t="s">
        <v>498</v>
      </c>
      <c r="CY5108" s="1" t="s">
        <v>498</v>
      </c>
      <c r="CZ5108" s="20" t="s">
        <v>498</v>
      </c>
      <c r="DA5108" s="20" t="s">
        <v>498</v>
      </c>
      <c r="DC5108" s="1">
        <v>2.5500000000000002E-4</v>
      </c>
      <c r="DD5108" s="20" t="s">
        <v>499</v>
      </c>
      <c r="DE5108" s="1" t="s">
        <v>500</v>
      </c>
      <c r="DF5108" s="1" t="s">
        <v>500</v>
      </c>
    </row>
    <row r="5109" spans="1:180" x14ac:dyDescent="0.3">
      <c r="A5109" s="1">
        <v>91397</v>
      </c>
      <c r="B5109" s="1" t="s">
        <v>310</v>
      </c>
      <c r="C5109" s="1" t="s">
        <v>294</v>
      </c>
      <c r="D5109" s="1">
        <v>2022</v>
      </c>
      <c r="E5109" s="1">
        <v>10</v>
      </c>
      <c r="G5109" s="4">
        <v>44861</v>
      </c>
      <c r="H5109" s="1" t="s">
        <v>404</v>
      </c>
      <c r="I5109" s="1" t="s">
        <v>405</v>
      </c>
      <c r="J5109" s="1" t="s">
        <v>181</v>
      </c>
      <c r="K5109" s="1"/>
      <c r="L5109" s="1" t="s">
        <v>181</v>
      </c>
      <c r="M5109" s="1" t="s">
        <v>225</v>
      </c>
      <c r="N5109" s="1">
        <v>0</v>
      </c>
      <c r="O5109" s="1">
        <v>2</v>
      </c>
      <c r="CP5109" s="1" t="s">
        <v>497</v>
      </c>
      <c r="CQ5109" s="1" t="s">
        <v>498</v>
      </c>
      <c r="CR5109" s="1" t="s">
        <v>498</v>
      </c>
      <c r="CS5109" s="1" t="s">
        <v>498</v>
      </c>
      <c r="CT5109" s="1">
        <v>1.2999999999999999E-3</v>
      </c>
      <c r="CU5109" s="1" t="s">
        <v>498</v>
      </c>
      <c r="CV5109" s="1" t="s">
        <v>498</v>
      </c>
      <c r="CW5109" s="1" t="s">
        <v>498</v>
      </c>
      <c r="CX5109" s="1" t="s">
        <v>498</v>
      </c>
      <c r="CY5109" s="1" t="s">
        <v>498</v>
      </c>
      <c r="CZ5109" s="20" t="s">
        <v>498</v>
      </c>
      <c r="DA5109" s="20" t="s">
        <v>498</v>
      </c>
      <c r="DC5109" s="1">
        <v>5.0100000000000003E-4</v>
      </c>
      <c r="DD5109" s="20" t="s">
        <v>499</v>
      </c>
      <c r="DE5109" s="1" t="s">
        <v>500</v>
      </c>
      <c r="DF5109" s="1" t="s">
        <v>500</v>
      </c>
    </row>
    <row r="5110" spans="1:180" x14ac:dyDescent="0.3">
      <c r="A5110" s="1">
        <v>91398</v>
      </c>
      <c r="B5110" s="1" t="s">
        <v>310</v>
      </c>
      <c r="C5110" s="1" t="s">
        <v>294</v>
      </c>
      <c r="D5110" s="1">
        <v>2022</v>
      </c>
      <c r="E5110" s="1">
        <v>10</v>
      </c>
      <c r="G5110" s="4" t="s">
        <v>502</v>
      </c>
      <c r="H5110" s="1" t="s">
        <v>320</v>
      </c>
      <c r="I5110" s="1" t="s">
        <v>321</v>
      </c>
      <c r="J5110" s="1" t="s">
        <v>185</v>
      </c>
      <c r="K5110" s="1"/>
      <c r="L5110" s="1" t="s">
        <v>185</v>
      </c>
      <c r="M5110" s="1" t="s">
        <v>225</v>
      </c>
      <c r="N5110" s="1">
        <v>0</v>
      </c>
      <c r="O5110" s="1">
        <v>2</v>
      </c>
      <c r="CP5110" s="1" t="s">
        <v>497</v>
      </c>
      <c r="CQ5110" s="1" t="s">
        <v>498</v>
      </c>
      <c r="CR5110" s="1" t="s">
        <v>498</v>
      </c>
      <c r="CS5110" s="1" t="s">
        <v>498</v>
      </c>
      <c r="CT5110" s="1">
        <v>1.6999999999999999E-3</v>
      </c>
      <c r="CU5110" s="1" t="s">
        <v>498</v>
      </c>
      <c r="CV5110" s="1" t="s">
        <v>498</v>
      </c>
      <c r="CW5110" s="1" t="s">
        <v>498</v>
      </c>
      <c r="CX5110" s="1" t="s">
        <v>498</v>
      </c>
      <c r="CY5110" s="1" t="s">
        <v>498</v>
      </c>
      <c r="CZ5110" s="20" t="s">
        <v>498</v>
      </c>
      <c r="DA5110" s="20" t="s">
        <v>498</v>
      </c>
      <c r="DC5110" s="1">
        <v>1.65E-4</v>
      </c>
      <c r="DD5110" s="20" t="s">
        <v>499</v>
      </c>
      <c r="DE5110" s="1" t="s">
        <v>500</v>
      </c>
      <c r="DF5110" s="1" t="s">
        <v>500</v>
      </c>
    </row>
    <row r="5111" spans="1:180" x14ac:dyDescent="0.3">
      <c r="A5111" s="1">
        <v>91399</v>
      </c>
      <c r="B5111" s="1" t="s">
        <v>501</v>
      </c>
      <c r="C5111" s="1" t="s">
        <v>294</v>
      </c>
      <c r="D5111" s="1">
        <v>2022</v>
      </c>
      <c r="E5111" s="1">
        <v>10</v>
      </c>
      <c r="G5111" s="4" t="s">
        <v>502</v>
      </c>
      <c r="H5111" s="1" t="s">
        <v>326</v>
      </c>
      <c r="I5111" s="1" t="s">
        <v>327</v>
      </c>
      <c r="J5111" s="1" t="s">
        <v>201</v>
      </c>
      <c r="K5111" s="1"/>
      <c r="L5111" s="1" t="s">
        <v>201</v>
      </c>
      <c r="M5111" s="1" t="s">
        <v>225</v>
      </c>
      <c r="N5111" s="1">
        <v>0</v>
      </c>
      <c r="O5111" s="1">
        <v>2</v>
      </c>
      <c r="CP5111" s="1" t="s">
        <v>497</v>
      </c>
      <c r="CQ5111" s="1" t="s">
        <v>498</v>
      </c>
      <c r="CR5111" s="1" t="s">
        <v>498</v>
      </c>
      <c r="CS5111" s="1">
        <v>1E-3</v>
      </c>
      <c r="CT5111" s="1">
        <v>2.8E-3</v>
      </c>
      <c r="CU5111" s="1" t="s">
        <v>498</v>
      </c>
      <c r="CV5111" s="1" t="s">
        <v>498</v>
      </c>
      <c r="CW5111" s="1" t="s">
        <v>498</v>
      </c>
      <c r="CX5111" s="1" t="s">
        <v>498</v>
      </c>
      <c r="CY5111" s="1" t="s">
        <v>498</v>
      </c>
      <c r="CZ5111" s="20" t="s">
        <v>498</v>
      </c>
      <c r="DA5111" s="20" t="s">
        <v>498</v>
      </c>
      <c r="DC5111" s="1">
        <v>3.2400000000000001E-4</v>
      </c>
      <c r="DD5111" s="20" t="s">
        <v>499</v>
      </c>
      <c r="DE5111" s="1" t="s">
        <v>500</v>
      </c>
      <c r="DF5111" s="1" t="s">
        <v>500</v>
      </c>
    </row>
    <row r="5112" spans="1:180" x14ac:dyDescent="0.3">
      <c r="A5112" s="1">
        <v>91400</v>
      </c>
      <c r="B5112" s="1" t="s">
        <v>310</v>
      </c>
      <c r="C5112" s="1" t="s">
        <v>294</v>
      </c>
      <c r="D5112" s="1">
        <v>2022</v>
      </c>
      <c r="E5112" s="1">
        <v>10</v>
      </c>
      <c r="G5112" s="4" t="s">
        <v>503</v>
      </c>
      <c r="H5112" s="1" t="s">
        <v>338</v>
      </c>
      <c r="I5112" s="1" t="s">
        <v>339</v>
      </c>
      <c r="J5112" s="1" t="s">
        <v>186</v>
      </c>
      <c r="K5112" s="1">
        <v>4</v>
      </c>
      <c r="L5112" s="1" t="s">
        <v>340</v>
      </c>
      <c r="M5112" s="1" t="s">
        <v>225</v>
      </c>
      <c r="N5112" s="1">
        <v>0</v>
      </c>
      <c r="O5112" s="1">
        <v>2</v>
      </c>
      <c r="CP5112" s="1" t="s">
        <v>497</v>
      </c>
      <c r="CQ5112" s="1" t="s">
        <v>498</v>
      </c>
      <c r="CR5112" s="1" t="s">
        <v>498</v>
      </c>
      <c r="CS5112" s="1" t="s">
        <v>498</v>
      </c>
      <c r="CT5112" s="1">
        <v>1.9E-3</v>
      </c>
      <c r="CU5112" s="1" t="s">
        <v>498</v>
      </c>
      <c r="CV5112" s="1" t="s">
        <v>498</v>
      </c>
      <c r="CW5112" s="1" t="s">
        <v>498</v>
      </c>
      <c r="CX5112" s="1" t="s">
        <v>498</v>
      </c>
      <c r="CY5112" s="1" t="s">
        <v>498</v>
      </c>
      <c r="CZ5112" s="20" t="s">
        <v>498</v>
      </c>
      <c r="DA5112" s="20" t="s">
        <v>498</v>
      </c>
      <c r="DC5112" s="1">
        <v>2.3499999999999999E-4</v>
      </c>
      <c r="DD5112" s="20" t="s">
        <v>499</v>
      </c>
      <c r="DE5112" s="1" t="s">
        <v>500</v>
      </c>
      <c r="DF5112" s="1" t="s">
        <v>500</v>
      </c>
    </row>
    <row r="5113" spans="1:180" x14ac:dyDescent="0.3">
      <c r="A5113" s="1">
        <v>91401</v>
      </c>
      <c r="B5113" s="1" t="s">
        <v>310</v>
      </c>
      <c r="C5113" s="1" t="s">
        <v>294</v>
      </c>
      <c r="D5113" s="1">
        <v>2022</v>
      </c>
      <c r="E5113" s="1">
        <v>10</v>
      </c>
      <c r="G5113" s="4">
        <v>44861</v>
      </c>
      <c r="H5113" s="1" t="s">
        <v>341</v>
      </c>
      <c r="I5113" s="1" t="s">
        <v>342</v>
      </c>
      <c r="J5113" s="1" t="s">
        <v>187</v>
      </c>
      <c r="K5113" s="1"/>
      <c r="L5113" s="1" t="s">
        <v>187</v>
      </c>
      <c r="M5113" s="1" t="s">
        <v>225</v>
      </c>
      <c r="N5113" s="1">
        <v>0</v>
      </c>
      <c r="O5113" s="1">
        <v>2</v>
      </c>
      <c r="CP5113" s="1" t="s">
        <v>497</v>
      </c>
      <c r="CQ5113" s="1" t="s">
        <v>498</v>
      </c>
      <c r="CR5113" s="1" t="s">
        <v>498</v>
      </c>
      <c r="CS5113" s="1" t="s">
        <v>498</v>
      </c>
      <c r="CT5113" s="1">
        <v>1.5E-3</v>
      </c>
      <c r="CU5113" s="1" t="s">
        <v>498</v>
      </c>
      <c r="CV5113" s="1" t="s">
        <v>498</v>
      </c>
      <c r="CW5113" s="1" t="s">
        <v>498</v>
      </c>
      <c r="CX5113" s="1" t="s">
        <v>498</v>
      </c>
      <c r="CY5113" s="1" t="s">
        <v>498</v>
      </c>
      <c r="CZ5113" s="20" t="s">
        <v>498</v>
      </c>
      <c r="DA5113" s="20" t="s">
        <v>498</v>
      </c>
      <c r="DC5113" s="1">
        <v>2.8800000000000001E-4</v>
      </c>
      <c r="DD5113" s="20" t="s">
        <v>499</v>
      </c>
      <c r="DE5113" s="1" t="s">
        <v>500</v>
      </c>
      <c r="DF5113" s="1" t="s">
        <v>500</v>
      </c>
    </row>
    <row r="5114" spans="1:180" x14ac:dyDescent="0.3">
      <c r="A5114" s="1">
        <v>91402</v>
      </c>
      <c r="B5114" s="1" t="s">
        <v>310</v>
      </c>
      <c r="C5114" s="1" t="s">
        <v>294</v>
      </c>
      <c r="D5114" s="1">
        <v>2022</v>
      </c>
      <c r="E5114" s="1">
        <v>10</v>
      </c>
      <c r="G5114" s="4">
        <v>44861</v>
      </c>
      <c r="H5114" s="1" t="s">
        <v>344</v>
      </c>
      <c r="I5114" s="1" t="s">
        <v>345</v>
      </c>
      <c r="J5114" s="1" t="s">
        <v>188</v>
      </c>
      <c r="K5114" s="1"/>
      <c r="L5114" s="1" t="s">
        <v>188</v>
      </c>
      <c r="M5114" s="1" t="s">
        <v>225</v>
      </c>
      <c r="N5114" s="1">
        <v>0</v>
      </c>
      <c r="O5114" s="1">
        <v>2</v>
      </c>
      <c r="CP5114" s="1" t="s">
        <v>497</v>
      </c>
      <c r="CQ5114" s="1" t="s">
        <v>498</v>
      </c>
      <c r="CR5114" s="1" t="s">
        <v>498</v>
      </c>
      <c r="CS5114" s="1" t="s">
        <v>498</v>
      </c>
      <c r="CT5114" s="1">
        <v>2.2000000000000001E-3</v>
      </c>
      <c r="CU5114" s="1" t="s">
        <v>498</v>
      </c>
      <c r="CV5114" s="1" t="s">
        <v>498</v>
      </c>
      <c r="CW5114" s="1" t="s">
        <v>498</v>
      </c>
      <c r="CX5114" s="1" t="s">
        <v>498</v>
      </c>
      <c r="CY5114" s="1" t="s">
        <v>498</v>
      </c>
      <c r="CZ5114" s="20" t="s">
        <v>498</v>
      </c>
      <c r="DA5114" s="20" t="s">
        <v>498</v>
      </c>
      <c r="DC5114" s="1">
        <v>5.31E-4</v>
      </c>
      <c r="DD5114" s="20" t="s">
        <v>499</v>
      </c>
      <c r="DE5114" s="1" t="s">
        <v>500</v>
      </c>
      <c r="DF5114" s="1" t="s">
        <v>500</v>
      </c>
    </row>
    <row r="5115" spans="1:180" x14ac:dyDescent="0.3">
      <c r="A5115" s="1">
        <v>91403</v>
      </c>
      <c r="B5115" s="1" t="s">
        <v>310</v>
      </c>
      <c r="C5115" s="1" t="s">
        <v>296</v>
      </c>
      <c r="D5115" s="1">
        <v>2022</v>
      </c>
      <c r="E5115" s="1">
        <v>10</v>
      </c>
      <c r="G5115" s="4" t="s">
        <v>502</v>
      </c>
      <c r="H5115" s="1" t="s">
        <v>348</v>
      </c>
      <c r="I5115" s="1" t="s">
        <v>349</v>
      </c>
      <c r="J5115" s="1" t="s">
        <v>189</v>
      </c>
      <c r="K5115" s="1"/>
      <c r="L5115" s="1" t="s">
        <v>189</v>
      </c>
      <c r="M5115" s="1" t="s">
        <v>225</v>
      </c>
      <c r="N5115" s="1">
        <v>0</v>
      </c>
      <c r="O5115" s="1">
        <v>2</v>
      </c>
      <c r="CP5115" s="1" t="s">
        <v>497</v>
      </c>
      <c r="CQ5115" s="1" t="s">
        <v>498</v>
      </c>
      <c r="CR5115" s="1" t="s">
        <v>498</v>
      </c>
      <c r="CS5115" s="1" t="s">
        <v>498</v>
      </c>
      <c r="CT5115" s="1">
        <v>1.2999999999999999E-3</v>
      </c>
      <c r="CU5115" s="1" t="s">
        <v>498</v>
      </c>
      <c r="CV5115" s="1" t="s">
        <v>498</v>
      </c>
      <c r="CW5115" s="1" t="s">
        <v>498</v>
      </c>
      <c r="CX5115" s="1" t="s">
        <v>498</v>
      </c>
      <c r="CY5115" s="1" t="s">
        <v>498</v>
      </c>
      <c r="CZ5115" s="20" t="s">
        <v>498</v>
      </c>
      <c r="DA5115" s="20" t="s">
        <v>498</v>
      </c>
      <c r="DC5115" s="1">
        <v>1.66E-4</v>
      </c>
      <c r="DD5115" s="20" t="s">
        <v>499</v>
      </c>
      <c r="DE5115" s="1" t="s">
        <v>500</v>
      </c>
      <c r="DF5115" s="1" t="s">
        <v>500</v>
      </c>
    </row>
    <row r="5116" spans="1:180" x14ac:dyDescent="0.3">
      <c r="A5116" s="1">
        <v>91404</v>
      </c>
      <c r="B5116" s="1" t="s">
        <v>310</v>
      </c>
      <c r="C5116" s="1" t="s">
        <v>294</v>
      </c>
      <c r="D5116" s="1">
        <v>2022</v>
      </c>
      <c r="E5116" s="1">
        <v>10</v>
      </c>
      <c r="G5116" s="4" t="s">
        <v>504</v>
      </c>
      <c r="H5116" s="1" t="s">
        <v>351</v>
      </c>
      <c r="I5116" s="1" t="s">
        <v>352</v>
      </c>
      <c r="J5116" s="1" t="s">
        <v>190</v>
      </c>
      <c r="K5116" s="1"/>
      <c r="L5116" s="1" t="s">
        <v>190</v>
      </c>
      <c r="M5116" s="1" t="s">
        <v>225</v>
      </c>
      <c r="N5116" s="1">
        <v>0</v>
      </c>
      <c r="O5116" s="1">
        <v>2</v>
      </c>
      <c r="CP5116" s="1" t="s">
        <v>497</v>
      </c>
      <c r="CQ5116" s="1" t="s">
        <v>498</v>
      </c>
      <c r="CR5116" s="1" t="s">
        <v>498</v>
      </c>
      <c r="CS5116" s="1">
        <v>1.2999999999999999E-3</v>
      </c>
      <c r="CT5116" s="1">
        <v>4.4000000000000003E-3</v>
      </c>
      <c r="CU5116" s="1" t="s">
        <v>498</v>
      </c>
      <c r="CV5116" s="1">
        <v>3.5999999999999999E-3</v>
      </c>
      <c r="CW5116" s="1">
        <v>2E-3</v>
      </c>
      <c r="CX5116" s="1" t="s">
        <v>498</v>
      </c>
      <c r="CY5116" s="1" t="s">
        <v>498</v>
      </c>
      <c r="CZ5116" s="20" t="s">
        <v>505</v>
      </c>
      <c r="DA5116" s="20" t="s">
        <v>498</v>
      </c>
      <c r="DC5116" s="1">
        <v>4.7600000000000002E-4</v>
      </c>
      <c r="DD5116" s="20" t="s">
        <v>499</v>
      </c>
      <c r="DE5116" s="1">
        <v>5.8E-4</v>
      </c>
      <c r="DF5116" s="1">
        <v>5.2999999999999998E-4</v>
      </c>
    </row>
    <row r="5117" spans="1:180" x14ac:dyDescent="0.3">
      <c r="A5117" s="1">
        <v>91405</v>
      </c>
      <c r="B5117" s="1" t="s">
        <v>470</v>
      </c>
      <c r="C5117" s="1" t="s">
        <v>209</v>
      </c>
      <c r="D5117" s="1">
        <v>2022</v>
      </c>
      <c r="E5117" s="1">
        <v>10</v>
      </c>
      <c r="G5117" s="4" t="s">
        <v>503</v>
      </c>
      <c r="H5117" s="1" t="s">
        <v>471</v>
      </c>
      <c r="I5117" s="1" t="s">
        <v>472</v>
      </c>
      <c r="J5117" s="1" t="s">
        <v>191</v>
      </c>
      <c r="K5117" s="1" t="s">
        <v>210</v>
      </c>
      <c r="L5117" s="1" t="s">
        <v>473</v>
      </c>
      <c r="M5117" s="1" t="s">
        <v>225</v>
      </c>
      <c r="N5117" s="1">
        <v>0</v>
      </c>
      <c r="O5117" s="1">
        <v>2</v>
      </c>
      <c r="CP5117" s="1" t="s">
        <v>497</v>
      </c>
      <c r="CQ5117" s="1" t="s">
        <v>498</v>
      </c>
      <c r="CR5117" s="1" t="s">
        <v>498</v>
      </c>
      <c r="CS5117" s="1" t="s">
        <v>498</v>
      </c>
      <c r="CT5117" s="1">
        <v>2.5999999999999999E-3</v>
      </c>
      <c r="CU5117" s="1" t="s">
        <v>498</v>
      </c>
      <c r="CV5117" s="1" t="s">
        <v>498</v>
      </c>
      <c r="CW5117" s="1" t="s">
        <v>498</v>
      </c>
      <c r="CX5117" s="1" t="s">
        <v>498</v>
      </c>
      <c r="CY5117" s="1" t="s">
        <v>498</v>
      </c>
      <c r="CZ5117" s="20" t="s">
        <v>498</v>
      </c>
      <c r="DA5117" s="20" t="s">
        <v>498</v>
      </c>
      <c r="DC5117" s="1">
        <v>2.6899999999999998E-4</v>
      </c>
      <c r="DD5117" s="20" t="s">
        <v>499</v>
      </c>
      <c r="DE5117" s="1" t="s">
        <v>500</v>
      </c>
      <c r="DF5117" s="1" t="s">
        <v>500</v>
      </c>
    </row>
    <row r="5118" spans="1:180" x14ac:dyDescent="0.3">
      <c r="A5118" s="1">
        <v>91406</v>
      </c>
      <c r="B5118" s="1" t="s">
        <v>310</v>
      </c>
      <c r="C5118" s="1" t="s">
        <v>296</v>
      </c>
      <c r="D5118" s="1">
        <v>2022</v>
      </c>
      <c r="E5118" s="1">
        <v>10</v>
      </c>
      <c r="G5118" s="4" t="s">
        <v>504</v>
      </c>
      <c r="H5118" s="1" t="s">
        <v>353</v>
      </c>
      <c r="I5118" s="1" t="s">
        <v>354</v>
      </c>
      <c r="J5118" s="1" t="s">
        <v>192</v>
      </c>
      <c r="K5118" s="1"/>
      <c r="L5118" s="1" t="s">
        <v>192</v>
      </c>
      <c r="M5118" s="1" t="s">
        <v>225</v>
      </c>
      <c r="N5118" s="1">
        <v>0</v>
      </c>
      <c r="O5118" s="1">
        <v>2</v>
      </c>
      <c r="CP5118" s="1">
        <v>7.1999999999999998E-3</v>
      </c>
      <c r="CQ5118" s="1" t="s">
        <v>498</v>
      </c>
      <c r="CR5118" s="1" t="s">
        <v>498</v>
      </c>
      <c r="CS5118" s="1">
        <v>1.2999999999999999E-3</v>
      </c>
      <c r="CT5118" s="1">
        <v>3.5999999999999999E-3</v>
      </c>
      <c r="CU5118" s="1" t="s">
        <v>498</v>
      </c>
      <c r="CV5118" s="1" t="s">
        <v>498</v>
      </c>
      <c r="CW5118" s="1" t="s">
        <v>498</v>
      </c>
      <c r="CX5118" s="1" t="s">
        <v>498</v>
      </c>
      <c r="CY5118" s="1" t="s">
        <v>498</v>
      </c>
      <c r="CZ5118" s="20" t="s">
        <v>498</v>
      </c>
      <c r="DA5118" s="20" t="s">
        <v>498</v>
      </c>
      <c r="DC5118" s="1">
        <v>1.74E-4</v>
      </c>
      <c r="DD5118" s="20" t="s">
        <v>499</v>
      </c>
      <c r="DE5118" s="1" t="s">
        <v>500</v>
      </c>
      <c r="DF5118" s="1" t="s">
        <v>500</v>
      </c>
    </row>
    <row r="5119" spans="1:180" x14ac:dyDescent="0.3">
      <c r="A5119" s="1">
        <v>91407</v>
      </c>
      <c r="B5119" s="1" t="s">
        <v>310</v>
      </c>
      <c r="C5119" s="1" t="s">
        <v>294</v>
      </c>
      <c r="D5119" s="1">
        <v>2022</v>
      </c>
      <c r="E5119" s="1">
        <v>10</v>
      </c>
      <c r="G5119" s="4">
        <v>44861</v>
      </c>
      <c r="H5119" s="1" t="s">
        <v>357</v>
      </c>
      <c r="I5119" s="1" t="s">
        <v>358</v>
      </c>
      <c r="J5119" s="1" t="s">
        <v>193</v>
      </c>
      <c r="K5119" s="1"/>
      <c r="L5119" s="1" t="s">
        <v>193</v>
      </c>
      <c r="M5119" s="1" t="s">
        <v>225</v>
      </c>
      <c r="N5119" s="1">
        <v>0</v>
      </c>
      <c r="O5119" s="1">
        <v>2</v>
      </c>
      <c r="CP5119" s="1" t="s">
        <v>497</v>
      </c>
      <c r="CQ5119" s="1" t="s">
        <v>498</v>
      </c>
      <c r="CR5119" s="1" t="s">
        <v>498</v>
      </c>
      <c r="CS5119" s="1" t="s">
        <v>498</v>
      </c>
      <c r="CT5119" s="1">
        <v>1.5E-3</v>
      </c>
      <c r="CU5119" s="1" t="s">
        <v>498</v>
      </c>
      <c r="CV5119" s="1" t="s">
        <v>498</v>
      </c>
      <c r="CW5119" s="1" t="s">
        <v>498</v>
      </c>
      <c r="CX5119" s="1" t="s">
        <v>498</v>
      </c>
      <c r="CY5119" s="1" t="s">
        <v>498</v>
      </c>
      <c r="CZ5119" s="20" t="s">
        <v>498</v>
      </c>
      <c r="DA5119" s="20" t="s">
        <v>498</v>
      </c>
      <c r="DC5119" s="1">
        <v>4.1599999999999997E-4</v>
      </c>
      <c r="DD5119" s="20" t="s">
        <v>499</v>
      </c>
      <c r="DE5119" s="1" t="s">
        <v>500</v>
      </c>
      <c r="DF5119" s="1" t="s">
        <v>500</v>
      </c>
    </row>
    <row r="5120" spans="1:180" x14ac:dyDescent="0.3">
      <c r="A5120" s="1">
        <v>91408</v>
      </c>
      <c r="B5120" s="1" t="s">
        <v>501</v>
      </c>
      <c r="C5120" s="1" t="s">
        <v>294</v>
      </c>
      <c r="D5120" s="1">
        <v>2023</v>
      </c>
      <c r="E5120" s="1">
        <v>2</v>
      </c>
      <c r="G5120" s="4">
        <v>44967</v>
      </c>
      <c r="H5120" s="1" t="s">
        <v>311</v>
      </c>
      <c r="I5120" s="1" t="s">
        <v>312</v>
      </c>
      <c r="J5120" s="1" t="s">
        <v>182</v>
      </c>
      <c r="K5120" s="1"/>
      <c r="L5120" s="1" t="s">
        <v>182</v>
      </c>
      <c r="M5120" s="1" t="s">
        <v>285</v>
      </c>
      <c r="N5120" s="1">
        <v>0.5</v>
      </c>
      <c r="O5120" s="1">
        <v>0.5</v>
      </c>
      <c r="P5120" s="1">
        <v>1.8</v>
      </c>
      <c r="Q5120" s="1">
        <v>1.2</v>
      </c>
      <c r="R5120" s="1">
        <v>10.7</v>
      </c>
      <c r="S5120" s="1">
        <v>75.900000000000006</v>
      </c>
      <c r="W5120" s="1">
        <v>51</v>
      </c>
      <c r="Y5120" s="1">
        <v>6.7000000000000004E-2</v>
      </c>
      <c r="Z5120" s="1">
        <v>33</v>
      </c>
      <c r="AA5120" s="1">
        <v>22</v>
      </c>
      <c r="AD5120" s="1">
        <v>1200</v>
      </c>
      <c r="AE5120" s="1">
        <v>8.1</v>
      </c>
      <c r="AK5120" s="1">
        <v>97</v>
      </c>
      <c r="AL5120" s="1">
        <v>1700</v>
      </c>
    </row>
    <row r="5121" spans="1:38" x14ac:dyDescent="0.3">
      <c r="A5121" s="1">
        <v>91409</v>
      </c>
      <c r="B5121" s="1" t="s">
        <v>501</v>
      </c>
      <c r="C5121" s="1" t="s">
        <v>294</v>
      </c>
      <c r="D5121" s="1">
        <v>2023</v>
      </c>
      <c r="E5121" s="1">
        <v>2</v>
      </c>
      <c r="G5121" s="4">
        <v>44967</v>
      </c>
      <c r="H5121" s="1" t="s">
        <v>311</v>
      </c>
      <c r="I5121" s="1" t="s">
        <v>312</v>
      </c>
      <c r="J5121" s="1" t="s">
        <v>182</v>
      </c>
      <c r="K5121" s="1"/>
      <c r="L5121" s="1" t="s">
        <v>182</v>
      </c>
      <c r="M5121" s="1">
        <v>1</v>
      </c>
      <c r="N5121" s="1">
        <v>1</v>
      </c>
      <c r="O5121" s="1">
        <v>1</v>
      </c>
      <c r="Q5121" s="1">
        <v>1.6</v>
      </c>
      <c r="R5121" s="1">
        <v>8.33</v>
      </c>
      <c r="S5121" s="1">
        <v>59.6</v>
      </c>
    </row>
    <row r="5122" spans="1:38" x14ac:dyDescent="0.3">
      <c r="A5122" s="1">
        <v>91410</v>
      </c>
      <c r="B5122" s="1" t="s">
        <v>501</v>
      </c>
      <c r="C5122" s="1" t="s">
        <v>294</v>
      </c>
      <c r="D5122" s="1">
        <v>2023</v>
      </c>
      <c r="E5122" s="1">
        <v>2</v>
      </c>
      <c r="G5122" s="4">
        <v>44967</v>
      </c>
      <c r="H5122" s="1" t="s">
        <v>311</v>
      </c>
      <c r="I5122" s="1" t="s">
        <v>312</v>
      </c>
      <c r="J5122" s="1" t="s">
        <v>182</v>
      </c>
      <c r="K5122" s="1"/>
      <c r="L5122" s="1" t="s">
        <v>182</v>
      </c>
      <c r="M5122" s="1">
        <v>2</v>
      </c>
      <c r="N5122" s="1">
        <v>2</v>
      </c>
      <c r="O5122" s="1">
        <v>2</v>
      </c>
      <c r="Q5122" s="1">
        <v>2.6</v>
      </c>
      <c r="R5122" s="1">
        <v>3.44</v>
      </c>
      <c r="S5122" s="1">
        <v>24.2</v>
      </c>
    </row>
    <row r="5123" spans="1:38" x14ac:dyDescent="0.3">
      <c r="A5123" s="1">
        <v>91411</v>
      </c>
      <c r="B5123" s="1" t="s">
        <v>501</v>
      </c>
      <c r="C5123" s="1" t="s">
        <v>294</v>
      </c>
      <c r="D5123" s="1">
        <v>2023</v>
      </c>
      <c r="E5123" s="1">
        <v>2</v>
      </c>
      <c r="G5123" s="4">
        <v>44967</v>
      </c>
      <c r="H5123" s="1" t="s">
        <v>311</v>
      </c>
      <c r="I5123" s="1" t="s">
        <v>312</v>
      </c>
      <c r="J5123" s="1" t="s">
        <v>182</v>
      </c>
      <c r="K5123" s="1"/>
      <c r="L5123" s="1" t="s">
        <v>182</v>
      </c>
      <c r="M5123" s="1">
        <v>3</v>
      </c>
      <c r="N5123" s="1">
        <v>3</v>
      </c>
      <c r="O5123" s="1">
        <v>3</v>
      </c>
      <c r="Q5123" s="1">
        <v>3.3</v>
      </c>
      <c r="R5123" s="1">
        <v>1.42</v>
      </c>
      <c r="S5123" s="1">
        <v>10.7</v>
      </c>
    </row>
    <row r="5124" spans="1:38" x14ac:dyDescent="0.3">
      <c r="A5124" s="1">
        <v>91412</v>
      </c>
      <c r="B5124" s="1" t="s">
        <v>501</v>
      </c>
      <c r="C5124" s="1" t="s">
        <v>294</v>
      </c>
      <c r="D5124" s="1">
        <v>2023</v>
      </c>
      <c r="E5124" s="1">
        <v>2</v>
      </c>
      <c r="G5124" s="4">
        <v>44967</v>
      </c>
      <c r="H5124" s="1" t="s">
        <v>311</v>
      </c>
      <c r="I5124" s="1" t="s">
        <v>312</v>
      </c>
      <c r="J5124" s="1" t="s">
        <v>182</v>
      </c>
      <c r="K5124" s="1"/>
      <c r="L5124" s="1" t="s">
        <v>182</v>
      </c>
      <c r="M5124" s="1">
        <v>4</v>
      </c>
      <c r="N5124" s="1">
        <v>4</v>
      </c>
      <c r="O5124" s="1">
        <v>4</v>
      </c>
      <c r="Q5124" s="1">
        <v>3.9</v>
      </c>
      <c r="R5124" s="1">
        <v>0.34</v>
      </c>
      <c r="S5124" s="1">
        <v>2.6</v>
      </c>
    </row>
    <row r="5125" spans="1:38" x14ac:dyDescent="0.3">
      <c r="A5125" s="1">
        <v>91413</v>
      </c>
      <c r="B5125" s="1" t="s">
        <v>501</v>
      </c>
      <c r="C5125" s="1" t="s">
        <v>294</v>
      </c>
      <c r="D5125" s="1">
        <v>2023</v>
      </c>
      <c r="E5125" s="1">
        <v>2</v>
      </c>
      <c r="G5125" s="4">
        <v>44967</v>
      </c>
      <c r="H5125" s="1" t="s">
        <v>311</v>
      </c>
      <c r="I5125" s="1" t="s">
        <v>312</v>
      </c>
      <c r="J5125" s="1" t="s">
        <v>182</v>
      </c>
      <c r="K5125" s="1"/>
      <c r="L5125" s="1" t="s">
        <v>182</v>
      </c>
      <c r="M5125" s="1">
        <v>5</v>
      </c>
      <c r="N5125" s="1">
        <v>5</v>
      </c>
      <c r="O5125" s="1">
        <v>5</v>
      </c>
      <c r="Q5125" s="1">
        <v>4.3</v>
      </c>
      <c r="R5125" s="1">
        <v>0.15</v>
      </c>
      <c r="S5125" s="1">
        <v>1.1000000000000001</v>
      </c>
    </row>
    <row r="5126" spans="1:38" x14ac:dyDescent="0.3">
      <c r="A5126" s="1">
        <v>91414</v>
      </c>
      <c r="B5126" s="1" t="s">
        <v>501</v>
      </c>
      <c r="C5126" s="1" t="s">
        <v>294</v>
      </c>
      <c r="D5126" s="1">
        <v>2023</v>
      </c>
      <c r="E5126" s="1">
        <v>2</v>
      </c>
      <c r="G5126" s="4">
        <v>44967</v>
      </c>
      <c r="H5126" s="1" t="s">
        <v>311</v>
      </c>
      <c r="I5126" s="1" t="s">
        <v>312</v>
      </c>
      <c r="J5126" s="1" t="s">
        <v>182</v>
      </c>
      <c r="K5126" s="1"/>
      <c r="L5126" s="1" t="s">
        <v>182</v>
      </c>
      <c r="M5126" s="1" t="s">
        <v>286</v>
      </c>
      <c r="N5126" s="1">
        <v>6</v>
      </c>
      <c r="O5126" s="1">
        <v>6</v>
      </c>
      <c r="P5126" s="1" t="s">
        <v>266</v>
      </c>
      <c r="Q5126" s="1">
        <v>4.5</v>
      </c>
      <c r="R5126" s="1">
        <v>0</v>
      </c>
      <c r="S5126" s="1">
        <v>0</v>
      </c>
      <c r="W5126" s="1">
        <v>14</v>
      </c>
      <c r="Y5126" s="1">
        <v>7.6999999999999999E-2</v>
      </c>
      <c r="Z5126" s="1">
        <v>8.6</v>
      </c>
      <c r="AA5126" s="1">
        <v>5.8</v>
      </c>
      <c r="AD5126" s="1">
        <v>830</v>
      </c>
      <c r="AE5126" s="1">
        <v>7.7</v>
      </c>
      <c r="AK5126" s="1">
        <v>37</v>
      </c>
      <c r="AL5126" s="1">
        <v>870</v>
      </c>
    </row>
    <row r="5127" spans="1:38" x14ac:dyDescent="0.3">
      <c r="A5127" s="1">
        <v>91415</v>
      </c>
      <c r="B5127" s="1" t="s">
        <v>501</v>
      </c>
      <c r="C5127" s="1" t="s">
        <v>294</v>
      </c>
      <c r="D5127" s="1">
        <v>2023</v>
      </c>
      <c r="E5127" s="1">
        <v>2</v>
      </c>
      <c r="G5127" s="4">
        <v>44964</v>
      </c>
      <c r="H5127" s="1" t="s">
        <v>315</v>
      </c>
      <c r="I5127" s="1" t="s">
        <v>316</v>
      </c>
      <c r="J5127" s="1" t="s">
        <v>183</v>
      </c>
      <c r="K5127" s="1"/>
      <c r="L5127" s="1" t="s">
        <v>183</v>
      </c>
      <c r="M5127" s="1" t="s">
        <v>285</v>
      </c>
      <c r="N5127" s="1">
        <v>0.5</v>
      </c>
      <c r="O5127" s="1">
        <v>0.5</v>
      </c>
      <c r="P5127" s="1">
        <v>3.8</v>
      </c>
      <c r="Q5127" s="1">
        <v>1.9</v>
      </c>
      <c r="R5127" s="1">
        <v>9.65</v>
      </c>
      <c r="S5127" s="1">
        <v>68.099999999999994</v>
      </c>
      <c r="W5127" s="1">
        <v>310</v>
      </c>
      <c r="Y5127" s="1">
        <v>4.2000000000000003E-2</v>
      </c>
      <c r="Z5127" s="1">
        <v>48</v>
      </c>
      <c r="AA5127" s="1">
        <v>2.2000000000000002</v>
      </c>
      <c r="AD5127" s="1">
        <v>310</v>
      </c>
      <c r="AE5127" s="1">
        <v>7.8</v>
      </c>
      <c r="AK5127" s="1">
        <v>66</v>
      </c>
      <c r="AL5127" s="1">
        <v>1000</v>
      </c>
    </row>
    <row r="5128" spans="1:38" x14ac:dyDescent="0.3">
      <c r="A5128" s="1">
        <v>91416</v>
      </c>
      <c r="B5128" s="1" t="s">
        <v>501</v>
      </c>
      <c r="C5128" s="1" t="s">
        <v>294</v>
      </c>
      <c r="D5128" s="1">
        <v>2023</v>
      </c>
      <c r="E5128" s="1">
        <v>2</v>
      </c>
      <c r="G5128" s="4">
        <v>44964</v>
      </c>
      <c r="H5128" s="1" t="s">
        <v>315</v>
      </c>
      <c r="I5128" s="1" t="s">
        <v>316</v>
      </c>
      <c r="J5128" s="1" t="s">
        <v>183</v>
      </c>
      <c r="K5128" s="1"/>
      <c r="L5128" s="1" t="s">
        <v>183</v>
      </c>
      <c r="M5128" s="1">
        <v>1</v>
      </c>
      <c r="N5128" s="1">
        <v>1</v>
      </c>
      <c r="O5128" s="1">
        <v>1</v>
      </c>
      <c r="Q5128" s="1">
        <v>2.5</v>
      </c>
      <c r="R5128" s="1">
        <v>8.8800000000000008</v>
      </c>
      <c r="S5128" s="1">
        <v>63.6</v>
      </c>
    </row>
    <row r="5129" spans="1:38" x14ac:dyDescent="0.3">
      <c r="A5129" s="1">
        <v>91417</v>
      </c>
      <c r="B5129" s="1" t="s">
        <v>501</v>
      </c>
      <c r="C5129" s="1" t="s">
        <v>294</v>
      </c>
      <c r="D5129" s="1">
        <v>2023</v>
      </c>
      <c r="E5129" s="1">
        <v>2</v>
      </c>
      <c r="G5129" s="4">
        <v>44964</v>
      </c>
      <c r="H5129" s="1" t="s">
        <v>315</v>
      </c>
      <c r="I5129" s="1" t="s">
        <v>316</v>
      </c>
      <c r="J5129" s="1" t="s">
        <v>183</v>
      </c>
      <c r="K5129" s="1"/>
      <c r="L5129" s="1" t="s">
        <v>183</v>
      </c>
      <c r="M5129" s="1">
        <v>2</v>
      </c>
      <c r="N5129" s="1">
        <v>2</v>
      </c>
      <c r="O5129" s="1">
        <v>2</v>
      </c>
      <c r="Q5129" s="1">
        <v>3.3</v>
      </c>
      <c r="R5129" s="1">
        <v>7.3</v>
      </c>
      <c r="S5129" s="1">
        <v>53.4</v>
      </c>
    </row>
    <row r="5130" spans="1:38" x14ac:dyDescent="0.3">
      <c r="A5130" s="1">
        <v>91418</v>
      </c>
      <c r="B5130" s="1" t="s">
        <v>501</v>
      </c>
      <c r="C5130" s="1" t="s">
        <v>294</v>
      </c>
      <c r="D5130" s="1">
        <v>2023</v>
      </c>
      <c r="E5130" s="1">
        <v>2</v>
      </c>
      <c r="G5130" s="4">
        <v>44964</v>
      </c>
      <c r="H5130" s="1" t="s">
        <v>315</v>
      </c>
      <c r="I5130" s="1" t="s">
        <v>316</v>
      </c>
      <c r="J5130" s="1" t="s">
        <v>183</v>
      </c>
      <c r="K5130" s="1"/>
      <c r="L5130" s="1" t="s">
        <v>183</v>
      </c>
      <c r="M5130" s="1">
        <v>3</v>
      </c>
      <c r="N5130" s="1">
        <v>3</v>
      </c>
      <c r="O5130" s="1">
        <v>3</v>
      </c>
      <c r="Q5130" s="1">
        <v>3.7</v>
      </c>
      <c r="R5130" s="1">
        <v>6.25</v>
      </c>
      <c r="S5130" s="1">
        <v>46.1</v>
      </c>
    </row>
    <row r="5131" spans="1:38" x14ac:dyDescent="0.3">
      <c r="A5131" s="1">
        <v>91419</v>
      </c>
      <c r="B5131" s="1" t="s">
        <v>501</v>
      </c>
      <c r="C5131" s="1" t="s">
        <v>294</v>
      </c>
      <c r="D5131" s="1">
        <v>2023</v>
      </c>
      <c r="E5131" s="1">
        <v>2</v>
      </c>
      <c r="G5131" s="4">
        <v>44964</v>
      </c>
      <c r="H5131" s="1" t="s">
        <v>315</v>
      </c>
      <c r="I5131" s="1" t="s">
        <v>316</v>
      </c>
      <c r="J5131" s="1" t="s">
        <v>183</v>
      </c>
      <c r="K5131" s="1"/>
      <c r="L5131" s="1" t="s">
        <v>183</v>
      </c>
      <c r="M5131" s="1">
        <v>4</v>
      </c>
      <c r="N5131" s="1">
        <v>4</v>
      </c>
      <c r="O5131" s="1">
        <v>4</v>
      </c>
      <c r="Q5131" s="1">
        <v>3.8</v>
      </c>
      <c r="R5131" s="1">
        <v>5.71</v>
      </c>
      <c r="S5131" s="1">
        <v>42.3</v>
      </c>
    </row>
    <row r="5132" spans="1:38" x14ac:dyDescent="0.3">
      <c r="A5132" s="1">
        <v>91420</v>
      </c>
      <c r="B5132" s="1" t="s">
        <v>501</v>
      </c>
      <c r="C5132" s="1" t="s">
        <v>294</v>
      </c>
      <c r="D5132" s="1">
        <v>2023</v>
      </c>
      <c r="E5132" s="1">
        <v>2</v>
      </c>
      <c r="G5132" s="4">
        <v>44964</v>
      </c>
      <c r="H5132" s="1" t="s">
        <v>315</v>
      </c>
      <c r="I5132" s="1" t="s">
        <v>316</v>
      </c>
      <c r="J5132" s="1" t="s">
        <v>183</v>
      </c>
      <c r="K5132" s="1"/>
      <c r="L5132" s="1" t="s">
        <v>183</v>
      </c>
      <c r="M5132" s="1">
        <v>5</v>
      </c>
      <c r="N5132" s="1">
        <v>5</v>
      </c>
      <c r="O5132" s="1">
        <v>5</v>
      </c>
      <c r="Q5132" s="1">
        <v>4.0999999999999996</v>
      </c>
      <c r="R5132" s="1">
        <v>4.3600000000000003</v>
      </c>
      <c r="S5132" s="1">
        <v>32.5</v>
      </c>
    </row>
    <row r="5133" spans="1:38" x14ac:dyDescent="0.3">
      <c r="A5133" s="1">
        <v>91421</v>
      </c>
      <c r="B5133" s="1" t="s">
        <v>501</v>
      </c>
      <c r="C5133" s="1" t="s">
        <v>294</v>
      </c>
      <c r="D5133" s="1">
        <v>2023</v>
      </c>
      <c r="E5133" s="1">
        <v>2</v>
      </c>
      <c r="G5133" s="4">
        <v>44964</v>
      </c>
      <c r="H5133" s="1" t="s">
        <v>315</v>
      </c>
      <c r="I5133" s="1" t="s">
        <v>316</v>
      </c>
      <c r="J5133" s="1" t="s">
        <v>183</v>
      </c>
      <c r="K5133" s="1"/>
      <c r="L5133" s="1" t="s">
        <v>183</v>
      </c>
      <c r="M5133" s="1">
        <v>6</v>
      </c>
      <c r="N5133" s="1">
        <v>6</v>
      </c>
      <c r="O5133" s="1">
        <v>6</v>
      </c>
      <c r="Q5133" s="1">
        <v>4.2</v>
      </c>
      <c r="R5133" s="1">
        <v>3.63</v>
      </c>
      <c r="S5133" s="1">
        <v>27.2</v>
      </c>
    </row>
    <row r="5134" spans="1:38" x14ac:dyDescent="0.3">
      <c r="A5134" s="1">
        <v>91422</v>
      </c>
      <c r="B5134" s="1" t="s">
        <v>501</v>
      </c>
      <c r="C5134" s="1" t="s">
        <v>294</v>
      </c>
      <c r="D5134" s="1">
        <v>2023</v>
      </c>
      <c r="E5134" s="1">
        <v>2</v>
      </c>
      <c r="G5134" s="4">
        <v>44964</v>
      </c>
      <c r="H5134" s="1" t="s">
        <v>315</v>
      </c>
      <c r="I5134" s="1" t="s">
        <v>316</v>
      </c>
      <c r="J5134" s="1" t="s">
        <v>183</v>
      </c>
      <c r="K5134" s="1"/>
      <c r="L5134" s="1" t="s">
        <v>183</v>
      </c>
      <c r="M5134" s="1">
        <v>7</v>
      </c>
      <c r="N5134" s="1">
        <v>7</v>
      </c>
      <c r="O5134" s="1">
        <v>7</v>
      </c>
      <c r="Q5134" s="1">
        <v>4.5</v>
      </c>
      <c r="R5134" s="1">
        <v>2.17</v>
      </c>
      <c r="S5134" s="1">
        <v>16.100000000000001</v>
      </c>
    </row>
    <row r="5135" spans="1:38" x14ac:dyDescent="0.3">
      <c r="A5135" s="1">
        <v>91423</v>
      </c>
      <c r="B5135" s="1" t="s">
        <v>501</v>
      </c>
      <c r="C5135" s="1" t="s">
        <v>294</v>
      </c>
      <c r="D5135" s="1">
        <v>2023</v>
      </c>
      <c r="E5135" s="1">
        <v>2</v>
      </c>
      <c r="G5135" s="4">
        <v>44964</v>
      </c>
      <c r="H5135" s="1" t="s">
        <v>315</v>
      </c>
      <c r="I5135" s="1" t="s">
        <v>316</v>
      </c>
      <c r="J5135" s="1" t="s">
        <v>183</v>
      </c>
      <c r="K5135" s="1"/>
      <c r="L5135" s="1" t="s">
        <v>183</v>
      </c>
      <c r="M5135" s="1" t="s">
        <v>286</v>
      </c>
      <c r="N5135" s="1">
        <v>7.3</v>
      </c>
      <c r="O5135" s="1">
        <v>7.3</v>
      </c>
      <c r="Q5135" s="1">
        <v>4.5999999999999996</v>
      </c>
      <c r="R5135" s="1">
        <v>1.83</v>
      </c>
      <c r="S5135" s="1">
        <v>13.8</v>
      </c>
      <c r="W5135" s="1">
        <v>20</v>
      </c>
      <c r="Y5135" s="1">
        <v>0.104</v>
      </c>
      <c r="Z5135" s="1">
        <v>1.9</v>
      </c>
      <c r="AA5135" s="1">
        <v>2.2999999999999998</v>
      </c>
      <c r="AD5135" s="1">
        <v>380</v>
      </c>
      <c r="AE5135" s="1">
        <v>7.9</v>
      </c>
      <c r="AK5135" s="1">
        <v>19</v>
      </c>
      <c r="AL5135" s="1">
        <v>860</v>
      </c>
    </row>
    <row r="5136" spans="1:38" x14ac:dyDescent="0.3">
      <c r="A5136" s="1">
        <v>91424</v>
      </c>
      <c r="B5136" s="1" t="s">
        <v>501</v>
      </c>
      <c r="C5136" s="1" t="s">
        <v>294</v>
      </c>
      <c r="D5136" s="1">
        <v>2023</v>
      </c>
      <c r="E5136" s="1">
        <v>2</v>
      </c>
      <c r="G5136" s="4">
        <v>44964</v>
      </c>
      <c r="H5136" s="1" t="s">
        <v>320</v>
      </c>
      <c r="I5136" s="1" t="s">
        <v>321</v>
      </c>
      <c r="J5136" s="1" t="s">
        <v>185</v>
      </c>
      <c r="K5136" s="1"/>
      <c r="L5136" s="1" t="s">
        <v>185</v>
      </c>
      <c r="M5136" s="1" t="s">
        <v>285</v>
      </c>
      <c r="N5136" s="1">
        <v>0.5</v>
      </c>
      <c r="O5136" s="1">
        <v>0.5</v>
      </c>
      <c r="P5136" s="1">
        <v>1.5</v>
      </c>
      <c r="Q5136" s="1">
        <v>1.5</v>
      </c>
      <c r="R5136" s="1">
        <v>3.78</v>
      </c>
      <c r="S5136" s="1">
        <v>20.3</v>
      </c>
      <c r="W5136" s="1">
        <v>100</v>
      </c>
      <c r="Y5136" s="1">
        <v>0.16300000000000001</v>
      </c>
      <c r="Z5136" s="1" t="s">
        <v>319</v>
      </c>
      <c r="AA5136" s="1">
        <v>5.0999999999999996</v>
      </c>
      <c r="AD5136" s="1">
        <v>160</v>
      </c>
      <c r="AE5136" s="1">
        <v>7.4</v>
      </c>
      <c r="AK5136" s="1">
        <v>30</v>
      </c>
      <c r="AL5136" s="1">
        <v>850</v>
      </c>
    </row>
    <row r="5137" spans="1:38" x14ac:dyDescent="0.3">
      <c r="A5137" s="1">
        <v>91425</v>
      </c>
      <c r="B5137" s="1" t="s">
        <v>501</v>
      </c>
      <c r="C5137" s="1" t="s">
        <v>294</v>
      </c>
      <c r="D5137" s="1">
        <v>2023</v>
      </c>
      <c r="E5137" s="1">
        <v>2</v>
      </c>
      <c r="G5137" s="4">
        <v>44964</v>
      </c>
      <c r="H5137" s="1" t="s">
        <v>320</v>
      </c>
      <c r="I5137" s="1" t="s">
        <v>321</v>
      </c>
      <c r="J5137" s="1" t="s">
        <v>185</v>
      </c>
      <c r="K5137" s="1"/>
      <c r="L5137" s="1" t="s">
        <v>185</v>
      </c>
      <c r="M5137" s="1">
        <v>1</v>
      </c>
      <c r="N5137" s="1">
        <v>1</v>
      </c>
      <c r="O5137" s="1">
        <v>1</v>
      </c>
      <c r="Q5137" s="1">
        <v>2.7</v>
      </c>
      <c r="R5137" s="1">
        <v>0.49</v>
      </c>
      <c r="S5137" s="1">
        <v>3.5</v>
      </c>
    </row>
    <row r="5138" spans="1:38" x14ac:dyDescent="0.3">
      <c r="A5138" s="1">
        <v>91426</v>
      </c>
      <c r="B5138" s="1" t="s">
        <v>501</v>
      </c>
      <c r="C5138" s="1" t="s">
        <v>294</v>
      </c>
      <c r="D5138" s="1">
        <v>2023</v>
      </c>
      <c r="E5138" s="1">
        <v>2</v>
      </c>
      <c r="G5138" s="4">
        <v>44964</v>
      </c>
      <c r="H5138" s="1" t="s">
        <v>320</v>
      </c>
      <c r="I5138" s="1" t="s">
        <v>321</v>
      </c>
      <c r="J5138" s="1" t="s">
        <v>185</v>
      </c>
      <c r="K5138" s="1"/>
      <c r="L5138" s="1" t="s">
        <v>185</v>
      </c>
      <c r="M5138" s="1" t="s">
        <v>286</v>
      </c>
      <c r="N5138" s="1">
        <v>1.5</v>
      </c>
      <c r="O5138" s="1">
        <v>1.5</v>
      </c>
      <c r="Q5138" s="1">
        <v>1.5</v>
      </c>
      <c r="R5138" s="1">
        <v>0</v>
      </c>
      <c r="S5138" s="1">
        <v>0</v>
      </c>
      <c r="W5138" s="1">
        <v>59</v>
      </c>
      <c r="Y5138" s="1">
        <v>0.253</v>
      </c>
      <c r="Z5138" s="1">
        <v>1.5</v>
      </c>
      <c r="AA5138" s="1">
        <v>6.2</v>
      </c>
      <c r="AD5138" s="1">
        <v>460</v>
      </c>
      <c r="AE5138" s="1">
        <v>7.4</v>
      </c>
      <c r="AK5138" s="1">
        <v>33</v>
      </c>
      <c r="AL5138" s="1">
        <v>1100</v>
      </c>
    </row>
    <row r="5139" spans="1:38" x14ac:dyDescent="0.3">
      <c r="A5139" s="1">
        <v>91427</v>
      </c>
      <c r="B5139" s="1" t="s">
        <v>501</v>
      </c>
      <c r="C5139" s="1" t="s">
        <v>294</v>
      </c>
      <c r="D5139" s="1">
        <v>2023</v>
      </c>
      <c r="E5139" s="1">
        <v>2</v>
      </c>
      <c r="G5139" s="4">
        <v>44964</v>
      </c>
      <c r="H5139" s="1" t="s">
        <v>323</v>
      </c>
      <c r="I5139" s="1" t="s">
        <v>324</v>
      </c>
      <c r="J5139" s="1" t="s">
        <v>207</v>
      </c>
      <c r="K5139" s="1"/>
      <c r="L5139" s="1" t="s">
        <v>207</v>
      </c>
      <c r="M5139" s="1" t="s">
        <v>285</v>
      </c>
      <c r="N5139" s="1">
        <v>0.5</v>
      </c>
      <c r="O5139" s="1">
        <v>0.5</v>
      </c>
      <c r="P5139" s="1">
        <v>1.4</v>
      </c>
      <c r="Q5139" s="1">
        <v>1.3</v>
      </c>
      <c r="R5139" s="1">
        <v>6.51</v>
      </c>
      <c r="S5139" s="1">
        <v>45.3</v>
      </c>
      <c r="W5139" s="1">
        <v>37</v>
      </c>
      <c r="Y5139" s="1">
        <v>0.55300000000000005</v>
      </c>
      <c r="Z5139" s="1">
        <v>3.9</v>
      </c>
      <c r="AA5139" s="1">
        <v>3.7</v>
      </c>
      <c r="AD5139" s="1">
        <v>200</v>
      </c>
      <c r="AE5139" s="1">
        <v>7</v>
      </c>
      <c r="AK5139" s="1">
        <v>32</v>
      </c>
      <c r="AL5139" s="1">
        <v>1100</v>
      </c>
    </row>
    <row r="5140" spans="1:38" x14ac:dyDescent="0.3">
      <c r="A5140" s="1">
        <v>91428</v>
      </c>
      <c r="B5140" s="1" t="s">
        <v>501</v>
      </c>
      <c r="C5140" s="1" t="s">
        <v>294</v>
      </c>
      <c r="D5140" s="1">
        <v>2023</v>
      </c>
      <c r="E5140" s="1">
        <v>2</v>
      </c>
      <c r="G5140" s="4">
        <v>44964</v>
      </c>
      <c r="H5140" s="1" t="s">
        <v>323</v>
      </c>
      <c r="I5140" s="1" t="s">
        <v>324</v>
      </c>
      <c r="J5140" s="1" t="s">
        <v>207</v>
      </c>
      <c r="K5140" s="1"/>
      <c r="L5140" s="1" t="s">
        <v>207</v>
      </c>
      <c r="M5140" s="1">
        <v>1</v>
      </c>
      <c r="N5140" s="1">
        <v>1</v>
      </c>
      <c r="O5140" s="1">
        <v>1</v>
      </c>
      <c r="Q5140" s="1">
        <v>2.5</v>
      </c>
      <c r="R5140" s="1">
        <v>4.7</v>
      </c>
      <c r="S5140" s="1">
        <v>34.1</v>
      </c>
    </row>
    <row r="5141" spans="1:38" x14ac:dyDescent="0.3">
      <c r="A5141" s="1">
        <v>91429</v>
      </c>
      <c r="B5141" s="1" t="s">
        <v>501</v>
      </c>
      <c r="C5141" s="1" t="s">
        <v>294</v>
      </c>
      <c r="D5141" s="1">
        <v>2023</v>
      </c>
      <c r="E5141" s="1">
        <v>2</v>
      </c>
      <c r="G5141" s="4">
        <v>44964</v>
      </c>
      <c r="H5141" s="1" t="s">
        <v>323</v>
      </c>
      <c r="I5141" s="1" t="s">
        <v>324</v>
      </c>
      <c r="J5141" s="1" t="s">
        <v>207</v>
      </c>
      <c r="K5141" s="1"/>
      <c r="L5141" s="1" t="s">
        <v>207</v>
      </c>
      <c r="M5141" s="1">
        <v>2</v>
      </c>
      <c r="N5141" s="1">
        <v>2</v>
      </c>
      <c r="O5141" s="1">
        <v>2</v>
      </c>
      <c r="Q5141" s="1">
        <v>3.7</v>
      </c>
      <c r="R5141" s="1">
        <v>1.52</v>
      </c>
      <c r="S5141" s="1">
        <v>11</v>
      </c>
    </row>
    <row r="5142" spans="1:38" x14ac:dyDescent="0.3">
      <c r="A5142" s="1">
        <v>91430</v>
      </c>
      <c r="B5142" s="1" t="s">
        <v>501</v>
      </c>
      <c r="C5142" s="1" t="s">
        <v>294</v>
      </c>
      <c r="D5142" s="1">
        <v>2023</v>
      </c>
      <c r="E5142" s="1">
        <v>2</v>
      </c>
      <c r="G5142" s="4">
        <v>44964</v>
      </c>
      <c r="H5142" s="1" t="s">
        <v>323</v>
      </c>
      <c r="I5142" s="1" t="s">
        <v>324</v>
      </c>
      <c r="J5142" s="1" t="s">
        <v>207</v>
      </c>
      <c r="K5142" s="1"/>
      <c r="L5142" s="1" t="s">
        <v>207</v>
      </c>
      <c r="M5142" s="1">
        <v>3</v>
      </c>
      <c r="N5142" s="1">
        <v>3</v>
      </c>
      <c r="O5142" s="1">
        <v>3</v>
      </c>
      <c r="Q5142" s="1">
        <v>3.8</v>
      </c>
      <c r="R5142" s="1">
        <v>0.7</v>
      </c>
      <c r="S5142" s="1">
        <v>5.2</v>
      </c>
    </row>
    <row r="5143" spans="1:38" x14ac:dyDescent="0.3">
      <c r="A5143" s="1">
        <v>91431</v>
      </c>
      <c r="B5143" s="1" t="s">
        <v>501</v>
      </c>
      <c r="C5143" s="1" t="s">
        <v>294</v>
      </c>
      <c r="D5143" s="1">
        <v>2023</v>
      </c>
      <c r="E5143" s="1">
        <v>2</v>
      </c>
      <c r="G5143" s="4">
        <v>44964</v>
      </c>
      <c r="H5143" s="1" t="s">
        <v>323</v>
      </c>
      <c r="I5143" s="1" t="s">
        <v>324</v>
      </c>
      <c r="J5143" s="1" t="s">
        <v>207</v>
      </c>
      <c r="K5143" s="1"/>
      <c r="L5143" s="1" t="s">
        <v>207</v>
      </c>
      <c r="M5143" s="1" t="s">
        <v>286</v>
      </c>
      <c r="N5143" s="1">
        <v>3.5</v>
      </c>
      <c r="O5143" s="1">
        <v>3.5</v>
      </c>
      <c r="Q5143" s="1">
        <v>4.0999999999999996</v>
      </c>
      <c r="R5143" s="1">
        <v>0.22</v>
      </c>
      <c r="S5143" s="1">
        <v>1.6</v>
      </c>
      <c r="W5143" s="1">
        <v>10</v>
      </c>
      <c r="Y5143" s="1">
        <v>0.51200000000000001</v>
      </c>
      <c r="Z5143" s="1">
        <v>2.2000000000000002</v>
      </c>
      <c r="AA5143" s="1">
        <v>1.2</v>
      </c>
      <c r="AD5143" s="1">
        <v>220</v>
      </c>
      <c r="AE5143" s="1">
        <v>7.3</v>
      </c>
      <c r="AK5143" s="1">
        <v>18</v>
      </c>
      <c r="AL5143" s="1">
        <v>1100</v>
      </c>
    </row>
    <row r="5144" spans="1:38" x14ac:dyDescent="0.3">
      <c r="A5144" s="1">
        <v>91432</v>
      </c>
      <c r="B5144" s="1" t="s">
        <v>501</v>
      </c>
      <c r="C5144" s="1" t="s">
        <v>294</v>
      </c>
      <c r="D5144" s="1">
        <v>2023</v>
      </c>
      <c r="E5144" s="1">
        <v>2</v>
      </c>
      <c r="G5144" s="4">
        <v>44964</v>
      </c>
      <c r="H5144" s="1" t="s">
        <v>326</v>
      </c>
      <c r="I5144" s="1" t="s">
        <v>327</v>
      </c>
      <c r="J5144" s="1" t="s">
        <v>201</v>
      </c>
      <c r="K5144" s="1"/>
      <c r="L5144" s="1" t="s">
        <v>201</v>
      </c>
      <c r="M5144" s="1" t="s">
        <v>285</v>
      </c>
      <c r="N5144" s="1">
        <v>0.5</v>
      </c>
      <c r="O5144" s="1">
        <v>0.5</v>
      </c>
      <c r="P5144" s="1">
        <v>2.8</v>
      </c>
      <c r="Q5144" s="1">
        <v>2.6</v>
      </c>
      <c r="R5144" s="1">
        <v>2.85</v>
      </c>
      <c r="S5144" s="1">
        <v>20.6</v>
      </c>
      <c r="W5144" s="1">
        <v>140</v>
      </c>
      <c r="Y5144" s="1">
        <v>0.113</v>
      </c>
      <c r="Z5144" s="1">
        <v>22</v>
      </c>
      <c r="AA5144" s="1">
        <v>2.4</v>
      </c>
      <c r="AD5144" s="1">
        <v>1600</v>
      </c>
      <c r="AE5144" s="1">
        <v>7.5</v>
      </c>
      <c r="AK5144" s="1">
        <v>41</v>
      </c>
      <c r="AL5144" s="1">
        <v>2100</v>
      </c>
    </row>
    <row r="5145" spans="1:38" x14ac:dyDescent="0.3">
      <c r="A5145" s="1">
        <v>91433</v>
      </c>
      <c r="B5145" s="1" t="s">
        <v>501</v>
      </c>
      <c r="C5145" s="1" t="s">
        <v>294</v>
      </c>
      <c r="D5145" s="1">
        <v>2023</v>
      </c>
      <c r="E5145" s="1">
        <v>2</v>
      </c>
      <c r="G5145" s="4">
        <v>44964</v>
      </c>
      <c r="H5145" s="1" t="s">
        <v>326</v>
      </c>
      <c r="I5145" s="1" t="s">
        <v>327</v>
      </c>
      <c r="J5145" s="1" t="s">
        <v>201</v>
      </c>
      <c r="K5145" s="1"/>
      <c r="L5145" s="1" t="s">
        <v>201</v>
      </c>
      <c r="M5145" s="1">
        <v>1</v>
      </c>
      <c r="N5145" s="1">
        <v>1</v>
      </c>
      <c r="O5145" s="1">
        <v>1</v>
      </c>
      <c r="Q5145" s="1">
        <v>3.5</v>
      </c>
      <c r="R5145" s="1">
        <v>0.94</v>
      </c>
      <c r="S5145" s="1">
        <v>7</v>
      </c>
    </row>
    <row r="5146" spans="1:38" x14ac:dyDescent="0.3">
      <c r="A5146" s="1">
        <v>91434</v>
      </c>
      <c r="B5146" s="1" t="s">
        <v>501</v>
      </c>
      <c r="C5146" s="1" t="s">
        <v>294</v>
      </c>
      <c r="D5146" s="1">
        <v>2023</v>
      </c>
      <c r="E5146" s="1">
        <v>2</v>
      </c>
      <c r="G5146" s="4">
        <v>44964</v>
      </c>
      <c r="H5146" s="1" t="s">
        <v>326</v>
      </c>
      <c r="I5146" s="1" t="s">
        <v>327</v>
      </c>
      <c r="J5146" s="1" t="s">
        <v>201</v>
      </c>
      <c r="K5146" s="1"/>
      <c r="L5146" s="1" t="s">
        <v>201</v>
      </c>
      <c r="M5146" s="1">
        <v>2</v>
      </c>
      <c r="N5146" s="1">
        <v>2</v>
      </c>
      <c r="O5146" s="1">
        <v>2</v>
      </c>
      <c r="Q5146" s="1">
        <v>4.9000000000000004</v>
      </c>
      <c r="R5146" s="1">
        <v>1.1299999999999999</v>
      </c>
      <c r="S5146" s="1">
        <v>8.6999999999999993</v>
      </c>
    </row>
    <row r="5147" spans="1:38" x14ac:dyDescent="0.3">
      <c r="A5147" s="1">
        <v>91435</v>
      </c>
      <c r="B5147" s="1" t="s">
        <v>501</v>
      </c>
      <c r="C5147" s="1" t="s">
        <v>294</v>
      </c>
      <c r="D5147" s="1">
        <v>2023</v>
      </c>
      <c r="E5147" s="1">
        <v>2</v>
      </c>
      <c r="G5147" s="4">
        <v>44964</v>
      </c>
      <c r="H5147" s="1" t="s">
        <v>326</v>
      </c>
      <c r="I5147" s="1" t="s">
        <v>327</v>
      </c>
      <c r="J5147" s="1" t="s">
        <v>201</v>
      </c>
      <c r="K5147" s="1"/>
      <c r="L5147" s="1" t="s">
        <v>201</v>
      </c>
      <c r="M5147" s="1">
        <v>3</v>
      </c>
      <c r="N5147" s="1">
        <v>3</v>
      </c>
      <c r="O5147" s="1">
        <v>3</v>
      </c>
      <c r="Q5147" s="1">
        <v>5.0999999999999996</v>
      </c>
      <c r="R5147" s="1">
        <v>1.9</v>
      </c>
      <c r="S5147" s="1">
        <v>14.7</v>
      </c>
    </row>
    <row r="5148" spans="1:38" x14ac:dyDescent="0.3">
      <c r="A5148" s="1">
        <v>91436</v>
      </c>
      <c r="B5148" s="1" t="s">
        <v>501</v>
      </c>
      <c r="C5148" s="1" t="s">
        <v>294</v>
      </c>
      <c r="D5148" s="1">
        <v>2023</v>
      </c>
      <c r="E5148" s="1">
        <v>2</v>
      </c>
      <c r="G5148" s="4">
        <v>44964</v>
      </c>
      <c r="H5148" s="1" t="s">
        <v>326</v>
      </c>
      <c r="I5148" s="1" t="s">
        <v>327</v>
      </c>
      <c r="J5148" s="1" t="s">
        <v>201</v>
      </c>
      <c r="K5148" s="1"/>
      <c r="L5148" s="1" t="s">
        <v>201</v>
      </c>
      <c r="M5148" s="1" t="s">
        <v>286</v>
      </c>
      <c r="N5148" s="1">
        <v>3.7</v>
      </c>
      <c r="O5148" s="1">
        <v>3.7</v>
      </c>
      <c r="Q5148" s="1">
        <v>5.0999999999999996</v>
      </c>
      <c r="R5148" s="1">
        <v>1.85</v>
      </c>
      <c r="S5148" s="1">
        <v>14.2</v>
      </c>
      <c r="W5148" s="1">
        <v>160</v>
      </c>
      <c r="Y5148" s="1">
        <v>0.17899999999999999</v>
      </c>
      <c r="Z5148" s="1">
        <v>22</v>
      </c>
      <c r="AA5148" s="1">
        <v>2.1</v>
      </c>
      <c r="AD5148" s="1">
        <v>1100</v>
      </c>
      <c r="AE5148" s="1">
        <v>7.5</v>
      </c>
      <c r="AK5148" s="1">
        <v>42</v>
      </c>
      <c r="AL5148" s="1">
        <v>1800</v>
      </c>
    </row>
    <row r="5149" spans="1:38" x14ac:dyDescent="0.3">
      <c r="A5149" s="1">
        <v>91437</v>
      </c>
      <c r="B5149" s="1" t="s">
        <v>501</v>
      </c>
      <c r="C5149" s="1" t="s">
        <v>294</v>
      </c>
      <c r="D5149" s="1">
        <v>2023</v>
      </c>
      <c r="E5149" s="1">
        <v>2</v>
      </c>
      <c r="G5149" s="4">
        <v>44965</v>
      </c>
      <c r="H5149" s="1" t="s">
        <v>329</v>
      </c>
      <c r="I5149" s="1" t="s">
        <v>330</v>
      </c>
      <c r="J5149" s="1" t="s">
        <v>186</v>
      </c>
      <c r="K5149" s="1"/>
      <c r="L5149" s="1" t="s">
        <v>331</v>
      </c>
      <c r="M5149" s="1" t="s">
        <v>285</v>
      </c>
      <c r="N5149" s="1">
        <v>0.5</v>
      </c>
      <c r="O5149" s="1">
        <v>0.5</v>
      </c>
      <c r="P5149" s="1">
        <v>1.1000000000000001</v>
      </c>
      <c r="Q5149" s="1">
        <v>0.4</v>
      </c>
      <c r="R5149" s="1">
        <v>12</v>
      </c>
      <c r="S5149" s="1">
        <v>81.599999999999994</v>
      </c>
      <c r="W5149" s="1">
        <v>65</v>
      </c>
      <c r="Y5149" s="1">
        <v>5.1999999999999998E-2</v>
      </c>
      <c r="Z5149" s="1">
        <v>2.2000000000000002</v>
      </c>
      <c r="AA5149" s="1">
        <v>4.3</v>
      </c>
      <c r="AD5149" s="1">
        <v>450</v>
      </c>
      <c r="AE5149" s="1">
        <v>7.7</v>
      </c>
      <c r="AK5149" s="1">
        <v>26</v>
      </c>
      <c r="AL5149" s="1">
        <v>1000</v>
      </c>
    </row>
    <row r="5150" spans="1:38" x14ac:dyDescent="0.3">
      <c r="A5150" s="1">
        <v>91438</v>
      </c>
      <c r="B5150" s="1" t="s">
        <v>501</v>
      </c>
      <c r="C5150" s="1" t="s">
        <v>294</v>
      </c>
      <c r="D5150" s="1">
        <v>2023</v>
      </c>
      <c r="E5150" s="1">
        <v>2</v>
      </c>
      <c r="G5150" s="4">
        <v>44965</v>
      </c>
      <c r="H5150" s="1" t="s">
        <v>329</v>
      </c>
      <c r="I5150" s="1" t="s">
        <v>330</v>
      </c>
      <c r="J5150" s="1" t="s">
        <v>186</v>
      </c>
      <c r="K5150" s="1"/>
      <c r="L5150" s="1" t="s">
        <v>331</v>
      </c>
      <c r="M5150" s="1">
        <v>1</v>
      </c>
      <c r="N5150" s="1">
        <v>1</v>
      </c>
      <c r="O5150" s="1">
        <v>1</v>
      </c>
      <c r="Q5150" s="1">
        <v>1.1000000000000001</v>
      </c>
      <c r="R5150" s="1">
        <v>6.46</v>
      </c>
      <c r="S5150" s="1">
        <v>44.8</v>
      </c>
    </row>
    <row r="5151" spans="1:38" x14ac:dyDescent="0.3">
      <c r="A5151" s="1">
        <v>91439</v>
      </c>
      <c r="B5151" s="1" t="s">
        <v>501</v>
      </c>
      <c r="C5151" s="1" t="s">
        <v>294</v>
      </c>
      <c r="D5151" s="1">
        <v>2023</v>
      </c>
      <c r="E5151" s="1">
        <v>2</v>
      </c>
      <c r="G5151" s="4">
        <v>44965</v>
      </c>
      <c r="H5151" s="1" t="s">
        <v>329</v>
      </c>
      <c r="I5151" s="1" t="s">
        <v>330</v>
      </c>
      <c r="J5151" s="1" t="s">
        <v>186</v>
      </c>
      <c r="K5151" s="1"/>
      <c r="L5151" s="1" t="s">
        <v>331</v>
      </c>
      <c r="M5151" s="1">
        <v>2</v>
      </c>
      <c r="N5151" s="1">
        <v>2</v>
      </c>
      <c r="O5151" s="1">
        <v>2</v>
      </c>
      <c r="Q5151" s="1">
        <v>2.8</v>
      </c>
      <c r="R5151" s="1">
        <v>4.6500000000000004</v>
      </c>
      <c r="S5151" s="1">
        <v>33.799999999999997</v>
      </c>
    </row>
    <row r="5152" spans="1:38" x14ac:dyDescent="0.3">
      <c r="A5152" s="1">
        <v>91440</v>
      </c>
      <c r="B5152" s="1" t="s">
        <v>501</v>
      </c>
      <c r="C5152" s="1" t="s">
        <v>294</v>
      </c>
      <c r="D5152" s="1">
        <v>2023</v>
      </c>
      <c r="E5152" s="1">
        <v>2</v>
      </c>
      <c r="G5152" s="4">
        <v>44965</v>
      </c>
      <c r="H5152" s="1" t="s">
        <v>329</v>
      </c>
      <c r="I5152" s="1" t="s">
        <v>330</v>
      </c>
      <c r="J5152" s="1" t="s">
        <v>186</v>
      </c>
      <c r="K5152" s="1"/>
      <c r="L5152" s="1" t="s">
        <v>331</v>
      </c>
      <c r="M5152" s="1" t="s">
        <v>286</v>
      </c>
      <c r="N5152" s="1">
        <v>2.2999999999999998</v>
      </c>
      <c r="O5152" s="1">
        <v>2.2999999999999998</v>
      </c>
      <c r="Q5152" s="1">
        <v>2.6</v>
      </c>
      <c r="R5152" s="1">
        <v>4.74</v>
      </c>
      <c r="S5152" s="1">
        <v>34.299999999999997</v>
      </c>
    </row>
    <row r="5153" spans="1:38" x14ac:dyDescent="0.3">
      <c r="A5153" s="1">
        <v>91441</v>
      </c>
      <c r="B5153" s="1" t="s">
        <v>501</v>
      </c>
      <c r="C5153" s="1" t="s">
        <v>294</v>
      </c>
      <c r="D5153" s="1">
        <v>2023</v>
      </c>
      <c r="E5153" s="1">
        <v>2</v>
      </c>
      <c r="G5153" s="4">
        <v>44965</v>
      </c>
      <c r="H5153" s="1" t="s">
        <v>332</v>
      </c>
      <c r="I5153" s="1" t="s">
        <v>333</v>
      </c>
      <c r="J5153" s="1" t="s">
        <v>186</v>
      </c>
      <c r="K5153" s="1">
        <v>2</v>
      </c>
      <c r="L5153" s="1" t="s">
        <v>334</v>
      </c>
      <c r="M5153" s="1" t="s">
        <v>285</v>
      </c>
      <c r="N5153" s="1">
        <v>0.5</v>
      </c>
      <c r="O5153" s="1">
        <v>0.5</v>
      </c>
      <c r="P5153" s="1">
        <v>4</v>
      </c>
      <c r="Q5153" s="1">
        <v>2.4</v>
      </c>
      <c r="R5153" s="1">
        <v>11.51</v>
      </c>
      <c r="S5153" s="1">
        <v>83</v>
      </c>
      <c r="W5153" s="1">
        <v>7.7</v>
      </c>
      <c r="Y5153" s="1">
        <v>4.2000000000000003E-2</v>
      </c>
      <c r="Z5153" s="1">
        <v>17</v>
      </c>
      <c r="AA5153" s="1">
        <v>5.6</v>
      </c>
      <c r="AD5153" s="1">
        <v>440</v>
      </c>
      <c r="AE5153" s="1">
        <v>7.8</v>
      </c>
      <c r="AK5153" s="1">
        <v>32</v>
      </c>
      <c r="AL5153" s="1">
        <v>1200</v>
      </c>
    </row>
    <row r="5154" spans="1:38" x14ac:dyDescent="0.3">
      <c r="A5154" s="1">
        <v>91442</v>
      </c>
      <c r="B5154" s="1" t="s">
        <v>501</v>
      </c>
      <c r="C5154" s="1" t="s">
        <v>294</v>
      </c>
      <c r="D5154" s="1">
        <v>2023</v>
      </c>
      <c r="E5154" s="1">
        <v>2</v>
      </c>
      <c r="G5154" s="4">
        <v>44965</v>
      </c>
      <c r="H5154" s="1" t="s">
        <v>332</v>
      </c>
      <c r="I5154" s="1" t="s">
        <v>333</v>
      </c>
      <c r="J5154" s="1" t="s">
        <v>186</v>
      </c>
      <c r="K5154" s="1">
        <v>2</v>
      </c>
      <c r="L5154" s="1" t="s">
        <v>334</v>
      </c>
      <c r="M5154" s="1" t="s">
        <v>286</v>
      </c>
      <c r="N5154" s="1">
        <v>10.1</v>
      </c>
      <c r="O5154" s="1">
        <v>10.1</v>
      </c>
      <c r="P5154" s="1" t="s">
        <v>266</v>
      </c>
      <c r="Q5154" s="1">
        <v>4.8</v>
      </c>
      <c r="R5154" s="1">
        <v>7.0000000000000007E-2</v>
      </c>
      <c r="S5154" s="1">
        <v>0.5</v>
      </c>
      <c r="W5154" s="1">
        <v>150</v>
      </c>
      <c r="Y5154" s="1">
        <v>2.9000000000000001E-2</v>
      </c>
      <c r="Z5154" s="1">
        <v>32</v>
      </c>
      <c r="AA5154" s="1">
        <v>2</v>
      </c>
      <c r="AD5154" s="1">
        <v>580</v>
      </c>
      <c r="AE5154" s="1">
        <v>7.6</v>
      </c>
      <c r="AK5154" s="1">
        <v>54</v>
      </c>
      <c r="AL5154" s="1">
        <v>940</v>
      </c>
    </row>
    <row r="5155" spans="1:38" x14ac:dyDescent="0.3">
      <c r="A5155" s="1">
        <v>91443</v>
      </c>
      <c r="B5155" s="1" t="s">
        <v>501</v>
      </c>
      <c r="C5155" s="1" t="s">
        <v>294</v>
      </c>
      <c r="D5155" s="1">
        <v>2023</v>
      </c>
      <c r="E5155" s="1">
        <v>2</v>
      </c>
      <c r="G5155" s="4">
        <v>44965</v>
      </c>
      <c r="H5155" s="1" t="s">
        <v>335</v>
      </c>
      <c r="I5155" s="1" t="s">
        <v>336</v>
      </c>
      <c r="J5155" s="1" t="s">
        <v>186</v>
      </c>
      <c r="K5155" s="1">
        <v>3</v>
      </c>
      <c r="L5155" s="1" t="s">
        <v>337</v>
      </c>
      <c r="M5155" s="1" t="s">
        <v>285</v>
      </c>
      <c r="N5155" s="1">
        <v>0.5</v>
      </c>
      <c r="O5155" s="1">
        <v>0.5</v>
      </c>
      <c r="P5155" s="1">
        <v>4.0999999999999996</v>
      </c>
      <c r="Q5155" s="1">
        <v>2.4</v>
      </c>
      <c r="R5155" s="1">
        <v>11.5</v>
      </c>
      <c r="S5155" s="1">
        <v>84.6</v>
      </c>
      <c r="W5155" s="1">
        <v>5.8</v>
      </c>
      <c r="Y5155" s="1">
        <v>2.8000000000000001E-2</v>
      </c>
      <c r="Z5155" s="1">
        <v>16</v>
      </c>
      <c r="AA5155" s="1">
        <v>3.2</v>
      </c>
      <c r="AD5155" s="1">
        <v>330</v>
      </c>
      <c r="AE5155" s="1">
        <v>8</v>
      </c>
      <c r="AK5155" s="1">
        <v>32</v>
      </c>
      <c r="AL5155" s="1">
        <v>1200</v>
      </c>
    </row>
    <row r="5156" spans="1:38" x14ac:dyDescent="0.3">
      <c r="A5156" s="1">
        <v>91444</v>
      </c>
      <c r="B5156" s="1" t="s">
        <v>501</v>
      </c>
      <c r="C5156" s="1" t="s">
        <v>294</v>
      </c>
      <c r="D5156" s="1">
        <v>2023</v>
      </c>
      <c r="E5156" s="1">
        <v>2</v>
      </c>
      <c r="G5156" s="4">
        <v>44965</v>
      </c>
      <c r="H5156" s="1" t="s">
        <v>335</v>
      </c>
      <c r="I5156" s="1" t="s">
        <v>336</v>
      </c>
      <c r="J5156" s="1" t="s">
        <v>186</v>
      </c>
      <c r="K5156" s="1">
        <v>3</v>
      </c>
      <c r="L5156" s="1" t="s">
        <v>337</v>
      </c>
      <c r="M5156" s="1">
        <v>1</v>
      </c>
      <c r="N5156" s="1">
        <v>1</v>
      </c>
      <c r="O5156" s="1">
        <v>1</v>
      </c>
      <c r="Q5156" s="1">
        <v>3.6</v>
      </c>
      <c r="R5156" s="1">
        <v>9.7799999999999994</v>
      </c>
      <c r="S5156" s="1">
        <v>72.7</v>
      </c>
    </row>
    <row r="5157" spans="1:38" x14ac:dyDescent="0.3">
      <c r="A5157" s="1">
        <v>91445</v>
      </c>
      <c r="B5157" s="1" t="s">
        <v>501</v>
      </c>
      <c r="C5157" s="1" t="s">
        <v>294</v>
      </c>
      <c r="D5157" s="1">
        <v>2023</v>
      </c>
      <c r="E5157" s="1">
        <v>2</v>
      </c>
      <c r="G5157" s="4">
        <v>44965</v>
      </c>
      <c r="H5157" s="1" t="s">
        <v>335</v>
      </c>
      <c r="I5157" s="1" t="s">
        <v>336</v>
      </c>
      <c r="J5157" s="1" t="s">
        <v>186</v>
      </c>
      <c r="K5157" s="1">
        <v>3</v>
      </c>
      <c r="L5157" s="1" t="s">
        <v>337</v>
      </c>
      <c r="M5157" s="1">
        <v>2</v>
      </c>
      <c r="N5157" s="1">
        <v>2</v>
      </c>
      <c r="O5157" s="1">
        <v>2</v>
      </c>
      <c r="Q5157" s="1">
        <v>3.5</v>
      </c>
      <c r="R5157" s="1">
        <v>9.01</v>
      </c>
      <c r="S5157" s="1">
        <v>67.3</v>
      </c>
    </row>
    <row r="5158" spans="1:38" x14ac:dyDescent="0.3">
      <c r="A5158" s="1">
        <v>91446</v>
      </c>
      <c r="B5158" s="1" t="s">
        <v>501</v>
      </c>
      <c r="C5158" s="1" t="s">
        <v>294</v>
      </c>
      <c r="D5158" s="1">
        <v>2023</v>
      </c>
      <c r="E5158" s="1">
        <v>2</v>
      </c>
      <c r="G5158" s="4">
        <v>44965</v>
      </c>
      <c r="H5158" s="1" t="s">
        <v>335</v>
      </c>
      <c r="I5158" s="1" t="s">
        <v>336</v>
      </c>
      <c r="J5158" s="1" t="s">
        <v>186</v>
      </c>
      <c r="K5158" s="1">
        <v>3</v>
      </c>
      <c r="L5158" s="1" t="s">
        <v>337</v>
      </c>
      <c r="M5158" s="1">
        <v>3</v>
      </c>
      <c r="N5158" s="1">
        <v>3</v>
      </c>
      <c r="O5158" s="1">
        <v>3</v>
      </c>
      <c r="Q5158" s="1">
        <v>3.9</v>
      </c>
      <c r="R5158" s="1">
        <v>8.36</v>
      </c>
      <c r="S5158" s="1">
        <v>62.5</v>
      </c>
    </row>
    <row r="5159" spans="1:38" x14ac:dyDescent="0.3">
      <c r="A5159" s="1">
        <v>91447</v>
      </c>
      <c r="B5159" s="1" t="s">
        <v>501</v>
      </c>
      <c r="C5159" s="1" t="s">
        <v>294</v>
      </c>
      <c r="D5159" s="1">
        <v>2023</v>
      </c>
      <c r="E5159" s="1">
        <v>2</v>
      </c>
      <c r="G5159" s="4">
        <v>44965</v>
      </c>
      <c r="H5159" s="1" t="s">
        <v>335</v>
      </c>
      <c r="I5159" s="1" t="s">
        <v>336</v>
      </c>
      <c r="J5159" s="1" t="s">
        <v>186</v>
      </c>
      <c r="K5159" s="1">
        <v>3</v>
      </c>
      <c r="L5159" s="1" t="s">
        <v>337</v>
      </c>
      <c r="M5159" s="1">
        <v>4</v>
      </c>
      <c r="N5159" s="1">
        <v>4</v>
      </c>
      <c r="O5159" s="1">
        <v>4</v>
      </c>
      <c r="Q5159" s="1">
        <v>4</v>
      </c>
      <c r="R5159" s="1">
        <v>7.29</v>
      </c>
      <c r="S5159" s="1">
        <v>54.8</v>
      </c>
    </row>
    <row r="5160" spans="1:38" x14ac:dyDescent="0.3">
      <c r="A5160" s="1">
        <v>91448</v>
      </c>
      <c r="B5160" s="1" t="s">
        <v>501</v>
      </c>
      <c r="C5160" s="1" t="s">
        <v>294</v>
      </c>
      <c r="D5160" s="1">
        <v>2023</v>
      </c>
      <c r="E5160" s="1">
        <v>2</v>
      </c>
      <c r="G5160" s="4">
        <v>44965</v>
      </c>
      <c r="H5160" s="1" t="s">
        <v>335</v>
      </c>
      <c r="I5160" s="1" t="s">
        <v>336</v>
      </c>
      <c r="J5160" s="1" t="s">
        <v>186</v>
      </c>
      <c r="K5160" s="1">
        <v>3</v>
      </c>
      <c r="L5160" s="1" t="s">
        <v>337</v>
      </c>
      <c r="M5160" s="1">
        <v>5</v>
      </c>
      <c r="N5160" s="1">
        <v>5</v>
      </c>
      <c r="O5160" s="1">
        <v>5</v>
      </c>
      <c r="Q5160" s="1">
        <v>4.0999999999999996</v>
      </c>
      <c r="R5160" s="1">
        <v>6.42</v>
      </c>
      <c r="S5160" s="1">
        <v>48.2</v>
      </c>
    </row>
    <row r="5161" spans="1:38" x14ac:dyDescent="0.3">
      <c r="A5161" s="1">
        <v>91449</v>
      </c>
      <c r="B5161" s="1" t="s">
        <v>501</v>
      </c>
      <c r="C5161" s="1" t="s">
        <v>294</v>
      </c>
      <c r="D5161" s="1">
        <v>2023</v>
      </c>
      <c r="E5161" s="1">
        <v>2</v>
      </c>
      <c r="G5161" s="4">
        <v>44965</v>
      </c>
      <c r="H5161" s="1" t="s">
        <v>335</v>
      </c>
      <c r="I5161" s="1" t="s">
        <v>336</v>
      </c>
      <c r="J5161" s="1" t="s">
        <v>186</v>
      </c>
      <c r="K5161" s="1">
        <v>3</v>
      </c>
      <c r="L5161" s="1" t="s">
        <v>337</v>
      </c>
      <c r="M5161" s="1">
        <v>6</v>
      </c>
      <c r="N5161" s="1">
        <v>6</v>
      </c>
      <c r="O5161" s="1">
        <v>6</v>
      </c>
      <c r="Q5161" s="1">
        <v>4.2</v>
      </c>
      <c r="R5161" s="1">
        <v>4.63</v>
      </c>
      <c r="S5161" s="1">
        <v>35</v>
      </c>
    </row>
    <row r="5162" spans="1:38" x14ac:dyDescent="0.3">
      <c r="A5162" s="1">
        <v>91450</v>
      </c>
      <c r="B5162" s="1" t="s">
        <v>501</v>
      </c>
      <c r="C5162" s="1" t="s">
        <v>294</v>
      </c>
      <c r="D5162" s="1">
        <v>2023</v>
      </c>
      <c r="E5162" s="1">
        <v>2</v>
      </c>
      <c r="G5162" s="4">
        <v>44965</v>
      </c>
      <c r="H5162" s="1" t="s">
        <v>335</v>
      </c>
      <c r="I5162" s="1" t="s">
        <v>336</v>
      </c>
      <c r="J5162" s="1" t="s">
        <v>186</v>
      </c>
      <c r="K5162" s="1">
        <v>3</v>
      </c>
      <c r="L5162" s="1" t="s">
        <v>337</v>
      </c>
      <c r="M5162" s="1">
        <v>7</v>
      </c>
      <c r="N5162" s="1">
        <v>7</v>
      </c>
      <c r="O5162" s="1">
        <v>7</v>
      </c>
      <c r="Q5162" s="1">
        <v>4.2</v>
      </c>
      <c r="R5162" s="1">
        <v>3.23</v>
      </c>
      <c r="S5162" s="1">
        <v>24.3</v>
      </c>
    </row>
    <row r="5163" spans="1:38" x14ac:dyDescent="0.3">
      <c r="A5163" s="1">
        <v>91451</v>
      </c>
      <c r="B5163" s="1" t="s">
        <v>501</v>
      </c>
      <c r="C5163" s="1" t="s">
        <v>294</v>
      </c>
      <c r="D5163" s="1">
        <v>2023</v>
      </c>
      <c r="E5163" s="1">
        <v>2</v>
      </c>
      <c r="G5163" s="4">
        <v>44965</v>
      </c>
      <c r="H5163" s="1" t="s">
        <v>335</v>
      </c>
      <c r="I5163" s="1" t="s">
        <v>336</v>
      </c>
      <c r="J5163" s="1" t="s">
        <v>186</v>
      </c>
      <c r="K5163" s="1">
        <v>3</v>
      </c>
      <c r="L5163" s="1" t="s">
        <v>337</v>
      </c>
      <c r="M5163" s="1">
        <v>8</v>
      </c>
      <c r="N5163" s="1">
        <v>8</v>
      </c>
      <c r="O5163" s="1">
        <v>8</v>
      </c>
      <c r="Q5163" s="1">
        <v>4.2</v>
      </c>
      <c r="R5163" s="1">
        <v>1.74</v>
      </c>
      <c r="S5163" s="1">
        <v>13.1</v>
      </c>
    </row>
    <row r="5164" spans="1:38" x14ac:dyDescent="0.3">
      <c r="A5164" s="1">
        <v>91452</v>
      </c>
      <c r="B5164" s="1" t="s">
        <v>501</v>
      </c>
      <c r="C5164" s="1" t="s">
        <v>294</v>
      </c>
      <c r="D5164" s="1">
        <v>2023</v>
      </c>
      <c r="E5164" s="1">
        <v>2</v>
      </c>
      <c r="G5164" s="4">
        <v>44965</v>
      </c>
      <c r="H5164" s="1" t="s">
        <v>335</v>
      </c>
      <c r="I5164" s="1" t="s">
        <v>336</v>
      </c>
      <c r="J5164" s="1" t="s">
        <v>186</v>
      </c>
      <c r="K5164" s="1">
        <v>3</v>
      </c>
      <c r="L5164" s="1" t="s">
        <v>337</v>
      </c>
      <c r="M5164" s="1">
        <v>9</v>
      </c>
      <c r="N5164" s="1">
        <v>9</v>
      </c>
      <c r="O5164" s="1">
        <v>9</v>
      </c>
      <c r="Q5164" s="1">
        <v>4.3</v>
      </c>
      <c r="R5164" s="1">
        <v>0.6</v>
      </c>
      <c r="S5164" s="1">
        <v>4.7</v>
      </c>
    </row>
    <row r="5165" spans="1:38" x14ac:dyDescent="0.3">
      <c r="A5165" s="1">
        <v>91453</v>
      </c>
      <c r="B5165" s="1" t="s">
        <v>501</v>
      </c>
      <c r="C5165" s="1" t="s">
        <v>294</v>
      </c>
      <c r="D5165" s="1">
        <v>2023</v>
      </c>
      <c r="E5165" s="1">
        <v>2</v>
      </c>
      <c r="G5165" s="4">
        <v>44965</v>
      </c>
      <c r="H5165" s="1" t="s">
        <v>335</v>
      </c>
      <c r="I5165" s="1" t="s">
        <v>336</v>
      </c>
      <c r="J5165" s="1" t="s">
        <v>186</v>
      </c>
      <c r="K5165" s="1">
        <v>3</v>
      </c>
      <c r="L5165" s="1" t="s">
        <v>337</v>
      </c>
      <c r="M5165" s="1">
        <v>10</v>
      </c>
      <c r="N5165" s="1">
        <v>10</v>
      </c>
      <c r="O5165" s="1">
        <v>10</v>
      </c>
      <c r="Q5165" s="1">
        <v>4.4000000000000004</v>
      </c>
      <c r="R5165" s="1">
        <v>1.26</v>
      </c>
      <c r="S5165" s="1">
        <v>4.5</v>
      </c>
    </row>
    <row r="5166" spans="1:38" x14ac:dyDescent="0.3">
      <c r="A5166" s="1">
        <v>91454</v>
      </c>
      <c r="B5166" s="1" t="s">
        <v>501</v>
      </c>
      <c r="C5166" s="1" t="s">
        <v>294</v>
      </c>
      <c r="D5166" s="1">
        <v>2023</v>
      </c>
      <c r="E5166" s="1">
        <v>2</v>
      </c>
      <c r="G5166" s="4">
        <v>44965</v>
      </c>
      <c r="H5166" s="1" t="s">
        <v>335</v>
      </c>
      <c r="I5166" s="1" t="s">
        <v>336</v>
      </c>
      <c r="J5166" s="1" t="s">
        <v>186</v>
      </c>
      <c r="K5166" s="1">
        <v>3</v>
      </c>
      <c r="L5166" s="1" t="s">
        <v>337</v>
      </c>
      <c r="M5166" s="1" t="s">
        <v>286</v>
      </c>
      <c r="N5166" s="1">
        <v>11</v>
      </c>
      <c r="O5166" s="1">
        <v>11</v>
      </c>
      <c r="P5166" s="1" t="s">
        <v>266</v>
      </c>
      <c r="Q5166" s="1">
        <v>4.5999999999999996</v>
      </c>
      <c r="R5166" s="1">
        <v>0.33</v>
      </c>
      <c r="S5166" s="1">
        <v>4.0999999999999996</v>
      </c>
      <c r="W5166" s="1">
        <v>96</v>
      </c>
      <c r="Y5166" s="1">
        <v>3.9E-2</v>
      </c>
      <c r="Z5166" s="1">
        <v>31</v>
      </c>
      <c r="AA5166" s="1">
        <v>0.94</v>
      </c>
      <c r="AD5166" s="1">
        <v>690</v>
      </c>
      <c r="AE5166" s="1">
        <v>7.6</v>
      </c>
      <c r="AK5166" s="1">
        <v>45</v>
      </c>
      <c r="AL5166" s="1">
        <v>810</v>
      </c>
    </row>
    <row r="5167" spans="1:38" x14ac:dyDescent="0.3">
      <c r="A5167" s="1">
        <v>91455</v>
      </c>
      <c r="B5167" s="1" t="s">
        <v>501</v>
      </c>
      <c r="C5167" s="1" t="s">
        <v>294</v>
      </c>
      <c r="D5167" s="1">
        <v>2023</v>
      </c>
      <c r="E5167" s="1">
        <v>2</v>
      </c>
      <c r="G5167" s="4">
        <v>44965</v>
      </c>
      <c r="H5167" s="1" t="s">
        <v>338</v>
      </c>
      <c r="I5167" s="1" t="s">
        <v>339</v>
      </c>
      <c r="J5167" s="1" t="s">
        <v>186</v>
      </c>
      <c r="K5167" s="1">
        <v>4</v>
      </c>
      <c r="L5167" s="1" t="s">
        <v>340</v>
      </c>
      <c r="M5167" s="1" t="s">
        <v>285</v>
      </c>
      <c r="N5167" s="1">
        <v>0.5</v>
      </c>
      <c r="O5167" s="1">
        <v>0.5</v>
      </c>
      <c r="P5167" s="1">
        <v>1.8</v>
      </c>
      <c r="Q5167" s="1">
        <v>2</v>
      </c>
      <c r="R5167" s="1">
        <v>12.03</v>
      </c>
      <c r="S5167" s="1">
        <v>55.6</v>
      </c>
      <c r="W5167" s="1">
        <v>51</v>
      </c>
      <c r="Y5167" s="1">
        <v>0.08</v>
      </c>
      <c r="Z5167" s="1">
        <v>8.3000000000000007</v>
      </c>
      <c r="AA5167" s="1">
        <v>5.5</v>
      </c>
      <c r="AD5167" s="1">
        <v>770</v>
      </c>
      <c r="AE5167" s="1">
        <v>7.7</v>
      </c>
      <c r="AK5167" s="1">
        <v>34</v>
      </c>
      <c r="AL5167" s="1">
        <v>1300</v>
      </c>
    </row>
    <row r="5168" spans="1:38" x14ac:dyDescent="0.3">
      <c r="A5168" s="1">
        <v>91456</v>
      </c>
      <c r="B5168" s="1" t="s">
        <v>501</v>
      </c>
      <c r="C5168" s="1" t="s">
        <v>294</v>
      </c>
      <c r="D5168" s="1">
        <v>2023</v>
      </c>
      <c r="E5168" s="1">
        <v>2</v>
      </c>
      <c r="G5168" s="4">
        <v>44965</v>
      </c>
      <c r="H5168" s="1" t="s">
        <v>338</v>
      </c>
      <c r="I5168" s="1" t="s">
        <v>339</v>
      </c>
      <c r="J5168" s="1" t="s">
        <v>186</v>
      </c>
      <c r="K5168" s="1">
        <v>4</v>
      </c>
      <c r="L5168" s="1" t="s">
        <v>340</v>
      </c>
      <c r="M5168" s="1">
        <v>1</v>
      </c>
      <c r="N5168" s="1">
        <v>1</v>
      </c>
      <c r="O5168" s="1">
        <v>1</v>
      </c>
      <c r="Q5168" s="1">
        <v>3.5</v>
      </c>
      <c r="R5168" s="1">
        <v>9.43</v>
      </c>
      <c r="S5168" s="1">
        <v>69.400000000000006</v>
      </c>
    </row>
    <row r="5169" spans="1:38" x14ac:dyDescent="0.3">
      <c r="A5169" s="1">
        <v>91457</v>
      </c>
      <c r="B5169" s="1" t="s">
        <v>501</v>
      </c>
      <c r="C5169" s="1" t="s">
        <v>294</v>
      </c>
      <c r="D5169" s="1">
        <v>2023</v>
      </c>
      <c r="E5169" s="1">
        <v>2</v>
      </c>
      <c r="G5169" s="4">
        <v>44965</v>
      </c>
      <c r="H5169" s="1" t="s">
        <v>338</v>
      </c>
      <c r="I5169" s="1" t="s">
        <v>339</v>
      </c>
      <c r="J5169" s="1" t="s">
        <v>186</v>
      </c>
      <c r="K5169" s="1">
        <v>4</v>
      </c>
      <c r="L5169" s="1" t="s">
        <v>340</v>
      </c>
      <c r="M5169" s="1" t="s">
        <v>286</v>
      </c>
      <c r="N5169" s="1">
        <v>1.5</v>
      </c>
      <c r="O5169" s="1">
        <v>1.5</v>
      </c>
      <c r="Q5169" s="1">
        <v>3.6</v>
      </c>
      <c r="R5169" s="1">
        <v>8.51</v>
      </c>
      <c r="S5169" s="1">
        <v>63.2</v>
      </c>
    </row>
    <row r="5170" spans="1:38" x14ac:dyDescent="0.3">
      <c r="A5170" s="1">
        <v>91458</v>
      </c>
      <c r="B5170" s="1" t="s">
        <v>501</v>
      </c>
      <c r="C5170" s="1" t="s">
        <v>294</v>
      </c>
      <c r="D5170" s="1">
        <v>2023</v>
      </c>
      <c r="E5170" s="1">
        <v>2</v>
      </c>
      <c r="G5170" s="4">
        <v>44967</v>
      </c>
      <c r="H5170" s="1" t="s">
        <v>341</v>
      </c>
      <c r="I5170" s="1" t="s">
        <v>342</v>
      </c>
      <c r="J5170" s="1" t="s">
        <v>187</v>
      </c>
      <c r="K5170" s="1"/>
      <c r="L5170" s="1" t="s">
        <v>187</v>
      </c>
      <c r="M5170" s="1" t="s">
        <v>285</v>
      </c>
      <c r="N5170" s="1">
        <v>0.5</v>
      </c>
      <c r="O5170" s="1">
        <v>0.5</v>
      </c>
      <c r="P5170" s="1">
        <v>1</v>
      </c>
      <c r="Q5170" s="1">
        <v>1.4</v>
      </c>
      <c r="R5170" s="1">
        <v>12.9</v>
      </c>
      <c r="S5170" s="1">
        <v>91.5</v>
      </c>
      <c r="W5170" s="1">
        <v>19</v>
      </c>
      <c r="Y5170" s="1">
        <v>0.17299999999999999</v>
      </c>
      <c r="Z5170" s="1">
        <v>11</v>
      </c>
      <c r="AA5170" s="1">
        <v>2.1</v>
      </c>
      <c r="AD5170" s="1">
        <v>1400</v>
      </c>
      <c r="AE5170" s="1">
        <v>7.6</v>
      </c>
      <c r="AK5170" s="1">
        <v>48</v>
      </c>
      <c r="AL5170" s="1">
        <v>900</v>
      </c>
    </row>
    <row r="5171" spans="1:38" x14ac:dyDescent="0.3">
      <c r="A5171" s="1">
        <v>91459</v>
      </c>
      <c r="B5171" s="1" t="s">
        <v>501</v>
      </c>
      <c r="C5171" s="1" t="s">
        <v>294</v>
      </c>
      <c r="D5171" s="1">
        <v>2023</v>
      </c>
      <c r="E5171" s="1">
        <v>2</v>
      </c>
      <c r="G5171" s="4">
        <v>44967</v>
      </c>
      <c r="H5171" s="1" t="s">
        <v>341</v>
      </c>
      <c r="I5171" s="1" t="s">
        <v>342</v>
      </c>
      <c r="J5171" s="1" t="s">
        <v>187</v>
      </c>
      <c r="K5171" s="1"/>
      <c r="L5171" s="1" t="s">
        <v>187</v>
      </c>
      <c r="M5171" s="1">
        <v>1</v>
      </c>
      <c r="N5171" s="1">
        <v>1</v>
      </c>
      <c r="O5171" s="1">
        <v>1</v>
      </c>
      <c r="Q5171" s="1">
        <v>1.1000000000000001</v>
      </c>
      <c r="R5171" s="1">
        <v>10.92</v>
      </c>
      <c r="S5171" s="1">
        <v>77</v>
      </c>
    </row>
    <row r="5172" spans="1:38" x14ac:dyDescent="0.3">
      <c r="A5172" s="1">
        <v>91460</v>
      </c>
      <c r="B5172" s="1" t="s">
        <v>501</v>
      </c>
      <c r="C5172" s="1" t="s">
        <v>294</v>
      </c>
      <c r="D5172" s="1">
        <v>2023</v>
      </c>
      <c r="E5172" s="1">
        <v>2</v>
      </c>
      <c r="G5172" s="4">
        <v>44967</v>
      </c>
      <c r="H5172" s="1" t="s">
        <v>341</v>
      </c>
      <c r="I5172" s="1" t="s">
        <v>342</v>
      </c>
      <c r="J5172" s="1" t="s">
        <v>187</v>
      </c>
      <c r="K5172" s="1"/>
      <c r="L5172" s="1" t="s">
        <v>187</v>
      </c>
      <c r="M5172" s="1">
        <v>2</v>
      </c>
      <c r="N5172" s="1">
        <v>2</v>
      </c>
      <c r="O5172" s="1">
        <v>2</v>
      </c>
      <c r="Q5172" s="1">
        <v>1.9</v>
      </c>
      <c r="R5172" s="1">
        <v>9.23</v>
      </c>
      <c r="S5172" s="1">
        <v>66.400000000000006</v>
      </c>
    </row>
    <row r="5173" spans="1:38" x14ac:dyDescent="0.3">
      <c r="A5173" s="1">
        <v>91461</v>
      </c>
      <c r="B5173" s="1" t="s">
        <v>501</v>
      </c>
      <c r="C5173" s="1" t="s">
        <v>294</v>
      </c>
      <c r="D5173" s="1">
        <v>2023</v>
      </c>
      <c r="E5173" s="1">
        <v>2</v>
      </c>
      <c r="G5173" s="4">
        <v>44967</v>
      </c>
      <c r="H5173" s="1" t="s">
        <v>341</v>
      </c>
      <c r="I5173" s="1" t="s">
        <v>342</v>
      </c>
      <c r="J5173" s="1" t="s">
        <v>187</v>
      </c>
      <c r="K5173" s="1"/>
      <c r="L5173" s="1" t="s">
        <v>187</v>
      </c>
      <c r="M5173" s="1">
        <v>3</v>
      </c>
      <c r="N5173" s="1">
        <v>3</v>
      </c>
      <c r="O5173" s="1">
        <v>3</v>
      </c>
      <c r="Q5173" s="1">
        <v>2.7</v>
      </c>
      <c r="R5173" s="1">
        <v>5.62</v>
      </c>
      <c r="S5173" s="1">
        <v>41.5</v>
      </c>
    </row>
    <row r="5174" spans="1:38" x14ac:dyDescent="0.3">
      <c r="A5174" s="1">
        <v>91462</v>
      </c>
      <c r="B5174" s="1" t="s">
        <v>501</v>
      </c>
      <c r="C5174" s="1" t="s">
        <v>294</v>
      </c>
      <c r="D5174" s="1">
        <v>2023</v>
      </c>
      <c r="E5174" s="1">
        <v>2</v>
      </c>
      <c r="G5174" s="4">
        <v>44967</v>
      </c>
      <c r="H5174" s="1" t="s">
        <v>341</v>
      </c>
      <c r="I5174" s="1" t="s">
        <v>342</v>
      </c>
      <c r="J5174" s="1" t="s">
        <v>187</v>
      </c>
      <c r="K5174" s="1"/>
      <c r="L5174" s="1" t="s">
        <v>187</v>
      </c>
      <c r="M5174" s="1">
        <v>4</v>
      </c>
      <c r="N5174" s="1">
        <v>4</v>
      </c>
      <c r="O5174" s="1">
        <v>4</v>
      </c>
      <c r="Q5174" s="1">
        <v>3.5</v>
      </c>
      <c r="R5174" s="1">
        <v>3.91</v>
      </c>
      <c r="S5174" s="1">
        <v>29.4</v>
      </c>
    </row>
    <row r="5175" spans="1:38" x14ac:dyDescent="0.3">
      <c r="A5175" s="1">
        <v>91463</v>
      </c>
      <c r="B5175" s="1" t="s">
        <v>501</v>
      </c>
      <c r="C5175" s="1" t="s">
        <v>294</v>
      </c>
      <c r="D5175" s="1">
        <v>2023</v>
      </c>
      <c r="E5175" s="1">
        <v>2</v>
      </c>
      <c r="G5175" s="4">
        <v>44967</v>
      </c>
      <c r="H5175" s="1" t="s">
        <v>341</v>
      </c>
      <c r="I5175" s="1" t="s">
        <v>342</v>
      </c>
      <c r="J5175" s="1" t="s">
        <v>187</v>
      </c>
      <c r="K5175" s="1"/>
      <c r="L5175" s="1" t="s">
        <v>187</v>
      </c>
      <c r="M5175" s="1">
        <v>5</v>
      </c>
      <c r="N5175" s="1">
        <v>5</v>
      </c>
      <c r="O5175" s="1">
        <v>5</v>
      </c>
      <c r="Q5175" s="1">
        <v>4</v>
      </c>
      <c r="R5175" s="1">
        <v>2.87</v>
      </c>
      <c r="S5175" s="1">
        <v>22</v>
      </c>
    </row>
    <row r="5176" spans="1:38" x14ac:dyDescent="0.3">
      <c r="A5176" s="1">
        <v>91464</v>
      </c>
      <c r="B5176" s="1" t="s">
        <v>501</v>
      </c>
      <c r="C5176" s="1" t="s">
        <v>294</v>
      </c>
      <c r="D5176" s="1">
        <v>2023</v>
      </c>
      <c r="E5176" s="1">
        <v>2</v>
      </c>
      <c r="G5176" s="4">
        <v>44967</v>
      </c>
      <c r="H5176" s="1" t="s">
        <v>341</v>
      </c>
      <c r="I5176" s="1" t="s">
        <v>342</v>
      </c>
      <c r="J5176" s="1" t="s">
        <v>187</v>
      </c>
      <c r="K5176" s="1"/>
      <c r="L5176" s="1" t="s">
        <v>187</v>
      </c>
      <c r="M5176" s="1" t="s">
        <v>286</v>
      </c>
      <c r="N5176" s="1">
        <v>6</v>
      </c>
      <c r="O5176" s="1">
        <v>6</v>
      </c>
      <c r="P5176" s="1" t="s">
        <v>266</v>
      </c>
      <c r="Q5176" s="1">
        <v>4.8</v>
      </c>
      <c r="R5176" s="1">
        <v>0.36</v>
      </c>
      <c r="S5176" s="1">
        <v>2.4</v>
      </c>
      <c r="W5176" s="1">
        <v>4.3</v>
      </c>
      <c r="Y5176" s="1">
        <v>3.3000000000000002E-2</v>
      </c>
      <c r="Z5176" s="1">
        <v>28</v>
      </c>
      <c r="AA5176" s="1">
        <v>14</v>
      </c>
      <c r="AD5176" s="1">
        <v>710</v>
      </c>
      <c r="AE5176" s="1">
        <v>7.5</v>
      </c>
      <c r="AK5176" s="1">
        <v>40</v>
      </c>
      <c r="AL5176" s="1">
        <v>1600</v>
      </c>
    </row>
    <row r="5177" spans="1:38" x14ac:dyDescent="0.3">
      <c r="A5177" s="1">
        <v>91465</v>
      </c>
      <c r="B5177" s="1" t="s">
        <v>501</v>
      </c>
      <c r="C5177" s="1" t="s">
        <v>294</v>
      </c>
      <c r="D5177" s="1">
        <v>2023</v>
      </c>
      <c r="E5177" s="1">
        <v>2</v>
      </c>
      <c r="G5177" s="4">
        <v>44966</v>
      </c>
      <c r="H5177" s="1" t="s">
        <v>344</v>
      </c>
      <c r="I5177" s="1" t="s">
        <v>345</v>
      </c>
      <c r="J5177" s="1" t="s">
        <v>188</v>
      </c>
      <c r="K5177" s="1"/>
      <c r="L5177" s="1" t="s">
        <v>188</v>
      </c>
      <c r="M5177" s="1" t="s">
        <v>285</v>
      </c>
      <c r="N5177" s="1">
        <v>0.5</v>
      </c>
      <c r="O5177" s="1">
        <v>0.5</v>
      </c>
      <c r="P5177" s="1">
        <v>2.2000000000000002</v>
      </c>
      <c r="Q5177" s="1">
        <v>2.2000000000000002</v>
      </c>
      <c r="R5177" s="1">
        <v>1.98</v>
      </c>
      <c r="S5177" s="1">
        <v>14.3</v>
      </c>
      <c r="W5177" s="1">
        <v>290</v>
      </c>
      <c r="Y5177" s="1">
        <v>0.16400000000000001</v>
      </c>
      <c r="Z5177" s="1">
        <v>4.8</v>
      </c>
      <c r="AA5177" s="1">
        <v>11</v>
      </c>
      <c r="AD5177" s="1">
        <v>580</v>
      </c>
      <c r="AE5177" s="1">
        <v>7.4</v>
      </c>
      <c r="AK5177" s="1">
        <v>59</v>
      </c>
      <c r="AL5177" s="1">
        <v>1700</v>
      </c>
    </row>
    <row r="5178" spans="1:38" x14ac:dyDescent="0.3">
      <c r="A5178" s="1">
        <v>91466</v>
      </c>
      <c r="B5178" s="1" t="s">
        <v>501</v>
      </c>
      <c r="C5178" s="1" t="s">
        <v>294</v>
      </c>
      <c r="D5178" s="1">
        <v>2023</v>
      </c>
      <c r="E5178" s="1">
        <v>2</v>
      </c>
      <c r="G5178" s="4">
        <v>44966</v>
      </c>
      <c r="H5178" s="1" t="s">
        <v>344</v>
      </c>
      <c r="I5178" s="1" t="s">
        <v>345</v>
      </c>
      <c r="J5178" s="1" t="s">
        <v>188</v>
      </c>
      <c r="K5178" s="1"/>
      <c r="L5178" s="1" t="s">
        <v>188</v>
      </c>
      <c r="M5178" s="1" t="s">
        <v>286</v>
      </c>
      <c r="N5178" s="1">
        <v>1.5</v>
      </c>
      <c r="O5178" s="1">
        <v>1.5</v>
      </c>
      <c r="P5178" s="1" t="s">
        <v>266</v>
      </c>
      <c r="Q5178" s="1">
        <v>2.9</v>
      </c>
      <c r="R5178" s="1">
        <v>0</v>
      </c>
      <c r="S5178" s="1">
        <v>0</v>
      </c>
      <c r="W5178" s="1">
        <v>490</v>
      </c>
      <c r="Y5178" s="1">
        <v>0.129</v>
      </c>
      <c r="Z5178" s="1">
        <v>11</v>
      </c>
      <c r="AA5178" s="1">
        <v>8.6</v>
      </c>
      <c r="AD5178" s="1">
        <v>750</v>
      </c>
      <c r="AE5178" s="1">
        <v>7.5</v>
      </c>
      <c r="AK5178" s="1">
        <v>46</v>
      </c>
      <c r="AL5178" s="1">
        <v>1400</v>
      </c>
    </row>
    <row r="5179" spans="1:38" x14ac:dyDescent="0.3">
      <c r="A5179" s="1">
        <v>91467</v>
      </c>
      <c r="B5179" s="1" t="s">
        <v>501</v>
      </c>
      <c r="C5179" s="1" t="s">
        <v>296</v>
      </c>
      <c r="D5179" s="1">
        <v>2023</v>
      </c>
      <c r="E5179" s="1">
        <v>2</v>
      </c>
      <c r="G5179" s="4">
        <v>44966</v>
      </c>
      <c r="H5179" s="1" t="s">
        <v>348</v>
      </c>
      <c r="I5179" s="1" t="s">
        <v>349</v>
      </c>
      <c r="J5179" s="1" t="s">
        <v>189</v>
      </c>
      <c r="K5179" s="1"/>
      <c r="L5179" s="1" t="s">
        <v>189</v>
      </c>
      <c r="M5179" s="1" t="s">
        <v>285</v>
      </c>
      <c r="N5179" s="1">
        <v>0.5</v>
      </c>
      <c r="O5179" s="1">
        <v>0.5</v>
      </c>
      <c r="P5179" s="1">
        <v>3.5</v>
      </c>
      <c r="Q5179" s="1">
        <v>1.7</v>
      </c>
      <c r="R5179" s="1">
        <v>13.65</v>
      </c>
      <c r="S5179" s="1">
        <v>96.3</v>
      </c>
      <c r="W5179" s="1">
        <v>9.8000000000000007</v>
      </c>
      <c r="Y5179" s="1">
        <v>0.09</v>
      </c>
      <c r="Z5179" s="1" t="s">
        <v>319</v>
      </c>
      <c r="AA5179" s="1">
        <v>3.2</v>
      </c>
      <c r="AD5179" s="1">
        <v>230</v>
      </c>
      <c r="AE5179" s="1">
        <v>7.6</v>
      </c>
      <c r="AK5179" s="1">
        <v>17</v>
      </c>
      <c r="AL5179" s="1">
        <v>690</v>
      </c>
    </row>
    <row r="5180" spans="1:38" x14ac:dyDescent="0.3">
      <c r="A5180" s="1">
        <v>91468</v>
      </c>
      <c r="B5180" s="1" t="s">
        <v>501</v>
      </c>
      <c r="C5180" s="1" t="s">
        <v>296</v>
      </c>
      <c r="D5180" s="1">
        <v>2023</v>
      </c>
      <c r="E5180" s="1">
        <v>2</v>
      </c>
      <c r="G5180" s="4">
        <v>44966</v>
      </c>
      <c r="H5180" s="1" t="s">
        <v>348</v>
      </c>
      <c r="I5180" s="1" t="s">
        <v>349</v>
      </c>
      <c r="J5180" s="1" t="s">
        <v>189</v>
      </c>
      <c r="K5180" s="1"/>
      <c r="L5180" s="1" t="s">
        <v>189</v>
      </c>
      <c r="M5180" s="1">
        <v>1</v>
      </c>
      <c r="N5180" s="1">
        <v>1</v>
      </c>
      <c r="O5180" s="1">
        <v>1</v>
      </c>
      <c r="Q5180" s="1">
        <v>2.9</v>
      </c>
      <c r="R5180" s="1">
        <v>11.44</v>
      </c>
      <c r="S5180" s="1">
        <v>83.4</v>
      </c>
    </row>
    <row r="5181" spans="1:38" x14ac:dyDescent="0.3">
      <c r="A5181" s="1">
        <v>91469</v>
      </c>
      <c r="B5181" s="1" t="s">
        <v>501</v>
      </c>
      <c r="C5181" s="1" t="s">
        <v>296</v>
      </c>
      <c r="D5181" s="1">
        <v>2023</v>
      </c>
      <c r="E5181" s="1">
        <v>2</v>
      </c>
      <c r="G5181" s="4">
        <v>44966</v>
      </c>
      <c r="H5181" s="1" t="s">
        <v>348</v>
      </c>
      <c r="I5181" s="1" t="s">
        <v>349</v>
      </c>
      <c r="J5181" s="1" t="s">
        <v>189</v>
      </c>
      <c r="K5181" s="1"/>
      <c r="L5181" s="1" t="s">
        <v>189</v>
      </c>
      <c r="M5181" s="1">
        <v>2</v>
      </c>
      <c r="N5181" s="1">
        <v>2</v>
      </c>
      <c r="O5181" s="1">
        <v>2</v>
      </c>
      <c r="Q5181" s="1">
        <v>3.7</v>
      </c>
      <c r="R5181" s="1">
        <v>8.23</v>
      </c>
      <c r="S5181" s="1">
        <v>61.8</v>
      </c>
    </row>
    <row r="5182" spans="1:38" x14ac:dyDescent="0.3">
      <c r="A5182" s="1">
        <v>91470</v>
      </c>
      <c r="B5182" s="1" t="s">
        <v>501</v>
      </c>
      <c r="C5182" s="1" t="s">
        <v>296</v>
      </c>
      <c r="D5182" s="1">
        <v>2023</v>
      </c>
      <c r="E5182" s="1">
        <v>2</v>
      </c>
      <c r="G5182" s="4">
        <v>44966</v>
      </c>
      <c r="H5182" s="1" t="s">
        <v>348</v>
      </c>
      <c r="I5182" s="1" t="s">
        <v>349</v>
      </c>
      <c r="J5182" s="1" t="s">
        <v>189</v>
      </c>
      <c r="K5182" s="1"/>
      <c r="L5182" s="1" t="s">
        <v>189</v>
      </c>
      <c r="M5182" s="1">
        <v>3</v>
      </c>
      <c r="N5182" s="1">
        <v>3</v>
      </c>
      <c r="O5182" s="1">
        <v>3</v>
      </c>
      <c r="Q5182" s="1">
        <v>4.5999999999999996</v>
      </c>
      <c r="R5182" s="1">
        <v>4.29</v>
      </c>
      <c r="S5182" s="1">
        <v>32.799999999999997</v>
      </c>
    </row>
    <row r="5183" spans="1:38" x14ac:dyDescent="0.3">
      <c r="A5183" s="1">
        <v>91471</v>
      </c>
      <c r="B5183" s="1" t="s">
        <v>501</v>
      </c>
      <c r="C5183" s="1" t="s">
        <v>296</v>
      </c>
      <c r="D5183" s="1">
        <v>2023</v>
      </c>
      <c r="E5183" s="1">
        <v>2</v>
      </c>
      <c r="G5183" s="4">
        <v>44966</v>
      </c>
      <c r="H5183" s="1" t="s">
        <v>348</v>
      </c>
      <c r="I5183" s="1" t="s">
        <v>349</v>
      </c>
      <c r="J5183" s="1" t="s">
        <v>189</v>
      </c>
      <c r="K5183" s="1"/>
      <c r="L5183" s="1" t="s">
        <v>189</v>
      </c>
      <c r="M5183" s="1">
        <v>4</v>
      </c>
      <c r="N5183" s="1">
        <v>4</v>
      </c>
      <c r="O5183" s="1">
        <v>4</v>
      </c>
      <c r="Q5183" s="1">
        <v>4.9000000000000004</v>
      </c>
      <c r="R5183" s="1">
        <v>3.14</v>
      </c>
      <c r="S5183" s="1">
        <v>24.2</v>
      </c>
    </row>
    <row r="5184" spans="1:38" x14ac:dyDescent="0.3">
      <c r="A5184" s="1">
        <v>91472</v>
      </c>
      <c r="B5184" s="1" t="s">
        <v>501</v>
      </c>
      <c r="C5184" s="1" t="s">
        <v>296</v>
      </c>
      <c r="D5184" s="1">
        <v>2023</v>
      </c>
      <c r="E5184" s="1">
        <v>2</v>
      </c>
      <c r="G5184" s="4">
        <v>44966</v>
      </c>
      <c r="H5184" s="1" t="s">
        <v>348</v>
      </c>
      <c r="I5184" s="1" t="s">
        <v>349</v>
      </c>
      <c r="J5184" s="1" t="s">
        <v>189</v>
      </c>
      <c r="K5184" s="1"/>
      <c r="L5184" s="1" t="s">
        <v>189</v>
      </c>
      <c r="M5184" s="1">
        <v>5</v>
      </c>
      <c r="N5184" s="1">
        <v>5</v>
      </c>
      <c r="O5184" s="1">
        <v>5</v>
      </c>
      <c r="Q5184" s="1">
        <v>5</v>
      </c>
      <c r="R5184" s="1">
        <v>2.66</v>
      </c>
      <c r="S5184" s="1">
        <v>20.6</v>
      </c>
    </row>
    <row r="5185" spans="1:94" x14ac:dyDescent="0.3">
      <c r="A5185" s="1">
        <v>91473</v>
      </c>
      <c r="B5185" s="1" t="s">
        <v>501</v>
      </c>
      <c r="C5185" s="1" t="s">
        <v>296</v>
      </c>
      <c r="D5185" s="1">
        <v>2023</v>
      </c>
      <c r="E5185" s="1">
        <v>2</v>
      </c>
      <c r="G5185" s="4">
        <v>44966</v>
      </c>
      <c r="H5185" s="1" t="s">
        <v>348</v>
      </c>
      <c r="I5185" s="1" t="s">
        <v>349</v>
      </c>
      <c r="J5185" s="1" t="s">
        <v>189</v>
      </c>
      <c r="K5185" s="1"/>
      <c r="L5185" s="1" t="s">
        <v>189</v>
      </c>
      <c r="M5185" s="1" t="s">
        <v>286</v>
      </c>
      <c r="N5185" s="1">
        <v>6</v>
      </c>
      <c r="O5185" s="1">
        <v>6</v>
      </c>
      <c r="P5185" s="1" t="s">
        <v>266</v>
      </c>
      <c r="Q5185" s="1">
        <v>5.0999999999999996</v>
      </c>
      <c r="R5185" s="1">
        <v>2.13</v>
      </c>
      <c r="S5185" s="1">
        <v>16.399999999999999</v>
      </c>
      <c r="W5185" s="1">
        <v>17</v>
      </c>
      <c r="Y5185" s="1">
        <v>5.0999999999999997E-2</v>
      </c>
      <c r="Z5185" s="1">
        <v>9.3000000000000007</v>
      </c>
      <c r="AA5185" s="1">
        <v>3.6</v>
      </c>
      <c r="AD5185" s="1">
        <v>300</v>
      </c>
      <c r="AE5185" s="1">
        <v>7.5</v>
      </c>
      <c r="AK5185" s="1">
        <v>24</v>
      </c>
      <c r="AL5185" s="1">
        <v>640</v>
      </c>
    </row>
    <row r="5186" spans="1:94" x14ac:dyDescent="0.3">
      <c r="A5186" s="1">
        <v>91474</v>
      </c>
      <c r="B5186" s="1" t="s">
        <v>501</v>
      </c>
      <c r="C5186" s="1" t="s">
        <v>294</v>
      </c>
      <c r="D5186" s="1">
        <v>2023</v>
      </c>
      <c r="E5186" s="1">
        <v>2</v>
      </c>
      <c r="G5186" s="4">
        <v>44966</v>
      </c>
      <c r="H5186" s="1" t="s">
        <v>351</v>
      </c>
      <c r="I5186" s="1" t="s">
        <v>352</v>
      </c>
      <c r="J5186" s="1" t="s">
        <v>190</v>
      </c>
      <c r="K5186" s="1"/>
      <c r="L5186" s="1" t="s">
        <v>190</v>
      </c>
      <c r="M5186" s="1" t="s">
        <v>285</v>
      </c>
      <c r="N5186" s="1">
        <v>0.5</v>
      </c>
      <c r="O5186" s="1">
        <v>0.5</v>
      </c>
      <c r="P5186" s="1">
        <v>0.8</v>
      </c>
      <c r="Q5186" s="1">
        <v>1.5</v>
      </c>
      <c r="R5186" s="1">
        <v>12.42</v>
      </c>
      <c r="S5186" s="1">
        <v>86.8</v>
      </c>
      <c r="W5186" s="1">
        <v>140</v>
      </c>
      <c r="Y5186" s="1">
        <v>0.68600000000000005</v>
      </c>
      <c r="Z5186" s="1">
        <v>2.7</v>
      </c>
      <c r="AA5186" s="1">
        <v>2</v>
      </c>
      <c r="AD5186" s="1">
        <v>82</v>
      </c>
      <c r="AE5186" s="1">
        <v>5.9</v>
      </c>
      <c r="AK5186" s="1">
        <v>36</v>
      </c>
      <c r="AL5186" s="1">
        <v>1100</v>
      </c>
    </row>
    <row r="5187" spans="1:94" x14ac:dyDescent="0.3">
      <c r="A5187" s="1">
        <v>91475</v>
      </c>
      <c r="B5187" s="1" t="s">
        <v>501</v>
      </c>
      <c r="C5187" s="1" t="s">
        <v>294</v>
      </c>
      <c r="D5187" s="1">
        <v>2023</v>
      </c>
      <c r="E5187" s="1">
        <v>2</v>
      </c>
      <c r="G5187" s="4">
        <v>44966</v>
      </c>
      <c r="H5187" s="1" t="s">
        <v>351</v>
      </c>
      <c r="I5187" s="1" t="s">
        <v>352</v>
      </c>
      <c r="J5187" s="1" t="s">
        <v>190</v>
      </c>
      <c r="K5187" s="1"/>
      <c r="L5187" s="1" t="s">
        <v>190</v>
      </c>
      <c r="M5187" s="1">
        <v>1</v>
      </c>
      <c r="N5187" s="1">
        <v>1</v>
      </c>
      <c r="O5187" s="1">
        <v>1</v>
      </c>
      <c r="Q5187" s="1">
        <v>2.9</v>
      </c>
      <c r="R5187" s="1">
        <v>6.72</v>
      </c>
      <c r="S5187" s="1">
        <v>49.1</v>
      </c>
    </row>
    <row r="5188" spans="1:94" x14ac:dyDescent="0.3">
      <c r="A5188" s="1">
        <v>91476</v>
      </c>
      <c r="B5188" s="1" t="s">
        <v>501</v>
      </c>
      <c r="C5188" s="1" t="s">
        <v>294</v>
      </c>
      <c r="D5188" s="1">
        <v>2023</v>
      </c>
      <c r="E5188" s="1">
        <v>2</v>
      </c>
      <c r="G5188" s="4">
        <v>44966</v>
      </c>
      <c r="H5188" s="1" t="s">
        <v>351</v>
      </c>
      <c r="I5188" s="1" t="s">
        <v>352</v>
      </c>
      <c r="J5188" s="1" t="s">
        <v>190</v>
      </c>
      <c r="K5188" s="1"/>
      <c r="L5188" s="1" t="s">
        <v>190</v>
      </c>
      <c r="M5188" s="1">
        <v>2</v>
      </c>
      <c r="N5188" s="1">
        <v>2</v>
      </c>
      <c r="O5188" s="1">
        <v>2</v>
      </c>
      <c r="Q5188" s="1">
        <v>4</v>
      </c>
      <c r="R5188" s="1">
        <v>3.37</v>
      </c>
      <c r="S5188" s="1">
        <v>25.5</v>
      </c>
    </row>
    <row r="5189" spans="1:94" x14ac:dyDescent="0.3">
      <c r="A5189" s="1">
        <v>91477</v>
      </c>
      <c r="B5189" s="1" t="s">
        <v>501</v>
      </c>
      <c r="C5189" s="1" t="s">
        <v>294</v>
      </c>
      <c r="D5189" s="1">
        <v>2023</v>
      </c>
      <c r="E5189" s="1">
        <v>2</v>
      </c>
      <c r="G5189" s="4">
        <v>44966</v>
      </c>
      <c r="H5189" s="1" t="s">
        <v>351</v>
      </c>
      <c r="I5189" s="1" t="s">
        <v>352</v>
      </c>
      <c r="J5189" s="1" t="s">
        <v>190</v>
      </c>
      <c r="K5189" s="1"/>
      <c r="L5189" s="1" t="s">
        <v>190</v>
      </c>
      <c r="M5189" s="1" t="s">
        <v>286</v>
      </c>
      <c r="N5189" s="1">
        <v>2.5</v>
      </c>
      <c r="O5189" s="1">
        <v>2.5</v>
      </c>
      <c r="P5189" s="1" t="s">
        <v>266</v>
      </c>
      <c r="Q5189" s="1">
        <v>4.3</v>
      </c>
      <c r="R5189" s="1">
        <v>2.17</v>
      </c>
      <c r="S5189" s="1">
        <v>16.899999999999999</v>
      </c>
      <c r="W5189" s="1">
        <v>230</v>
      </c>
      <c r="Y5189" s="1">
        <v>0.77500000000000002</v>
      </c>
      <c r="Z5189" s="1">
        <v>1.6</v>
      </c>
      <c r="AA5189" s="1">
        <v>2.2999999999999998</v>
      </c>
      <c r="AD5189" s="1">
        <v>51</v>
      </c>
      <c r="AE5189" s="1">
        <v>5.6</v>
      </c>
      <c r="AK5189" s="1">
        <v>34</v>
      </c>
      <c r="AL5189" s="1">
        <v>1100</v>
      </c>
    </row>
    <row r="5190" spans="1:94" x14ac:dyDescent="0.3">
      <c r="A5190" s="1">
        <v>91478</v>
      </c>
      <c r="B5190" s="1" t="s">
        <v>501</v>
      </c>
      <c r="C5190" s="1" t="s">
        <v>296</v>
      </c>
      <c r="D5190" s="1">
        <v>2023</v>
      </c>
      <c r="E5190" s="1">
        <v>2</v>
      </c>
      <c r="G5190" s="4">
        <v>44966</v>
      </c>
      <c r="H5190" s="1" t="s">
        <v>353</v>
      </c>
      <c r="I5190" s="1" t="s">
        <v>354</v>
      </c>
      <c r="J5190" s="1" t="s">
        <v>192</v>
      </c>
      <c r="K5190" s="1"/>
      <c r="L5190" s="1" t="s">
        <v>192</v>
      </c>
      <c r="M5190" s="1" t="s">
        <v>285</v>
      </c>
      <c r="N5190" s="1">
        <v>0.5</v>
      </c>
      <c r="O5190" s="1">
        <v>0.5</v>
      </c>
      <c r="P5190" s="1" t="s">
        <v>506</v>
      </c>
      <c r="Q5190" s="1">
        <v>2.5</v>
      </c>
      <c r="R5190" s="1">
        <v>7.45</v>
      </c>
      <c r="S5190" s="1">
        <v>69.400000000000006</v>
      </c>
      <c r="W5190" s="1">
        <v>57</v>
      </c>
      <c r="Y5190" s="1">
        <v>0.182</v>
      </c>
      <c r="Z5190" s="1">
        <v>1.6</v>
      </c>
      <c r="AA5190" s="1">
        <v>3.6</v>
      </c>
      <c r="AD5190" s="1">
        <v>490</v>
      </c>
      <c r="AE5190" s="1">
        <v>7.7</v>
      </c>
      <c r="AK5190" s="1">
        <v>30</v>
      </c>
      <c r="AL5190" s="1">
        <v>920</v>
      </c>
    </row>
    <row r="5191" spans="1:94" x14ac:dyDescent="0.3">
      <c r="A5191" s="1">
        <v>91479</v>
      </c>
      <c r="B5191" s="1" t="s">
        <v>501</v>
      </c>
      <c r="C5191" s="1" t="s">
        <v>296</v>
      </c>
      <c r="D5191" s="1">
        <v>2023</v>
      </c>
      <c r="E5191" s="1">
        <v>2</v>
      </c>
      <c r="G5191" s="4">
        <v>44966</v>
      </c>
      <c r="H5191" s="1" t="s">
        <v>353</v>
      </c>
      <c r="I5191" s="1" t="s">
        <v>354</v>
      </c>
      <c r="J5191" s="1" t="s">
        <v>192</v>
      </c>
      <c r="K5191" s="1"/>
      <c r="L5191" s="1" t="s">
        <v>192</v>
      </c>
      <c r="M5191" s="1">
        <v>1</v>
      </c>
      <c r="N5191" s="1">
        <v>1</v>
      </c>
      <c r="O5191" s="1">
        <v>1</v>
      </c>
      <c r="Q5191" s="1">
        <v>3.7</v>
      </c>
      <c r="R5191" s="1">
        <v>2.8</v>
      </c>
      <c r="S5191" s="1">
        <v>21</v>
      </c>
    </row>
    <row r="5192" spans="1:94" x14ac:dyDescent="0.3">
      <c r="A5192" s="1">
        <v>91480</v>
      </c>
      <c r="B5192" s="1" t="s">
        <v>501</v>
      </c>
      <c r="C5192" s="1" t="s">
        <v>296</v>
      </c>
      <c r="D5192" s="1">
        <v>2023</v>
      </c>
      <c r="E5192" s="1">
        <v>2</v>
      </c>
      <c r="G5192" s="4">
        <v>44966</v>
      </c>
      <c r="H5192" s="1" t="s">
        <v>353</v>
      </c>
      <c r="I5192" s="1" t="s">
        <v>354</v>
      </c>
      <c r="J5192" s="1" t="s">
        <v>192</v>
      </c>
      <c r="K5192" s="1"/>
      <c r="L5192" s="1" t="s">
        <v>192</v>
      </c>
      <c r="M5192" s="1">
        <v>2</v>
      </c>
      <c r="N5192" s="1">
        <v>2</v>
      </c>
      <c r="O5192" s="1">
        <v>2</v>
      </c>
      <c r="Q5192" s="1">
        <v>4.5</v>
      </c>
      <c r="R5192" s="1">
        <v>0.37</v>
      </c>
      <c r="S5192" s="1">
        <v>2.9</v>
      </c>
    </row>
    <row r="5193" spans="1:94" x14ac:dyDescent="0.3">
      <c r="A5193" s="1">
        <v>91481</v>
      </c>
      <c r="B5193" s="1" t="s">
        <v>501</v>
      </c>
      <c r="C5193" s="1" t="s">
        <v>296</v>
      </c>
      <c r="D5193" s="1">
        <v>2023</v>
      </c>
      <c r="E5193" s="1">
        <v>2</v>
      </c>
      <c r="G5193" s="4">
        <v>44966</v>
      </c>
      <c r="H5193" s="1" t="s">
        <v>353</v>
      </c>
      <c r="I5193" s="1" t="s">
        <v>354</v>
      </c>
      <c r="J5193" s="1" t="s">
        <v>192</v>
      </c>
      <c r="K5193" s="1"/>
      <c r="L5193" s="1" t="s">
        <v>192</v>
      </c>
      <c r="M5193" s="1" t="s">
        <v>286</v>
      </c>
      <c r="N5193" s="1">
        <v>2.5</v>
      </c>
      <c r="O5193" s="1">
        <v>2.5</v>
      </c>
      <c r="P5193" s="1" t="s">
        <v>266</v>
      </c>
      <c r="Q5193" s="1">
        <v>5</v>
      </c>
      <c r="R5193" s="1">
        <v>0.17</v>
      </c>
      <c r="S5193" s="1">
        <v>1.3</v>
      </c>
      <c r="W5193" s="1">
        <v>290</v>
      </c>
      <c r="Y5193" s="1">
        <v>6.2E-2</v>
      </c>
      <c r="Z5193" s="1">
        <v>2.4</v>
      </c>
      <c r="AA5193" s="1">
        <v>3.9</v>
      </c>
      <c r="AD5193" s="1">
        <v>180</v>
      </c>
      <c r="AE5193" s="1">
        <v>7.7</v>
      </c>
      <c r="AK5193" s="1">
        <v>28</v>
      </c>
      <c r="AL5193" s="1">
        <v>1000</v>
      </c>
    </row>
    <row r="5194" spans="1:94" x14ac:dyDescent="0.3">
      <c r="A5194" s="1">
        <v>91482</v>
      </c>
      <c r="B5194" s="1" t="s">
        <v>501</v>
      </c>
      <c r="C5194" s="1" t="s">
        <v>294</v>
      </c>
      <c r="D5194" s="1">
        <v>2023</v>
      </c>
      <c r="E5194" s="1">
        <v>2</v>
      </c>
      <c r="G5194" s="4">
        <v>44966</v>
      </c>
      <c r="H5194" s="1" t="s">
        <v>357</v>
      </c>
      <c r="I5194" s="1" t="s">
        <v>358</v>
      </c>
      <c r="J5194" s="1" t="s">
        <v>193</v>
      </c>
      <c r="K5194" s="1"/>
      <c r="L5194" s="1" t="s">
        <v>193</v>
      </c>
      <c r="M5194" s="1" t="s">
        <v>285</v>
      </c>
      <c r="N5194" s="1">
        <v>0.5</v>
      </c>
      <c r="O5194" s="1">
        <v>0.5</v>
      </c>
      <c r="P5194" s="1">
        <v>3.8</v>
      </c>
      <c r="Q5194" s="1">
        <v>1.9</v>
      </c>
      <c r="R5194" s="1">
        <v>8.77</v>
      </c>
      <c r="S5194" s="1">
        <v>63.4</v>
      </c>
      <c r="W5194" s="1">
        <v>150</v>
      </c>
      <c r="Y5194" s="1">
        <v>4.8000000000000001E-2</v>
      </c>
      <c r="Z5194" s="1" t="s">
        <v>319</v>
      </c>
      <c r="AA5194" s="1">
        <v>2</v>
      </c>
      <c r="AD5194" s="1">
        <v>200</v>
      </c>
      <c r="AE5194" s="1">
        <v>7.5</v>
      </c>
      <c r="AK5194" s="1">
        <v>22</v>
      </c>
      <c r="AL5194" s="1">
        <v>850</v>
      </c>
    </row>
    <row r="5195" spans="1:94" x14ac:dyDescent="0.3">
      <c r="A5195" s="1">
        <v>91483</v>
      </c>
      <c r="B5195" s="1" t="s">
        <v>501</v>
      </c>
      <c r="C5195" s="1" t="s">
        <v>294</v>
      </c>
      <c r="D5195" s="1">
        <v>2023</v>
      </c>
      <c r="E5195" s="1">
        <v>2</v>
      </c>
      <c r="G5195" s="4">
        <v>44966</v>
      </c>
      <c r="H5195" s="1" t="s">
        <v>357</v>
      </c>
      <c r="I5195" s="1" t="s">
        <v>358</v>
      </c>
      <c r="J5195" s="1" t="s">
        <v>193</v>
      </c>
      <c r="K5195" s="1"/>
      <c r="L5195" s="1" t="s">
        <v>193</v>
      </c>
      <c r="M5195" s="1">
        <v>1</v>
      </c>
      <c r="N5195" s="1">
        <v>1</v>
      </c>
      <c r="O5195" s="1">
        <v>1</v>
      </c>
      <c r="Q5195" s="1">
        <v>2.1</v>
      </c>
      <c r="R5195" s="1">
        <v>6.62</v>
      </c>
      <c r="S5195" s="1">
        <v>48.1</v>
      </c>
    </row>
    <row r="5196" spans="1:94" x14ac:dyDescent="0.3">
      <c r="A5196" s="1">
        <v>91484</v>
      </c>
      <c r="B5196" s="1" t="s">
        <v>501</v>
      </c>
      <c r="C5196" s="1" t="s">
        <v>294</v>
      </c>
      <c r="D5196" s="1">
        <v>2023</v>
      </c>
      <c r="E5196" s="1">
        <v>2</v>
      </c>
      <c r="G5196" s="4">
        <v>44966</v>
      </c>
      <c r="H5196" s="1" t="s">
        <v>357</v>
      </c>
      <c r="I5196" s="1" t="s">
        <v>358</v>
      </c>
      <c r="J5196" s="1" t="s">
        <v>193</v>
      </c>
      <c r="K5196" s="1"/>
      <c r="L5196" s="1" t="s">
        <v>193</v>
      </c>
      <c r="M5196" s="1">
        <v>2</v>
      </c>
      <c r="N5196" s="1">
        <v>2</v>
      </c>
      <c r="O5196" s="1">
        <v>2</v>
      </c>
      <c r="Q5196" s="1">
        <v>3.4</v>
      </c>
      <c r="R5196" s="1">
        <v>7.29</v>
      </c>
      <c r="S5196" s="1">
        <v>54.8</v>
      </c>
    </row>
    <row r="5197" spans="1:94" x14ac:dyDescent="0.3">
      <c r="A5197" s="1">
        <v>91485</v>
      </c>
      <c r="B5197" s="1" t="s">
        <v>501</v>
      </c>
      <c r="C5197" s="1" t="s">
        <v>294</v>
      </c>
      <c r="D5197" s="1">
        <v>2023</v>
      </c>
      <c r="E5197" s="1">
        <v>2</v>
      </c>
      <c r="G5197" s="4">
        <v>44966</v>
      </c>
      <c r="H5197" s="1" t="s">
        <v>357</v>
      </c>
      <c r="I5197" s="1" t="s">
        <v>358</v>
      </c>
      <c r="J5197" s="1" t="s">
        <v>193</v>
      </c>
      <c r="K5197" s="1"/>
      <c r="L5197" s="1" t="s">
        <v>193</v>
      </c>
      <c r="M5197" s="1">
        <v>3</v>
      </c>
      <c r="N5197" s="1">
        <v>3</v>
      </c>
      <c r="O5197" s="1">
        <v>3</v>
      </c>
      <c r="Q5197" s="1">
        <v>3.4</v>
      </c>
      <c r="R5197" s="1">
        <v>7.33</v>
      </c>
      <c r="S5197" s="1">
        <v>55.2</v>
      </c>
    </row>
    <row r="5198" spans="1:94" s="24" customFormat="1" x14ac:dyDescent="0.3">
      <c r="A5198" s="24">
        <v>91486</v>
      </c>
      <c r="B5198" s="24" t="s">
        <v>501</v>
      </c>
      <c r="C5198" s="24" t="s">
        <v>294</v>
      </c>
      <c r="D5198" s="24">
        <v>2023</v>
      </c>
      <c r="E5198" s="24">
        <v>2</v>
      </c>
      <c r="G5198" s="25">
        <v>44966</v>
      </c>
      <c r="H5198" s="24" t="s">
        <v>357</v>
      </c>
      <c r="I5198" s="24" t="s">
        <v>358</v>
      </c>
      <c r="J5198" s="24" t="s">
        <v>193</v>
      </c>
      <c r="L5198" s="24" t="s">
        <v>193</v>
      </c>
      <c r="M5198" s="24" t="s">
        <v>286</v>
      </c>
      <c r="N5198" s="24">
        <v>3.5</v>
      </c>
      <c r="O5198" s="24">
        <v>3.5</v>
      </c>
      <c r="P5198" s="24" t="s">
        <v>266</v>
      </c>
      <c r="Q5198" s="24">
        <v>4</v>
      </c>
      <c r="R5198" s="24">
        <v>3.92</v>
      </c>
      <c r="S5198" s="24">
        <v>28.4</v>
      </c>
      <c r="W5198" s="24">
        <v>100</v>
      </c>
      <c r="Y5198" s="24">
        <v>7.8E-2</v>
      </c>
      <c r="Z5198" s="24" t="s">
        <v>319</v>
      </c>
      <c r="AA5198" s="24">
        <v>1.1000000000000001</v>
      </c>
      <c r="AD5198" s="24">
        <v>140</v>
      </c>
      <c r="AE5198" s="24">
        <v>7.5</v>
      </c>
      <c r="AK5198" s="24">
        <v>20</v>
      </c>
      <c r="AL5198" s="24">
        <v>920</v>
      </c>
      <c r="CP5198" s="26"/>
    </row>
    <row r="5199" spans="1:94" x14ac:dyDescent="0.3">
      <c r="A5199" s="1">
        <v>91487</v>
      </c>
      <c r="B5199" s="1" t="s">
        <v>501</v>
      </c>
      <c r="C5199" s="1" t="s">
        <v>294</v>
      </c>
      <c r="D5199" s="1">
        <v>2023</v>
      </c>
      <c r="E5199" s="1">
        <v>8</v>
      </c>
      <c r="G5199" s="4">
        <v>45149</v>
      </c>
      <c r="H5199" s="1" t="s">
        <v>311</v>
      </c>
      <c r="I5199" s="1" t="s">
        <v>312</v>
      </c>
      <c r="J5199" s="1" t="s">
        <v>313</v>
      </c>
      <c r="K5199" s="1"/>
      <c r="L5199" s="1" t="s">
        <v>314</v>
      </c>
      <c r="M5199" s="1" t="s">
        <v>285</v>
      </c>
      <c r="N5199" s="1">
        <v>0.5</v>
      </c>
      <c r="O5199" s="1">
        <v>0.5</v>
      </c>
      <c r="P5199" s="1">
        <v>0.8</v>
      </c>
      <c r="Q5199" s="1">
        <v>17.899999999999999</v>
      </c>
      <c r="R5199" s="1">
        <v>7.92</v>
      </c>
      <c r="S5199" s="1">
        <v>83.4</v>
      </c>
      <c r="V5199" s="1">
        <v>2.5</v>
      </c>
      <c r="W5199" s="1">
        <v>5.9</v>
      </c>
      <c r="Y5199" s="1">
        <v>4.7E-2</v>
      </c>
      <c r="Z5199" s="1">
        <v>4.2</v>
      </c>
      <c r="AA5199" s="1">
        <v>14</v>
      </c>
      <c r="AB5199" s="1">
        <v>60</v>
      </c>
      <c r="AD5199" s="1">
        <v>2.4</v>
      </c>
      <c r="AE5199" s="1">
        <v>8.3000000000000007</v>
      </c>
      <c r="AK5199" s="1">
        <v>82</v>
      </c>
      <c r="AL5199" s="1">
        <v>600</v>
      </c>
    </row>
    <row r="5200" spans="1:94" x14ac:dyDescent="0.3">
      <c r="A5200" s="1">
        <v>91488</v>
      </c>
      <c r="B5200" s="1" t="s">
        <v>501</v>
      </c>
      <c r="C5200" s="1" t="s">
        <v>294</v>
      </c>
      <c r="D5200" s="1">
        <v>2023</v>
      </c>
      <c r="E5200" s="1">
        <v>8</v>
      </c>
      <c r="G5200" s="4">
        <v>45149</v>
      </c>
      <c r="H5200" s="1" t="s">
        <v>311</v>
      </c>
      <c r="I5200" s="1" t="s">
        <v>312</v>
      </c>
      <c r="J5200" s="1" t="s">
        <v>313</v>
      </c>
      <c r="K5200" s="1"/>
      <c r="L5200" s="1" t="s">
        <v>314</v>
      </c>
      <c r="M5200" s="1">
        <v>1</v>
      </c>
      <c r="N5200" s="1">
        <v>1</v>
      </c>
      <c r="O5200" s="1">
        <v>1</v>
      </c>
      <c r="Q5200" s="1">
        <v>17.899999999999999</v>
      </c>
      <c r="R5200" s="1">
        <v>7.76</v>
      </c>
      <c r="S5200" s="1">
        <v>81.8</v>
      </c>
    </row>
    <row r="5201" spans="1:38" x14ac:dyDescent="0.3">
      <c r="A5201" s="1">
        <v>91489</v>
      </c>
      <c r="B5201" s="1" t="s">
        <v>501</v>
      </c>
      <c r="C5201" s="1" t="s">
        <v>294</v>
      </c>
      <c r="D5201" s="1">
        <v>2023</v>
      </c>
      <c r="E5201" s="1">
        <v>8</v>
      </c>
      <c r="G5201" s="4">
        <v>45149</v>
      </c>
      <c r="H5201" s="1" t="s">
        <v>311</v>
      </c>
      <c r="I5201" s="1" t="s">
        <v>312</v>
      </c>
      <c r="J5201" s="1" t="s">
        <v>313</v>
      </c>
      <c r="K5201" s="1"/>
      <c r="L5201" s="1" t="s">
        <v>314</v>
      </c>
      <c r="M5201" s="1">
        <v>2</v>
      </c>
      <c r="N5201" s="1">
        <v>2</v>
      </c>
      <c r="O5201" s="1">
        <v>2</v>
      </c>
      <c r="Q5201" s="1">
        <v>17.899999999999999</v>
      </c>
      <c r="R5201" s="1">
        <v>7.61</v>
      </c>
      <c r="S5201" s="1">
        <v>80</v>
      </c>
    </row>
    <row r="5202" spans="1:38" x14ac:dyDescent="0.3">
      <c r="A5202" s="1">
        <v>91490</v>
      </c>
      <c r="B5202" s="1" t="s">
        <v>501</v>
      </c>
      <c r="C5202" s="1" t="s">
        <v>294</v>
      </c>
      <c r="D5202" s="1">
        <v>2023</v>
      </c>
      <c r="E5202" s="1">
        <v>8</v>
      </c>
      <c r="G5202" s="4">
        <v>45149</v>
      </c>
      <c r="H5202" s="1" t="s">
        <v>311</v>
      </c>
      <c r="I5202" s="1" t="s">
        <v>312</v>
      </c>
      <c r="J5202" s="1" t="s">
        <v>313</v>
      </c>
      <c r="K5202" s="1"/>
      <c r="L5202" s="1" t="s">
        <v>314</v>
      </c>
      <c r="M5202" s="1">
        <v>3</v>
      </c>
      <c r="N5202" s="1">
        <v>3</v>
      </c>
      <c r="O5202" s="1">
        <v>3</v>
      </c>
      <c r="Q5202" s="1">
        <v>17.899999999999999</v>
      </c>
      <c r="R5202" s="1">
        <v>7.4</v>
      </c>
      <c r="S5202" s="1">
        <v>78</v>
      </c>
    </row>
    <row r="5203" spans="1:38" x14ac:dyDescent="0.3">
      <c r="A5203" s="1">
        <v>91491</v>
      </c>
      <c r="B5203" s="1" t="s">
        <v>501</v>
      </c>
      <c r="C5203" s="1" t="s">
        <v>294</v>
      </c>
      <c r="D5203" s="1">
        <v>2023</v>
      </c>
      <c r="E5203" s="1">
        <v>8</v>
      </c>
      <c r="G5203" s="4">
        <v>45149</v>
      </c>
      <c r="H5203" s="1" t="s">
        <v>311</v>
      </c>
      <c r="I5203" s="1" t="s">
        <v>312</v>
      </c>
      <c r="J5203" s="1" t="s">
        <v>313</v>
      </c>
      <c r="K5203" s="1"/>
      <c r="L5203" s="1" t="s">
        <v>314</v>
      </c>
      <c r="M5203" s="1">
        <v>4</v>
      </c>
      <c r="N5203" s="1">
        <v>4</v>
      </c>
      <c r="O5203" s="1">
        <v>4</v>
      </c>
      <c r="Q5203" s="1">
        <v>17.899999999999999</v>
      </c>
      <c r="R5203" s="1">
        <v>7.43</v>
      </c>
      <c r="S5203" s="1">
        <v>78.3</v>
      </c>
    </row>
    <row r="5204" spans="1:38" x14ac:dyDescent="0.3">
      <c r="A5204" s="1">
        <v>91492</v>
      </c>
      <c r="B5204" s="1" t="s">
        <v>501</v>
      </c>
      <c r="C5204" s="1" t="s">
        <v>294</v>
      </c>
      <c r="D5204" s="1">
        <v>2023</v>
      </c>
      <c r="E5204" s="1">
        <v>8</v>
      </c>
      <c r="G5204" s="4">
        <v>45149</v>
      </c>
      <c r="H5204" s="1" t="s">
        <v>311</v>
      </c>
      <c r="I5204" s="1" t="s">
        <v>312</v>
      </c>
      <c r="J5204" s="1" t="s">
        <v>313</v>
      </c>
      <c r="K5204" s="1"/>
      <c r="L5204" s="1" t="s">
        <v>314</v>
      </c>
      <c r="M5204" s="1" t="s">
        <v>286</v>
      </c>
      <c r="N5204" s="1">
        <v>4.8</v>
      </c>
      <c r="O5204" s="1">
        <v>4.8</v>
      </c>
      <c r="Q5204" s="1">
        <v>17.8</v>
      </c>
      <c r="R5204" s="1">
        <v>7.42</v>
      </c>
      <c r="S5204" s="1">
        <v>77</v>
      </c>
      <c r="V5204" s="1">
        <v>2.5</v>
      </c>
      <c r="W5204" s="1">
        <v>6.6</v>
      </c>
      <c r="Y5204" s="1">
        <v>4.3999999999999997E-2</v>
      </c>
      <c r="Z5204" s="1">
        <v>9.1999999999999993</v>
      </c>
      <c r="AA5204" s="1">
        <v>15</v>
      </c>
      <c r="AD5204" s="1">
        <v>2.6</v>
      </c>
      <c r="AE5204" s="1">
        <v>8.4</v>
      </c>
      <c r="AK5204" s="1">
        <v>53</v>
      </c>
      <c r="AL5204" s="1">
        <v>590</v>
      </c>
    </row>
    <row r="5205" spans="1:38" x14ac:dyDescent="0.3">
      <c r="A5205" s="1">
        <v>91493</v>
      </c>
      <c r="B5205" s="1" t="s">
        <v>501</v>
      </c>
      <c r="C5205" s="1" t="s">
        <v>294</v>
      </c>
      <c r="D5205" s="1">
        <v>2023</v>
      </c>
      <c r="E5205" s="1">
        <v>8</v>
      </c>
      <c r="G5205" s="4">
        <v>45147</v>
      </c>
      <c r="H5205" s="1" t="s">
        <v>315</v>
      </c>
      <c r="I5205" s="1" t="s">
        <v>316</v>
      </c>
      <c r="J5205" s="1" t="s">
        <v>183</v>
      </c>
      <c r="K5205" s="1"/>
      <c r="L5205" s="1" t="s">
        <v>317</v>
      </c>
      <c r="M5205" s="1" t="s">
        <v>285</v>
      </c>
      <c r="N5205" s="1">
        <v>0.5</v>
      </c>
      <c r="O5205" s="1">
        <v>0.5</v>
      </c>
      <c r="P5205" s="1">
        <v>1.8</v>
      </c>
      <c r="Q5205" s="1">
        <v>19.100000000000001</v>
      </c>
      <c r="R5205" s="1">
        <v>8.1199999999999992</v>
      </c>
      <c r="S5205" s="1">
        <v>88.2</v>
      </c>
      <c r="V5205" s="1">
        <v>2.2999999999999998</v>
      </c>
      <c r="W5205" s="1">
        <v>4.9000000000000004</v>
      </c>
      <c r="Y5205" s="1">
        <v>4.1000000000000002E-2</v>
      </c>
      <c r="Z5205" s="1">
        <v>1.4</v>
      </c>
      <c r="AA5205" s="1">
        <v>1.9</v>
      </c>
      <c r="AB5205" s="1">
        <v>7.9</v>
      </c>
      <c r="AD5205" s="1">
        <v>1.7</v>
      </c>
      <c r="AE5205" s="1">
        <v>8.1</v>
      </c>
      <c r="AK5205" s="1">
        <v>14</v>
      </c>
      <c r="AL5205" s="1">
        <v>460</v>
      </c>
    </row>
    <row r="5206" spans="1:38" x14ac:dyDescent="0.3">
      <c r="A5206" s="1">
        <v>91494</v>
      </c>
      <c r="B5206" s="1" t="s">
        <v>501</v>
      </c>
      <c r="C5206" s="1" t="s">
        <v>294</v>
      </c>
      <c r="D5206" s="1">
        <v>2023</v>
      </c>
      <c r="E5206" s="1">
        <v>8</v>
      </c>
      <c r="G5206" s="4">
        <v>45147</v>
      </c>
      <c r="H5206" s="1" t="s">
        <v>315</v>
      </c>
      <c r="I5206" s="1" t="s">
        <v>316</v>
      </c>
      <c r="J5206" s="1" t="s">
        <v>183</v>
      </c>
      <c r="K5206" s="1"/>
      <c r="L5206" s="1" t="s">
        <v>317</v>
      </c>
      <c r="M5206" s="1">
        <v>1</v>
      </c>
      <c r="N5206" s="1">
        <v>1</v>
      </c>
      <c r="O5206" s="1">
        <v>1</v>
      </c>
      <c r="Q5206" s="1">
        <v>19.100000000000001</v>
      </c>
      <c r="R5206" s="1">
        <v>8.23</v>
      </c>
      <c r="S5206" s="1">
        <v>89.8</v>
      </c>
      <c r="AB5206" s="1" t="s">
        <v>266</v>
      </c>
    </row>
    <row r="5207" spans="1:38" x14ac:dyDescent="0.3">
      <c r="A5207" s="1">
        <v>91495</v>
      </c>
      <c r="B5207" s="1" t="s">
        <v>501</v>
      </c>
      <c r="C5207" s="1" t="s">
        <v>294</v>
      </c>
      <c r="D5207" s="1">
        <v>2023</v>
      </c>
      <c r="E5207" s="1">
        <v>8</v>
      </c>
      <c r="G5207" s="4">
        <v>45147</v>
      </c>
      <c r="H5207" s="1" t="s">
        <v>315</v>
      </c>
      <c r="I5207" s="1" t="s">
        <v>316</v>
      </c>
      <c r="J5207" s="1" t="s">
        <v>183</v>
      </c>
      <c r="K5207" s="1"/>
      <c r="L5207" s="1" t="s">
        <v>317</v>
      </c>
      <c r="M5207" s="1">
        <v>4</v>
      </c>
      <c r="N5207" s="1">
        <v>4</v>
      </c>
      <c r="O5207" s="1">
        <v>4</v>
      </c>
      <c r="Q5207" s="1">
        <v>19.100000000000001</v>
      </c>
      <c r="R5207" s="1">
        <v>8.27</v>
      </c>
      <c r="S5207" s="1">
        <v>90.2</v>
      </c>
    </row>
    <row r="5208" spans="1:38" x14ac:dyDescent="0.3">
      <c r="A5208" s="1">
        <v>91496</v>
      </c>
      <c r="B5208" s="1" t="s">
        <v>501</v>
      </c>
      <c r="C5208" s="1" t="s">
        <v>294</v>
      </c>
      <c r="D5208" s="1">
        <v>2023</v>
      </c>
      <c r="E5208" s="1">
        <v>8</v>
      </c>
      <c r="G5208" s="4">
        <v>45147</v>
      </c>
      <c r="H5208" s="1" t="s">
        <v>315</v>
      </c>
      <c r="I5208" s="1" t="s">
        <v>316</v>
      </c>
      <c r="J5208" s="1" t="s">
        <v>183</v>
      </c>
      <c r="K5208" s="1"/>
      <c r="L5208" s="1" t="s">
        <v>317</v>
      </c>
      <c r="M5208" s="1">
        <v>3</v>
      </c>
      <c r="N5208" s="1">
        <v>3</v>
      </c>
      <c r="O5208" s="1">
        <v>3</v>
      </c>
      <c r="Q5208" s="1">
        <v>19.100000000000001</v>
      </c>
      <c r="R5208" s="1">
        <v>8.25</v>
      </c>
      <c r="S5208" s="1">
        <v>90.2</v>
      </c>
    </row>
    <row r="5209" spans="1:38" x14ac:dyDescent="0.3">
      <c r="A5209" s="1">
        <v>91497</v>
      </c>
      <c r="B5209" s="1" t="s">
        <v>501</v>
      </c>
      <c r="C5209" s="1" t="s">
        <v>294</v>
      </c>
      <c r="D5209" s="1">
        <v>2023</v>
      </c>
      <c r="E5209" s="1">
        <v>8</v>
      </c>
      <c r="G5209" s="4">
        <v>45147</v>
      </c>
      <c r="H5209" s="1" t="s">
        <v>315</v>
      </c>
      <c r="I5209" s="1" t="s">
        <v>316</v>
      </c>
      <c r="J5209" s="1" t="s">
        <v>183</v>
      </c>
      <c r="K5209" s="1"/>
      <c r="L5209" s="1" t="s">
        <v>317</v>
      </c>
      <c r="M5209" s="1">
        <v>4</v>
      </c>
      <c r="N5209" s="1">
        <v>4</v>
      </c>
      <c r="O5209" s="1">
        <v>4</v>
      </c>
      <c r="Q5209" s="1">
        <v>19.100000000000001</v>
      </c>
      <c r="R5209" s="1">
        <v>8.25</v>
      </c>
      <c r="S5209" s="1">
        <v>90.2</v>
      </c>
    </row>
    <row r="5210" spans="1:38" x14ac:dyDescent="0.3">
      <c r="A5210" s="1">
        <v>91498</v>
      </c>
      <c r="B5210" s="1" t="s">
        <v>501</v>
      </c>
      <c r="C5210" s="1" t="s">
        <v>294</v>
      </c>
      <c r="D5210" s="1">
        <v>2023</v>
      </c>
      <c r="E5210" s="1">
        <v>8</v>
      </c>
      <c r="G5210" s="4">
        <v>45147</v>
      </c>
      <c r="H5210" s="1" t="s">
        <v>315</v>
      </c>
      <c r="I5210" s="1" t="s">
        <v>316</v>
      </c>
      <c r="J5210" s="1" t="s">
        <v>183</v>
      </c>
      <c r="K5210" s="1"/>
      <c r="L5210" s="1" t="s">
        <v>317</v>
      </c>
      <c r="M5210" s="1">
        <v>5</v>
      </c>
      <c r="N5210" s="1">
        <v>5</v>
      </c>
      <c r="O5210" s="1">
        <v>5</v>
      </c>
      <c r="Q5210" s="1">
        <v>19.100000000000001</v>
      </c>
      <c r="R5210" s="1">
        <v>8.24</v>
      </c>
      <c r="S5210" s="1">
        <v>89.8</v>
      </c>
    </row>
    <row r="5211" spans="1:38" x14ac:dyDescent="0.3">
      <c r="A5211" s="1">
        <v>91499</v>
      </c>
      <c r="B5211" s="1" t="s">
        <v>501</v>
      </c>
      <c r="C5211" s="1" t="s">
        <v>294</v>
      </c>
      <c r="D5211" s="1">
        <v>2023</v>
      </c>
      <c r="E5211" s="1">
        <v>8</v>
      </c>
      <c r="G5211" s="4">
        <v>45147</v>
      </c>
      <c r="H5211" s="1" t="s">
        <v>315</v>
      </c>
      <c r="I5211" s="1" t="s">
        <v>316</v>
      </c>
      <c r="J5211" s="1" t="s">
        <v>183</v>
      </c>
      <c r="K5211" s="1"/>
      <c r="L5211" s="1" t="s">
        <v>317</v>
      </c>
      <c r="M5211" s="1">
        <v>6</v>
      </c>
      <c r="N5211" s="1">
        <v>6</v>
      </c>
      <c r="O5211" s="1">
        <v>6</v>
      </c>
      <c r="Q5211" s="1">
        <v>14.5</v>
      </c>
      <c r="R5211" s="1">
        <v>3.3</v>
      </c>
      <c r="S5211" s="1">
        <v>38</v>
      </c>
    </row>
    <row r="5212" spans="1:38" x14ac:dyDescent="0.3">
      <c r="A5212" s="1">
        <v>91500</v>
      </c>
      <c r="B5212" s="1" t="s">
        <v>501</v>
      </c>
      <c r="C5212" s="1" t="s">
        <v>294</v>
      </c>
      <c r="D5212" s="1">
        <v>2023</v>
      </c>
      <c r="E5212" s="1">
        <v>8</v>
      </c>
      <c r="G5212" s="4">
        <v>45147</v>
      </c>
      <c r="H5212" s="1" t="s">
        <v>315</v>
      </c>
      <c r="I5212" s="1" t="s">
        <v>316</v>
      </c>
      <c r="J5212" s="1" t="s">
        <v>183</v>
      </c>
      <c r="K5212" s="1"/>
      <c r="L5212" s="1" t="s">
        <v>317</v>
      </c>
      <c r="M5212" s="1">
        <v>7</v>
      </c>
      <c r="N5212" s="1">
        <v>7</v>
      </c>
      <c r="O5212" s="1">
        <v>7</v>
      </c>
      <c r="Q5212" s="1">
        <v>10.9</v>
      </c>
      <c r="R5212" s="1">
        <v>1.1000000000000001</v>
      </c>
      <c r="S5212" s="1">
        <v>10</v>
      </c>
    </row>
    <row r="5213" spans="1:38" x14ac:dyDescent="0.3">
      <c r="A5213" s="1">
        <v>91501</v>
      </c>
      <c r="B5213" s="1" t="s">
        <v>501</v>
      </c>
      <c r="C5213" s="1" t="s">
        <v>294</v>
      </c>
      <c r="D5213" s="1">
        <v>2023</v>
      </c>
      <c r="E5213" s="1">
        <v>8</v>
      </c>
      <c r="G5213" s="4">
        <v>45147</v>
      </c>
      <c r="H5213" s="1" t="s">
        <v>315</v>
      </c>
      <c r="I5213" s="1" t="s">
        <v>316</v>
      </c>
      <c r="J5213" s="1" t="s">
        <v>183</v>
      </c>
      <c r="K5213" s="1"/>
      <c r="L5213" s="1" t="s">
        <v>317</v>
      </c>
      <c r="M5213" s="1" t="s">
        <v>286</v>
      </c>
      <c r="N5213" s="1">
        <v>7.7</v>
      </c>
      <c r="O5213" s="1">
        <v>7.7</v>
      </c>
      <c r="Q5213" s="1">
        <v>10</v>
      </c>
      <c r="R5213" s="1">
        <v>0.57999999999999996</v>
      </c>
      <c r="S5213" s="1">
        <v>5.5</v>
      </c>
      <c r="V5213" s="1">
        <v>2.5</v>
      </c>
      <c r="W5213" s="20" t="s">
        <v>507</v>
      </c>
      <c r="Y5213" s="1">
        <v>0.04</v>
      </c>
      <c r="Z5213" s="1">
        <v>18</v>
      </c>
      <c r="AA5213" s="1">
        <v>8.9</v>
      </c>
      <c r="AD5213" s="1">
        <v>1.4</v>
      </c>
      <c r="AE5213" s="1">
        <v>8.3000000000000007</v>
      </c>
      <c r="AK5213" s="1">
        <v>78</v>
      </c>
      <c r="AL5213" s="1">
        <v>490</v>
      </c>
    </row>
    <row r="5214" spans="1:38" x14ac:dyDescent="0.3">
      <c r="A5214" s="1">
        <v>91502</v>
      </c>
      <c r="B5214" s="1" t="s">
        <v>501</v>
      </c>
      <c r="C5214" s="1" t="s">
        <v>294</v>
      </c>
      <c r="D5214" s="1">
        <v>2023</v>
      </c>
      <c r="E5214" s="1">
        <v>8</v>
      </c>
      <c r="G5214" s="4">
        <v>45145</v>
      </c>
      <c r="H5214" s="1" t="s">
        <v>320</v>
      </c>
      <c r="I5214" s="1" t="s">
        <v>321</v>
      </c>
      <c r="J5214" s="1" t="s">
        <v>185</v>
      </c>
      <c r="K5214" s="1"/>
      <c r="L5214" s="1" t="s">
        <v>322</v>
      </c>
      <c r="M5214" s="1" t="s">
        <v>285</v>
      </c>
      <c r="N5214" s="1">
        <v>0.5</v>
      </c>
      <c r="O5214" s="1">
        <v>0.5</v>
      </c>
      <c r="P5214" s="20" t="s">
        <v>508</v>
      </c>
      <c r="Q5214" s="1">
        <v>19.3</v>
      </c>
      <c r="R5214" s="1">
        <v>5.39</v>
      </c>
      <c r="S5214" s="1">
        <v>61.5</v>
      </c>
      <c r="V5214" s="1">
        <v>1.4</v>
      </c>
      <c r="W5214" s="1">
        <v>8.8000000000000007</v>
      </c>
      <c r="Y5214" s="1">
        <v>0.114</v>
      </c>
      <c r="Z5214" s="1">
        <v>1.5</v>
      </c>
      <c r="AA5214" s="1">
        <v>1.3</v>
      </c>
      <c r="AB5214" s="1">
        <v>12</v>
      </c>
      <c r="AD5214" s="1">
        <v>4.9000000000000004</v>
      </c>
      <c r="AE5214" s="1">
        <v>7.5</v>
      </c>
      <c r="AK5214" s="1">
        <v>23</v>
      </c>
      <c r="AL5214" s="1">
        <v>370</v>
      </c>
    </row>
    <row r="5215" spans="1:38" x14ac:dyDescent="0.3">
      <c r="A5215" s="1">
        <v>91503</v>
      </c>
      <c r="B5215" s="1" t="s">
        <v>501</v>
      </c>
      <c r="C5215" s="1" t="s">
        <v>294</v>
      </c>
      <c r="D5215" s="1">
        <v>2023</v>
      </c>
      <c r="E5215" s="1">
        <v>8</v>
      </c>
      <c r="G5215" s="4">
        <v>45145</v>
      </c>
      <c r="H5215" s="1" t="s">
        <v>320</v>
      </c>
      <c r="I5215" s="1" t="s">
        <v>321</v>
      </c>
      <c r="J5215" s="1" t="s">
        <v>185</v>
      </c>
      <c r="K5215" s="1"/>
      <c r="L5215" s="1" t="s">
        <v>322</v>
      </c>
      <c r="M5215" s="1">
        <v>1</v>
      </c>
      <c r="N5215" s="1">
        <v>1</v>
      </c>
      <c r="O5215" s="1">
        <v>1</v>
      </c>
      <c r="Q5215" s="1">
        <v>18.899999999999999</v>
      </c>
      <c r="R5215" s="1">
        <v>3.6</v>
      </c>
      <c r="S5215" s="1">
        <v>38.5</v>
      </c>
    </row>
    <row r="5216" spans="1:38" x14ac:dyDescent="0.3">
      <c r="A5216" s="1">
        <v>91504</v>
      </c>
      <c r="B5216" s="1" t="s">
        <v>501</v>
      </c>
      <c r="C5216" s="1" t="s">
        <v>294</v>
      </c>
      <c r="D5216" s="1">
        <v>2023</v>
      </c>
      <c r="E5216" s="1">
        <v>8</v>
      </c>
      <c r="G5216" s="4">
        <v>45145</v>
      </c>
      <c r="H5216" s="1" t="s">
        <v>320</v>
      </c>
      <c r="I5216" s="1" t="s">
        <v>321</v>
      </c>
      <c r="J5216" s="1" t="s">
        <v>185</v>
      </c>
      <c r="K5216" s="1"/>
      <c r="L5216" s="1" t="s">
        <v>322</v>
      </c>
      <c r="M5216" s="1" t="s">
        <v>286</v>
      </c>
      <c r="N5216" s="1">
        <v>1.3</v>
      </c>
      <c r="O5216" s="1">
        <v>1.3</v>
      </c>
      <c r="Q5216" s="1">
        <v>18.399999999999999</v>
      </c>
      <c r="R5216" s="1">
        <v>0.66</v>
      </c>
      <c r="S5216" s="1">
        <v>7</v>
      </c>
      <c r="V5216" s="1">
        <v>1.5</v>
      </c>
      <c r="W5216" s="1">
        <v>4.7</v>
      </c>
      <c r="Y5216" s="1">
        <v>0.121</v>
      </c>
      <c r="Z5216" s="1">
        <v>1.5</v>
      </c>
      <c r="AA5216" s="1">
        <v>1.9</v>
      </c>
      <c r="AD5216" s="1">
        <v>2.8</v>
      </c>
      <c r="AE5216" s="1">
        <v>7.2</v>
      </c>
      <c r="AK5216" s="1">
        <v>21</v>
      </c>
      <c r="AL5216" s="1">
        <v>450</v>
      </c>
    </row>
    <row r="5217" spans="1:38" x14ac:dyDescent="0.3">
      <c r="A5217" s="1">
        <v>91505</v>
      </c>
      <c r="B5217" s="1" t="s">
        <v>501</v>
      </c>
      <c r="C5217" s="1" t="s">
        <v>294</v>
      </c>
      <c r="D5217" s="1">
        <v>2023</v>
      </c>
      <c r="E5217" s="1">
        <v>8</v>
      </c>
      <c r="G5217" s="4">
        <v>45147</v>
      </c>
      <c r="H5217" s="1" t="s">
        <v>323</v>
      </c>
      <c r="I5217" s="1" t="s">
        <v>324</v>
      </c>
      <c r="J5217" s="1" t="s">
        <v>207</v>
      </c>
      <c r="K5217" s="1"/>
      <c r="L5217" s="1" t="s">
        <v>325</v>
      </c>
      <c r="M5217" s="1" t="s">
        <v>285</v>
      </c>
      <c r="N5217" s="1">
        <v>0.5</v>
      </c>
      <c r="O5217" s="1">
        <v>0.5</v>
      </c>
      <c r="P5217" s="1">
        <v>1</v>
      </c>
      <c r="Q5217" s="1">
        <v>18</v>
      </c>
      <c r="R5217" s="1">
        <v>5.6</v>
      </c>
      <c r="S5217" s="1">
        <v>59</v>
      </c>
      <c r="V5217" s="1">
        <v>0.61</v>
      </c>
      <c r="W5217" s="1">
        <v>24</v>
      </c>
      <c r="Y5217" s="1">
        <v>0.39400000000000002</v>
      </c>
      <c r="Z5217" s="1">
        <v>1.4</v>
      </c>
      <c r="AA5217" s="1">
        <v>1.3</v>
      </c>
      <c r="AB5217" s="1">
        <v>6.5</v>
      </c>
      <c r="AD5217" s="1">
        <v>12</v>
      </c>
      <c r="AE5217" s="1">
        <v>7.3</v>
      </c>
      <c r="AK5217" s="1">
        <v>180</v>
      </c>
      <c r="AL5217" s="1">
        <v>790</v>
      </c>
    </row>
    <row r="5218" spans="1:38" x14ac:dyDescent="0.3">
      <c r="A5218" s="1">
        <v>91506</v>
      </c>
      <c r="B5218" s="1" t="s">
        <v>501</v>
      </c>
      <c r="C5218" s="1" t="s">
        <v>294</v>
      </c>
      <c r="D5218" s="1">
        <v>2023</v>
      </c>
      <c r="E5218" s="1">
        <v>8</v>
      </c>
      <c r="G5218" s="4">
        <v>45147</v>
      </c>
      <c r="H5218" s="1" t="s">
        <v>323</v>
      </c>
      <c r="I5218" s="1" t="s">
        <v>324</v>
      </c>
      <c r="J5218" s="1" t="s">
        <v>207</v>
      </c>
      <c r="K5218" s="1"/>
      <c r="L5218" s="1" t="s">
        <v>325</v>
      </c>
      <c r="M5218" s="1">
        <v>1</v>
      </c>
      <c r="N5218" s="1">
        <v>1</v>
      </c>
      <c r="O5218" s="1">
        <v>1</v>
      </c>
      <c r="Q5218" s="1">
        <v>18</v>
      </c>
      <c r="R5218" s="1">
        <v>5.45</v>
      </c>
      <c r="S5218" s="1">
        <v>58</v>
      </c>
      <c r="AB5218" s="1" t="s">
        <v>266</v>
      </c>
    </row>
    <row r="5219" spans="1:38" x14ac:dyDescent="0.3">
      <c r="A5219" s="1">
        <v>91507</v>
      </c>
      <c r="B5219" s="1" t="s">
        <v>501</v>
      </c>
      <c r="C5219" s="1" t="s">
        <v>294</v>
      </c>
      <c r="D5219" s="1">
        <v>2023</v>
      </c>
      <c r="E5219" s="1">
        <v>8</v>
      </c>
      <c r="G5219" s="4">
        <v>45147</v>
      </c>
      <c r="H5219" s="1" t="s">
        <v>323</v>
      </c>
      <c r="I5219" s="1" t="s">
        <v>324</v>
      </c>
      <c r="J5219" s="1" t="s">
        <v>207</v>
      </c>
      <c r="K5219" s="1"/>
      <c r="L5219" s="1" t="s">
        <v>325</v>
      </c>
      <c r="M5219" s="1">
        <v>2</v>
      </c>
      <c r="N5219" s="1">
        <v>2</v>
      </c>
      <c r="O5219" s="1">
        <v>2</v>
      </c>
      <c r="Q5219" s="1">
        <v>13</v>
      </c>
      <c r="R5219" s="1">
        <v>0.6</v>
      </c>
      <c r="S5219" s="1">
        <v>6</v>
      </c>
    </row>
    <row r="5220" spans="1:38" x14ac:dyDescent="0.3">
      <c r="A5220" s="1">
        <v>91508</v>
      </c>
      <c r="B5220" s="1" t="s">
        <v>501</v>
      </c>
      <c r="C5220" s="1" t="s">
        <v>294</v>
      </c>
      <c r="D5220" s="1">
        <v>2023</v>
      </c>
      <c r="E5220" s="1">
        <v>8</v>
      </c>
      <c r="G5220" s="4">
        <v>45147</v>
      </c>
      <c r="H5220" s="1" t="s">
        <v>323</v>
      </c>
      <c r="I5220" s="1" t="s">
        <v>324</v>
      </c>
      <c r="J5220" s="1" t="s">
        <v>207</v>
      </c>
      <c r="K5220" s="1"/>
      <c r="L5220" s="1" t="s">
        <v>325</v>
      </c>
      <c r="M5220" s="1">
        <v>3</v>
      </c>
      <c r="N5220" s="1">
        <v>3</v>
      </c>
      <c r="O5220" s="1">
        <v>3</v>
      </c>
      <c r="Q5220" s="1">
        <v>8.9</v>
      </c>
      <c r="R5220" s="1">
        <v>0.25</v>
      </c>
      <c r="S5220" s="1">
        <v>2.2999999999999998</v>
      </c>
    </row>
    <row r="5221" spans="1:38" x14ac:dyDescent="0.3">
      <c r="A5221" s="1">
        <v>91509</v>
      </c>
      <c r="B5221" s="1" t="s">
        <v>501</v>
      </c>
      <c r="C5221" s="1" t="s">
        <v>294</v>
      </c>
      <c r="D5221" s="1">
        <v>2023</v>
      </c>
      <c r="E5221" s="1">
        <v>8</v>
      </c>
      <c r="G5221" s="4">
        <v>45147</v>
      </c>
      <c r="H5221" s="1" t="s">
        <v>323</v>
      </c>
      <c r="I5221" s="1" t="s">
        <v>324</v>
      </c>
      <c r="J5221" s="1" t="s">
        <v>207</v>
      </c>
      <c r="K5221" s="1"/>
      <c r="L5221" s="1" t="s">
        <v>325</v>
      </c>
      <c r="M5221" s="1" t="s">
        <v>286</v>
      </c>
      <c r="N5221" s="1">
        <v>3.6</v>
      </c>
      <c r="O5221" s="1">
        <v>3.6</v>
      </c>
      <c r="Q5221" s="1">
        <v>7.5</v>
      </c>
      <c r="R5221" s="1">
        <v>0.2</v>
      </c>
      <c r="S5221" s="1">
        <v>1.7</v>
      </c>
      <c r="V5221" s="1">
        <v>2.9</v>
      </c>
      <c r="W5221" s="1">
        <v>600</v>
      </c>
      <c r="Y5221" s="1">
        <v>7.1999999999999995E-2</v>
      </c>
      <c r="Z5221" s="1">
        <v>390</v>
      </c>
      <c r="AA5221" s="1">
        <v>8.6</v>
      </c>
      <c r="AD5221" s="1">
        <v>5</v>
      </c>
      <c r="AE5221" s="1">
        <v>7.9</v>
      </c>
      <c r="AK5221" s="1">
        <v>460</v>
      </c>
      <c r="AL5221" s="1">
        <v>1000</v>
      </c>
    </row>
    <row r="5222" spans="1:38" x14ac:dyDescent="0.3">
      <c r="A5222" s="1">
        <v>91510</v>
      </c>
      <c r="B5222" s="1" t="s">
        <v>501</v>
      </c>
      <c r="C5222" s="1" t="s">
        <v>294</v>
      </c>
      <c r="D5222" s="1">
        <v>2023</v>
      </c>
      <c r="E5222" s="1">
        <v>8</v>
      </c>
      <c r="G5222" s="4">
        <v>45145</v>
      </c>
      <c r="H5222" s="1" t="s">
        <v>326</v>
      </c>
      <c r="I5222" s="1" t="s">
        <v>327</v>
      </c>
      <c r="J5222" s="1" t="s">
        <v>201</v>
      </c>
      <c r="K5222" s="1"/>
      <c r="L5222" s="1" t="s">
        <v>328</v>
      </c>
      <c r="M5222" s="1" t="s">
        <v>285</v>
      </c>
      <c r="N5222" s="1">
        <v>0.5</v>
      </c>
      <c r="O5222" s="1">
        <v>0.5</v>
      </c>
      <c r="P5222" s="1">
        <v>2.1</v>
      </c>
      <c r="Q5222" s="1">
        <v>20</v>
      </c>
      <c r="R5222" s="1">
        <v>8.4499999999999993</v>
      </c>
      <c r="S5222" s="1">
        <v>94.4</v>
      </c>
      <c r="V5222" s="1">
        <v>1.8</v>
      </c>
      <c r="W5222" s="1">
        <v>4.8</v>
      </c>
      <c r="Y5222" s="1">
        <v>9.4E-2</v>
      </c>
      <c r="Z5222" s="1">
        <v>1.1000000000000001</v>
      </c>
      <c r="AA5222" s="1">
        <v>4.2</v>
      </c>
      <c r="AB5222" s="1">
        <v>21</v>
      </c>
      <c r="AD5222" s="1">
        <v>3.1</v>
      </c>
      <c r="AE5222" s="1">
        <v>7.9</v>
      </c>
      <c r="AK5222" s="1">
        <v>28</v>
      </c>
      <c r="AL5222" s="1">
        <v>420</v>
      </c>
    </row>
    <row r="5223" spans="1:38" x14ac:dyDescent="0.3">
      <c r="A5223" s="1">
        <v>91511</v>
      </c>
      <c r="B5223" s="1" t="s">
        <v>501</v>
      </c>
      <c r="C5223" s="1" t="s">
        <v>294</v>
      </c>
      <c r="D5223" s="1">
        <v>2023</v>
      </c>
      <c r="E5223" s="1">
        <v>8</v>
      </c>
      <c r="G5223" s="4">
        <v>45145</v>
      </c>
      <c r="H5223" s="1" t="s">
        <v>326</v>
      </c>
      <c r="I5223" s="1" t="s">
        <v>327</v>
      </c>
      <c r="J5223" s="1" t="s">
        <v>201</v>
      </c>
      <c r="K5223" s="1"/>
      <c r="L5223" s="1" t="s">
        <v>328</v>
      </c>
      <c r="M5223" s="1">
        <v>1</v>
      </c>
      <c r="N5223" s="1">
        <v>1</v>
      </c>
      <c r="O5223" s="1">
        <v>1</v>
      </c>
      <c r="Q5223" s="1">
        <v>19.8</v>
      </c>
      <c r="R5223" s="1">
        <v>8.1</v>
      </c>
      <c r="S5223" s="1">
        <v>90</v>
      </c>
    </row>
    <row r="5224" spans="1:38" x14ac:dyDescent="0.3">
      <c r="A5224" s="1">
        <v>91512</v>
      </c>
      <c r="B5224" s="1" t="s">
        <v>501</v>
      </c>
      <c r="C5224" s="1" t="s">
        <v>294</v>
      </c>
      <c r="D5224" s="1">
        <v>2023</v>
      </c>
      <c r="E5224" s="1">
        <v>8</v>
      </c>
      <c r="G5224" s="4">
        <v>45145</v>
      </c>
      <c r="H5224" s="1" t="s">
        <v>326</v>
      </c>
      <c r="I5224" s="1" t="s">
        <v>327</v>
      </c>
      <c r="J5224" s="1" t="s">
        <v>201</v>
      </c>
      <c r="K5224" s="1"/>
      <c r="L5224" s="1" t="s">
        <v>328</v>
      </c>
      <c r="M5224" s="1">
        <v>2</v>
      </c>
      <c r="N5224" s="1">
        <v>2</v>
      </c>
      <c r="O5224" s="1">
        <v>2</v>
      </c>
      <c r="Q5224" s="1">
        <v>19.3</v>
      </c>
      <c r="R5224" s="1">
        <v>6.51</v>
      </c>
      <c r="S5224" s="1">
        <v>71.5</v>
      </c>
    </row>
    <row r="5225" spans="1:38" x14ac:dyDescent="0.3">
      <c r="A5225" s="1">
        <v>91513</v>
      </c>
      <c r="B5225" s="1" t="s">
        <v>501</v>
      </c>
      <c r="C5225" s="1" t="s">
        <v>294</v>
      </c>
      <c r="D5225" s="1">
        <v>2023</v>
      </c>
      <c r="E5225" s="1">
        <v>8</v>
      </c>
      <c r="G5225" s="4">
        <v>45145</v>
      </c>
      <c r="H5225" s="1" t="s">
        <v>326</v>
      </c>
      <c r="I5225" s="1" t="s">
        <v>327</v>
      </c>
      <c r="J5225" s="1" t="s">
        <v>201</v>
      </c>
      <c r="K5225" s="1"/>
      <c r="L5225" s="1" t="s">
        <v>328</v>
      </c>
      <c r="M5225" s="1">
        <v>3</v>
      </c>
      <c r="N5225" s="1">
        <v>3</v>
      </c>
      <c r="O5225" s="1">
        <v>3</v>
      </c>
      <c r="Q5225" s="1">
        <v>17.5</v>
      </c>
      <c r="R5225" s="1">
        <v>0.6</v>
      </c>
      <c r="S5225" s="1">
        <v>6</v>
      </c>
    </row>
    <row r="5226" spans="1:38" x14ac:dyDescent="0.3">
      <c r="A5226" s="1">
        <v>91514</v>
      </c>
      <c r="B5226" s="1" t="s">
        <v>501</v>
      </c>
      <c r="C5226" s="1" t="s">
        <v>294</v>
      </c>
      <c r="D5226" s="1">
        <v>2023</v>
      </c>
      <c r="E5226" s="1">
        <v>8</v>
      </c>
      <c r="G5226" s="4">
        <v>45145</v>
      </c>
      <c r="H5226" s="1" t="s">
        <v>326</v>
      </c>
      <c r="I5226" s="1" t="s">
        <v>327</v>
      </c>
      <c r="J5226" s="1" t="s">
        <v>201</v>
      </c>
      <c r="K5226" s="1"/>
      <c r="L5226" s="1" t="s">
        <v>328</v>
      </c>
      <c r="M5226" s="1" t="s">
        <v>286</v>
      </c>
      <c r="N5226" s="1">
        <v>3.5</v>
      </c>
      <c r="O5226" s="1">
        <v>3.5</v>
      </c>
      <c r="Q5226" s="1">
        <v>15.3</v>
      </c>
      <c r="R5226" s="1">
        <v>0.4</v>
      </c>
      <c r="S5226" s="1">
        <v>3.9</v>
      </c>
      <c r="V5226" s="1">
        <v>2.1</v>
      </c>
      <c r="W5226" s="1">
        <v>140</v>
      </c>
      <c r="Y5226" s="1">
        <v>0.14399999999999999</v>
      </c>
      <c r="Z5226" s="1">
        <v>1.9</v>
      </c>
      <c r="AA5226" s="1">
        <v>27</v>
      </c>
      <c r="AD5226" s="1">
        <v>26</v>
      </c>
      <c r="AE5226" s="1">
        <v>7.4</v>
      </c>
      <c r="AK5226" s="1">
        <v>100</v>
      </c>
      <c r="AL5226" s="1">
        <v>890</v>
      </c>
    </row>
    <row r="5227" spans="1:38" x14ac:dyDescent="0.3">
      <c r="A5227" s="1">
        <v>91515</v>
      </c>
      <c r="B5227" s="1" t="s">
        <v>501</v>
      </c>
      <c r="C5227" s="1" t="s">
        <v>294</v>
      </c>
      <c r="D5227" s="1">
        <v>2023</v>
      </c>
      <c r="E5227" s="1">
        <v>8</v>
      </c>
      <c r="G5227" s="4">
        <v>45146</v>
      </c>
      <c r="H5227" s="1" t="s">
        <v>329</v>
      </c>
      <c r="I5227" s="1" t="s">
        <v>330</v>
      </c>
      <c r="J5227" s="1" t="s">
        <v>186</v>
      </c>
      <c r="K5227" s="1">
        <v>1</v>
      </c>
      <c r="L5227" s="1" t="s">
        <v>331</v>
      </c>
      <c r="M5227" s="1" t="s">
        <v>285</v>
      </c>
      <c r="N5227" s="1">
        <v>0.5</v>
      </c>
      <c r="O5227" s="1">
        <v>0.5</v>
      </c>
      <c r="P5227" s="1">
        <v>1.1000000000000001</v>
      </c>
      <c r="Q5227" s="1">
        <v>19.7</v>
      </c>
      <c r="R5227" s="1">
        <v>6.11</v>
      </c>
      <c r="S5227" s="1">
        <v>68.099999999999994</v>
      </c>
      <c r="V5227" s="1">
        <v>2.5</v>
      </c>
      <c r="W5227" s="1">
        <v>80</v>
      </c>
      <c r="Y5227" s="1">
        <v>7.2999999999999995E-2</v>
      </c>
      <c r="Z5227" s="1">
        <v>6.2</v>
      </c>
      <c r="AA5227" s="1">
        <v>8.6999999999999993</v>
      </c>
      <c r="AB5227" s="1">
        <v>46</v>
      </c>
      <c r="AD5227" s="1">
        <v>72</v>
      </c>
      <c r="AE5227" s="1">
        <v>8</v>
      </c>
      <c r="AK5227" s="1">
        <v>76</v>
      </c>
      <c r="AL5227" s="1">
        <v>700</v>
      </c>
    </row>
    <row r="5228" spans="1:38" x14ac:dyDescent="0.3">
      <c r="A5228" s="1">
        <v>91516</v>
      </c>
      <c r="B5228" s="1" t="s">
        <v>501</v>
      </c>
      <c r="C5228" s="1" t="s">
        <v>294</v>
      </c>
      <c r="D5228" s="1">
        <v>2023</v>
      </c>
      <c r="E5228" s="1">
        <v>8</v>
      </c>
      <c r="G5228" s="4">
        <v>45146</v>
      </c>
      <c r="H5228" s="1" t="s">
        <v>329</v>
      </c>
      <c r="I5228" s="1" t="s">
        <v>330</v>
      </c>
      <c r="J5228" s="1" t="s">
        <v>186</v>
      </c>
      <c r="K5228" s="1">
        <v>1</v>
      </c>
      <c r="L5228" s="1" t="s">
        <v>331</v>
      </c>
      <c r="M5228" s="1">
        <v>1</v>
      </c>
      <c r="N5228" s="1">
        <v>1</v>
      </c>
      <c r="O5228" s="1">
        <v>1</v>
      </c>
      <c r="Q5228" s="1">
        <v>19.7</v>
      </c>
      <c r="R5228" s="1">
        <v>5.67</v>
      </c>
      <c r="S5228" s="1">
        <v>64.900000000000006</v>
      </c>
    </row>
    <row r="5229" spans="1:38" x14ac:dyDescent="0.3">
      <c r="A5229" s="1">
        <v>91517</v>
      </c>
      <c r="B5229" s="1" t="s">
        <v>501</v>
      </c>
      <c r="C5229" s="1" t="s">
        <v>294</v>
      </c>
      <c r="D5229" s="1">
        <v>2023</v>
      </c>
      <c r="E5229" s="1">
        <v>8</v>
      </c>
      <c r="G5229" s="4">
        <v>45146</v>
      </c>
      <c r="H5229" s="1" t="s">
        <v>329</v>
      </c>
      <c r="I5229" s="1" t="s">
        <v>330</v>
      </c>
      <c r="J5229" s="1" t="s">
        <v>186</v>
      </c>
      <c r="K5229" s="1">
        <v>1</v>
      </c>
      <c r="L5229" s="1" t="s">
        <v>331</v>
      </c>
      <c r="M5229" s="1" t="s">
        <v>286</v>
      </c>
      <c r="N5229" s="1">
        <v>1.6</v>
      </c>
      <c r="O5229" s="1">
        <v>1.6</v>
      </c>
      <c r="Q5229" s="1">
        <v>18.7</v>
      </c>
      <c r="R5229" s="1">
        <v>1.1000000000000001</v>
      </c>
      <c r="S5229" s="1">
        <v>11.4</v>
      </c>
    </row>
    <row r="5230" spans="1:38" x14ac:dyDescent="0.3">
      <c r="A5230" s="1">
        <v>91518</v>
      </c>
      <c r="B5230" s="1" t="s">
        <v>501</v>
      </c>
      <c r="C5230" s="1" t="s">
        <v>294</v>
      </c>
      <c r="D5230" s="1">
        <v>2023</v>
      </c>
      <c r="E5230" s="1">
        <v>8</v>
      </c>
      <c r="G5230" s="4">
        <v>45146</v>
      </c>
      <c r="H5230" s="1" t="s">
        <v>332</v>
      </c>
      <c r="I5230" s="1" t="s">
        <v>333</v>
      </c>
      <c r="J5230" s="1" t="s">
        <v>186</v>
      </c>
      <c r="K5230" s="1">
        <v>2</v>
      </c>
      <c r="L5230" s="1" t="s">
        <v>334</v>
      </c>
      <c r="M5230" s="1" t="s">
        <v>285</v>
      </c>
      <c r="N5230" s="1">
        <v>0.5</v>
      </c>
      <c r="O5230" s="1">
        <v>0.5</v>
      </c>
      <c r="P5230" s="1">
        <v>3.5</v>
      </c>
      <c r="Q5230" s="1">
        <v>20.2</v>
      </c>
      <c r="R5230" s="1">
        <v>7.86</v>
      </c>
      <c r="S5230" s="1">
        <v>89.1</v>
      </c>
      <c r="V5230" s="1">
        <v>2.5</v>
      </c>
      <c r="W5230" s="1">
        <v>19</v>
      </c>
      <c r="Y5230" s="1">
        <v>3.3000000000000002E-2</v>
      </c>
      <c r="Z5230" s="1">
        <v>8.1999999999999993</v>
      </c>
      <c r="AA5230" s="1">
        <v>2</v>
      </c>
      <c r="AB5230" s="1">
        <v>6.4</v>
      </c>
      <c r="AD5230" s="1">
        <v>5.6</v>
      </c>
      <c r="AE5230" s="1">
        <v>8.1999999999999993</v>
      </c>
      <c r="AK5230" s="1">
        <v>31</v>
      </c>
      <c r="AL5230" s="1">
        <v>490</v>
      </c>
    </row>
    <row r="5231" spans="1:38" x14ac:dyDescent="0.3">
      <c r="A5231" s="1">
        <v>91519</v>
      </c>
      <c r="B5231" s="1" t="s">
        <v>501</v>
      </c>
      <c r="C5231" s="1" t="s">
        <v>294</v>
      </c>
      <c r="D5231" s="1">
        <v>2023</v>
      </c>
      <c r="E5231" s="1">
        <v>8</v>
      </c>
      <c r="G5231" s="4">
        <v>45146</v>
      </c>
      <c r="H5231" s="1" t="s">
        <v>332</v>
      </c>
      <c r="I5231" s="1" t="s">
        <v>333</v>
      </c>
      <c r="J5231" s="1" t="s">
        <v>186</v>
      </c>
      <c r="K5231" s="1">
        <v>2</v>
      </c>
      <c r="L5231" s="1" t="s">
        <v>334</v>
      </c>
      <c r="M5231" s="1">
        <v>1</v>
      </c>
      <c r="N5231" s="1">
        <v>1</v>
      </c>
      <c r="O5231" s="1">
        <v>1</v>
      </c>
      <c r="Q5231" s="1">
        <v>20.2</v>
      </c>
      <c r="R5231" s="1">
        <v>7.73</v>
      </c>
      <c r="S5231" s="1">
        <v>88.2</v>
      </c>
    </row>
    <row r="5232" spans="1:38" x14ac:dyDescent="0.3">
      <c r="A5232" s="1">
        <v>91520</v>
      </c>
      <c r="B5232" s="1" t="s">
        <v>501</v>
      </c>
      <c r="C5232" s="1" t="s">
        <v>294</v>
      </c>
      <c r="D5232" s="1">
        <v>2023</v>
      </c>
      <c r="E5232" s="1">
        <v>8</v>
      </c>
      <c r="G5232" s="4">
        <v>45146</v>
      </c>
      <c r="H5232" s="1" t="s">
        <v>332</v>
      </c>
      <c r="I5232" s="1" t="s">
        <v>333</v>
      </c>
      <c r="J5232" s="1" t="s">
        <v>186</v>
      </c>
      <c r="K5232" s="1">
        <v>2</v>
      </c>
      <c r="L5232" s="1" t="s">
        <v>334</v>
      </c>
      <c r="M5232" s="1">
        <v>2</v>
      </c>
      <c r="N5232" s="1">
        <v>2</v>
      </c>
      <c r="O5232" s="1">
        <v>2</v>
      </c>
      <c r="Q5232" s="1">
        <v>20.2</v>
      </c>
      <c r="R5232" s="1">
        <v>7.72</v>
      </c>
      <c r="S5232" s="1">
        <v>88.1</v>
      </c>
    </row>
    <row r="5233" spans="1:38" x14ac:dyDescent="0.3">
      <c r="A5233" s="1">
        <v>91521</v>
      </c>
      <c r="B5233" s="1" t="s">
        <v>501</v>
      </c>
      <c r="C5233" s="1" t="s">
        <v>294</v>
      </c>
      <c r="D5233" s="1">
        <v>2023</v>
      </c>
      <c r="E5233" s="1">
        <v>8</v>
      </c>
      <c r="G5233" s="4">
        <v>45146</v>
      </c>
      <c r="H5233" s="1" t="s">
        <v>332</v>
      </c>
      <c r="I5233" s="1" t="s">
        <v>333</v>
      </c>
      <c r="J5233" s="1" t="s">
        <v>186</v>
      </c>
      <c r="K5233" s="1">
        <v>2</v>
      </c>
      <c r="L5233" s="1" t="s">
        <v>334</v>
      </c>
      <c r="M5233" s="1">
        <v>3</v>
      </c>
      <c r="N5233" s="1">
        <v>3</v>
      </c>
      <c r="O5233" s="1">
        <v>3</v>
      </c>
      <c r="Q5233" s="1">
        <v>20.2</v>
      </c>
      <c r="R5233" s="1">
        <v>7.7</v>
      </c>
      <c r="S5233" s="1">
        <v>87.9</v>
      </c>
    </row>
    <row r="5234" spans="1:38" x14ac:dyDescent="0.3">
      <c r="A5234" s="1">
        <v>91522</v>
      </c>
      <c r="B5234" s="1" t="s">
        <v>501</v>
      </c>
      <c r="C5234" s="1" t="s">
        <v>294</v>
      </c>
      <c r="D5234" s="1">
        <v>2023</v>
      </c>
      <c r="E5234" s="1">
        <v>8</v>
      </c>
      <c r="G5234" s="4">
        <v>45146</v>
      </c>
      <c r="H5234" s="1" t="s">
        <v>332</v>
      </c>
      <c r="I5234" s="1" t="s">
        <v>333</v>
      </c>
      <c r="J5234" s="1" t="s">
        <v>186</v>
      </c>
      <c r="K5234" s="1">
        <v>2</v>
      </c>
      <c r="L5234" s="1" t="s">
        <v>334</v>
      </c>
      <c r="M5234" s="1">
        <v>4</v>
      </c>
      <c r="N5234" s="1">
        <v>4</v>
      </c>
      <c r="O5234" s="1">
        <v>4</v>
      </c>
      <c r="Q5234" s="1">
        <v>20.2</v>
      </c>
      <c r="R5234" s="1">
        <v>7.69</v>
      </c>
      <c r="S5234" s="1">
        <v>87.7</v>
      </c>
    </row>
    <row r="5235" spans="1:38" x14ac:dyDescent="0.3">
      <c r="A5235" s="1">
        <v>91523</v>
      </c>
      <c r="B5235" s="1" t="s">
        <v>501</v>
      </c>
      <c r="C5235" s="1" t="s">
        <v>294</v>
      </c>
      <c r="D5235" s="1">
        <v>2023</v>
      </c>
      <c r="E5235" s="1">
        <v>8</v>
      </c>
      <c r="G5235" s="4">
        <v>45146</v>
      </c>
      <c r="H5235" s="1" t="s">
        <v>332</v>
      </c>
      <c r="I5235" s="1" t="s">
        <v>333</v>
      </c>
      <c r="J5235" s="1" t="s">
        <v>186</v>
      </c>
      <c r="K5235" s="1">
        <v>2</v>
      </c>
      <c r="L5235" s="1" t="s">
        <v>334</v>
      </c>
      <c r="M5235" s="1">
        <v>5</v>
      </c>
      <c r="N5235" s="1">
        <v>5</v>
      </c>
      <c r="O5235" s="1">
        <v>5</v>
      </c>
      <c r="Q5235" s="1">
        <v>20.2</v>
      </c>
      <c r="R5235" s="1">
        <v>7.66</v>
      </c>
      <c r="S5235" s="1">
        <v>87.4</v>
      </c>
    </row>
    <row r="5236" spans="1:38" x14ac:dyDescent="0.3">
      <c r="A5236" s="1">
        <v>91524</v>
      </c>
      <c r="B5236" s="1" t="s">
        <v>501</v>
      </c>
      <c r="C5236" s="1" t="s">
        <v>294</v>
      </c>
      <c r="D5236" s="1">
        <v>2023</v>
      </c>
      <c r="E5236" s="1">
        <v>8</v>
      </c>
      <c r="G5236" s="4">
        <v>45146</v>
      </c>
      <c r="H5236" s="1" t="s">
        <v>332</v>
      </c>
      <c r="I5236" s="1" t="s">
        <v>333</v>
      </c>
      <c r="J5236" s="1" t="s">
        <v>186</v>
      </c>
      <c r="K5236" s="1">
        <v>2</v>
      </c>
      <c r="L5236" s="1" t="s">
        <v>334</v>
      </c>
      <c r="M5236" s="1">
        <v>6</v>
      </c>
      <c r="N5236" s="1">
        <v>6</v>
      </c>
      <c r="O5236" s="1">
        <v>6</v>
      </c>
      <c r="Q5236" s="1">
        <v>19.8</v>
      </c>
      <c r="R5236" s="1">
        <v>6.93</v>
      </c>
      <c r="S5236" s="1">
        <v>77</v>
      </c>
    </row>
    <row r="5237" spans="1:38" x14ac:dyDescent="0.3">
      <c r="A5237" s="1">
        <v>91525</v>
      </c>
      <c r="B5237" s="1" t="s">
        <v>501</v>
      </c>
      <c r="C5237" s="1" t="s">
        <v>294</v>
      </c>
      <c r="D5237" s="1">
        <v>2023</v>
      </c>
      <c r="E5237" s="1">
        <v>8</v>
      </c>
      <c r="G5237" s="4">
        <v>45146</v>
      </c>
      <c r="H5237" s="1" t="s">
        <v>332</v>
      </c>
      <c r="I5237" s="1" t="s">
        <v>333</v>
      </c>
      <c r="J5237" s="1" t="s">
        <v>186</v>
      </c>
      <c r="K5237" s="1">
        <v>2</v>
      </c>
      <c r="L5237" s="1" t="s">
        <v>334</v>
      </c>
      <c r="M5237" s="1">
        <v>7</v>
      </c>
      <c r="N5237" s="1">
        <v>7</v>
      </c>
      <c r="O5237" s="1">
        <v>7</v>
      </c>
      <c r="Q5237" s="1">
        <v>17</v>
      </c>
      <c r="R5237" s="1">
        <v>0.55000000000000004</v>
      </c>
      <c r="S5237" s="1">
        <v>5</v>
      </c>
    </row>
    <row r="5238" spans="1:38" x14ac:dyDescent="0.3">
      <c r="A5238" s="1">
        <v>91526</v>
      </c>
      <c r="B5238" s="1" t="s">
        <v>501</v>
      </c>
      <c r="C5238" s="1" t="s">
        <v>294</v>
      </c>
      <c r="D5238" s="1">
        <v>2023</v>
      </c>
      <c r="E5238" s="1">
        <v>8</v>
      </c>
      <c r="G5238" s="4">
        <v>45146</v>
      </c>
      <c r="H5238" s="1" t="s">
        <v>332</v>
      </c>
      <c r="I5238" s="1" t="s">
        <v>333</v>
      </c>
      <c r="J5238" s="1" t="s">
        <v>186</v>
      </c>
      <c r="K5238" s="1">
        <v>2</v>
      </c>
      <c r="L5238" s="1" t="s">
        <v>334</v>
      </c>
      <c r="M5238" s="1" t="s">
        <v>286</v>
      </c>
      <c r="N5238" s="1">
        <v>7.3</v>
      </c>
      <c r="O5238" s="1">
        <v>7.3</v>
      </c>
      <c r="Q5238" s="1">
        <v>15.5</v>
      </c>
      <c r="R5238" s="1">
        <v>0.21</v>
      </c>
      <c r="S5238" s="1">
        <v>2.1</v>
      </c>
      <c r="V5238" s="1">
        <v>2.6</v>
      </c>
      <c r="W5238" s="1">
        <v>110</v>
      </c>
      <c r="Y5238" s="1">
        <v>0.03</v>
      </c>
      <c r="Z5238" s="1">
        <v>28</v>
      </c>
      <c r="AA5238" s="1">
        <v>6.2</v>
      </c>
      <c r="AD5238" s="1">
        <v>7</v>
      </c>
      <c r="AE5238" s="1">
        <v>8</v>
      </c>
      <c r="AK5238" s="1">
        <v>49</v>
      </c>
      <c r="AL5238" s="1">
        <v>530</v>
      </c>
    </row>
    <row r="5239" spans="1:38" x14ac:dyDescent="0.3">
      <c r="A5239" s="1">
        <v>91527</v>
      </c>
      <c r="B5239" s="1" t="s">
        <v>501</v>
      </c>
      <c r="C5239" s="1" t="s">
        <v>294</v>
      </c>
      <c r="D5239" s="1">
        <v>2023</v>
      </c>
      <c r="E5239" s="1">
        <v>8</v>
      </c>
      <c r="G5239" s="4">
        <v>45146</v>
      </c>
      <c r="H5239" s="1" t="s">
        <v>335</v>
      </c>
      <c r="I5239" s="1" t="s">
        <v>336</v>
      </c>
      <c r="J5239" s="1" t="s">
        <v>186</v>
      </c>
      <c r="K5239" s="1">
        <v>3</v>
      </c>
      <c r="L5239" s="1" t="s">
        <v>337</v>
      </c>
      <c r="M5239" s="1" t="s">
        <v>285</v>
      </c>
      <c r="N5239" s="1">
        <v>0.5</v>
      </c>
      <c r="O5239" s="1">
        <v>0.5</v>
      </c>
      <c r="P5239" s="1">
        <v>4.5</v>
      </c>
      <c r="Q5239" s="1">
        <v>19.8</v>
      </c>
      <c r="R5239" s="1">
        <v>7.6</v>
      </c>
      <c r="S5239" s="1">
        <v>86</v>
      </c>
      <c r="V5239" s="1">
        <v>2.5</v>
      </c>
      <c r="W5239" s="1">
        <v>27</v>
      </c>
      <c r="Y5239" s="1">
        <v>0.03</v>
      </c>
      <c r="Z5239" s="1">
        <v>9.1</v>
      </c>
      <c r="AA5239" s="1">
        <v>1.6</v>
      </c>
      <c r="AB5239" s="1">
        <v>4.9000000000000004</v>
      </c>
      <c r="AD5239" s="1">
        <v>5.0999999999999996</v>
      </c>
      <c r="AE5239" s="1">
        <v>8.1999999999999993</v>
      </c>
      <c r="AK5239" s="1">
        <v>29</v>
      </c>
      <c r="AL5239" s="1">
        <v>530</v>
      </c>
    </row>
    <row r="5240" spans="1:38" x14ac:dyDescent="0.3">
      <c r="A5240" s="1">
        <v>91528</v>
      </c>
      <c r="B5240" s="1" t="s">
        <v>501</v>
      </c>
      <c r="C5240" s="1" t="s">
        <v>294</v>
      </c>
      <c r="D5240" s="1">
        <v>2023</v>
      </c>
      <c r="E5240" s="1">
        <v>8</v>
      </c>
      <c r="G5240" s="4">
        <v>45146</v>
      </c>
      <c r="H5240" s="1" t="s">
        <v>335</v>
      </c>
      <c r="I5240" s="1" t="s">
        <v>336</v>
      </c>
      <c r="J5240" s="1" t="s">
        <v>186</v>
      </c>
      <c r="K5240" s="1">
        <v>3</v>
      </c>
      <c r="L5240" s="1" t="s">
        <v>337</v>
      </c>
      <c r="M5240" s="1">
        <v>1</v>
      </c>
      <c r="N5240" s="1">
        <v>1</v>
      </c>
      <c r="O5240" s="1">
        <v>1</v>
      </c>
      <c r="Q5240" s="1">
        <v>19.8</v>
      </c>
      <c r="R5240" s="1">
        <v>7.54</v>
      </c>
      <c r="S5240" s="1">
        <v>85.4</v>
      </c>
    </row>
    <row r="5241" spans="1:38" x14ac:dyDescent="0.3">
      <c r="A5241" s="1">
        <v>91529</v>
      </c>
      <c r="B5241" s="1" t="s">
        <v>501</v>
      </c>
      <c r="C5241" s="1" t="s">
        <v>294</v>
      </c>
      <c r="D5241" s="1">
        <v>2023</v>
      </c>
      <c r="E5241" s="1">
        <v>8</v>
      </c>
      <c r="G5241" s="4">
        <v>45146</v>
      </c>
      <c r="H5241" s="1" t="s">
        <v>335</v>
      </c>
      <c r="I5241" s="1" t="s">
        <v>336</v>
      </c>
      <c r="J5241" s="1" t="s">
        <v>186</v>
      </c>
      <c r="K5241" s="1">
        <v>3</v>
      </c>
      <c r="L5241" s="1" t="s">
        <v>337</v>
      </c>
      <c r="M5241" s="1">
        <v>2</v>
      </c>
      <c r="N5241" s="1">
        <v>2</v>
      </c>
      <c r="O5241" s="1">
        <v>2</v>
      </c>
      <c r="Q5241" s="1">
        <v>19.8</v>
      </c>
      <c r="R5241" s="1">
        <v>7.52</v>
      </c>
      <c r="S5241" s="1">
        <v>85.2</v>
      </c>
    </row>
    <row r="5242" spans="1:38" x14ac:dyDescent="0.3">
      <c r="A5242" s="1">
        <v>91530</v>
      </c>
      <c r="B5242" s="1" t="s">
        <v>501</v>
      </c>
      <c r="C5242" s="1" t="s">
        <v>294</v>
      </c>
      <c r="D5242" s="1">
        <v>2023</v>
      </c>
      <c r="E5242" s="1">
        <v>8</v>
      </c>
      <c r="G5242" s="4">
        <v>45146</v>
      </c>
      <c r="H5242" s="1" t="s">
        <v>335</v>
      </c>
      <c r="I5242" s="1" t="s">
        <v>336</v>
      </c>
      <c r="J5242" s="1" t="s">
        <v>186</v>
      </c>
      <c r="K5242" s="1">
        <v>3</v>
      </c>
      <c r="L5242" s="1" t="s">
        <v>337</v>
      </c>
      <c r="M5242" s="1">
        <v>3</v>
      </c>
      <c r="N5242" s="1">
        <v>3</v>
      </c>
      <c r="O5242" s="1">
        <v>3</v>
      </c>
      <c r="Q5242" s="1">
        <v>19.8</v>
      </c>
      <c r="R5242" s="1">
        <v>7.52</v>
      </c>
      <c r="S5242" s="1">
        <v>85.1</v>
      </c>
    </row>
    <row r="5243" spans="1:38" x14ac:dyDescent="0.3">
      <c r="A5243" s="1">
        <v>91531</v>
      </c>
      <c r="B5243" s="1" t="s">
        <v>501</v>
      </c>
      <c r="C5243" s="1" t="s">
        <v>294</v>
      </c>
      <c r="D5243" s="1">
        <v>2023</v>
      </c>
      <c r="E5243" s="1">
        <v>8</v>
      </c>
      <c r="G5243" s="4">
        <v>45146</v>
      </c>
      <c r="H5243" s="1" t="s">
        <v>335</v>
      </c>
      <c r="I5243" s="1" t="s">
        <v>336</v>
      </c>
      <c r="J5243" s="1" t="s">
        <v>186</v>
      </c>
      <c r="K5243" s="1">
        <v>3</v>
      </c>
      <c r="L5243" s="1" t="s">
        <v>337</v>
      </c>
      <c r="M5243" s="1">
        <v>4</v>
      </c>
      <c r="N5243" s="1">
        <v>4</v>
      </c>
      <c r="O5243" s="1">
        <v>4</v>
      </c>
      <c r="Q5243" s="1">
        <v>19.8</v>
      </c>
      <c r="R5243" s="1">
        <v>7.51</v>
      </c>
      <c r="S5243" s="1">
        <v>85</v>
      </c>
    </row>
    <row r="5244" spans="1:38" x14ac:dyDescent="0.3">
      <c r="A5244" s="1">
        <v>91532</v>
      </c>
      <c r="B5244" s="1" t="s">
        <v>501</v>
      </c>
      <c r="C5244" s="1" t="s">
        <v>294</v>
      </c>
      <c r="D5244" s="1">
        <v>2023</v>
      </c>
      <c r="E5244" s="1">
        <v>8</v>
      </c>
      <c r="G5244" s="4">
        <v>45146</v>
      </c>
      <c r="H5244" s="1" t="s">
        <v>335</v>
      </c>
      <c r="I5244" s="1" t="s">
        <v>336</v>
      </c>
      <c r="J5244" s="1" t="s">
        <v>186</v>
      </c>
      <c r="K5244" s="1">
        <v>3</v>
      </c>
      <c r="L5244" s="1" t="s">
        <v>337</v>
      </c>
      <c r="M5244" s="1">
        <v>5</v>
      </c>
      <c r="N5244" s="1">
        <v>5</v>
      </c>
      <c r="O5244" s="1">
        <v>5</v>
      </c>
      <c r="Q5244" s="1">
        <v>19.899999999999999</v>
      </c>
      <c r="R5244" s="1">
        <v>7.5</v>
      </c>
      <c r="S5244" s="1">
        <v>85</v>
      </c>
    </row>
    <row r="5245" spans="1:38" x14ac:dyDescent="0.3">
      <c r="A5245" s="1">
        <v>91533</v>
      </c>
      <c r="B5245" s="1" t="s">
        <v>501</v>
      </c>
      <c r="C5245" s="1" t="s">
        <v>294</v>
      </c>
      <c r="D5245" s="1">
        <v>2023</v>
      </c>
      <c r="E5245" s="1">
        <v>8</v>
      </c>
      <c r="G5245" s="4">
        <v>45146</v>
      </c>
      <c r="H5245" s="1" t="s">
        <v>335</v>
      </c>
      <c r="I5245" s="1" t="s">
        <v>336</v>
      </c>
      <c r="J5245" s="1" t="s">
        <v>186</v>
      </c>
      <c r="K5245" s="1">
        <v>3</v>
      </c>
      <c r="L5245" s="1" t="s">
        <v>337</v>
      </c>
      <c r="M5245" s="1">
        <v>6</v>
      </c>
      <c r="N5245" s="1">
        <v>6</v>
      </c>
      <c r="O5245" s="1">
        <v>6</v>
      </c>
      <c r="Q5245" s="1">
        <v>19.8</v>
      </c>
      <c r="R5245" s="1">
        <v>7.49</v>
      </c>
      <c r="S5245" s="1">
        <v>84.8</v>
      </c>
    </row>
    <row r="5246" spans="1:38" x14ac:dyDescent="0.3">
      <c r="A5246" s="1">
        <v>91534</v>
      </c>
      <c r="B5246" s="1" t="s">
        <v>501</v>
      </c>
      <c r="C5246" s="1" t="s">
        <v>294</v>
      </c>
      <c r="D5246" s="1">
        <v>2023</v>
      </c>
      <c r="E5246" s="1">
        <v>8</v>
      </c>
      <c r="G5246" s="4">
        <v>45146</v>
      </c>
      <c r="H5246" s="1" t="s">
        <v>335</v>
      </c>
      <c r="I5246" s="1" t="s">
        <v>336</v>
      </c>
      <c r="J5246" s="1" t="s">
        <v>186</v>
      </c>
      <c r="K5246" s="1">
        <v>3</v>
      </c>
      <c r="L5246" s="1" t="s">
        <v>337</v>
      </c>
      <c r="M5246" s="1">
        <v>7</v>
      </c>
      <c r="N5246" s="1">
        <v>7</v>
      </c>
      <c r="O5246" s="1">
        <v>7</v>
      </c>
      <c r="Q5246" s="1">
        <v>17.899999999999999</v>
      </c>
      <c r="R5246" s="1">
        <v>2.06</v>
      </c>
      <c r="S5246" s="1">
        <v>22.4</v>
      </c>
    </row>
    <row r="5247" spans="1:38" x14ac:dyDescent="0.3">
      <c r="A5247" s="1">
        <v>91535</v>
      </c>
      <c r="B5247" s="1" t="s">
        <v>501</v>
      </c>
      <c r="C5247" s="1" t="s">
        <v>294</v>
      </c>
      <c r="D5247" s="1">
        <v>2023</v>
      </c>
      <c r="E5247" s="1">
        <v>8</v>
      </c>
      <c r="G5247" s="4">
        <v>45146</v>
      </c>
      <c r="H5247" s="1" t="s">
        <v>335</v>
      </c>
      <c r="I5247" s="1" t="s">
        <v>336</v>
      </c>
      <c r="J5247" s="1" t="s">
        <v>186</v>
      </c>
      <c r="K5247" s="1">
        <v>3</v>
      </c>
      <c r="L5247" s="1" t="s">
        <v>337</v>
      </c>
      <c r="M5247" s="1">
        <v>8</v>
      </c>
      <c r="N5247" s="1">
        <v>8</v>
      </c>
      <c r="O5247" s="1">
        <v>8</v>
      </c>
      <c r="Q5247" s="1">
        <v>13.6</v>
      </c>
      <c r="R5247" s="1">
        <v>0.62</v>
      </c>
      <c r="S5247" s="1">
        <v>5.8</v>
      </c>
    </row>
    <row r="5248" spans="1:38" x14ac:dyDescent="0.3">
      <c r="A5248" s="1">
        <v>91536</v>
      </c>
      <c r="B5248" s="1" t="s">
        <v>501</v>
      </c>
      <c r="C5248" s="1" t="s">
        <v>294</v>
      </c>
      <c r="D5248" s="1">
        <v>2023</v>
      </c>
      <c r="E5248" s="1">
        <v>8</v>
      </c>
      <c r="G5248" s="4">
        <v>45146</v>
      </c>
      <c r="H5248" s="1" t="s">
        <v>335</v>
      </c>
      <c r="I5248" s="1" t="s">
        <v>336</v>
      </c>
      <c r="J5248" s="1" t="s">
        <v>186</v>
      </c>
      <c r="K5248" s="1">
        <v>3</v>
      </c>
      <c r="L5248" s="1" t="s">
        <v>337</v>
      </c>
      <c r="M5248" s="1">
        <v>9</v>
      </c>
      <c r="N5248" s="1">
        <v>9</v>
      </c>
      <c r="O5248" s="1">
        <v>9</v>
      </c>
      <c r="Q5248" s="1">
        <v>12</v>
      </c>
      <c r="R5248" s="1">
        <v>0.28000000000000003</v>
      </c>
      <c r="S5248" s="1">
        <v>2.6</v>
      </c>
    </row>
    <row r="5249" spans="1:38" x14ac:dyDescent="0.3">
      <c r="A5249" s="1">
        <v>91537</v>
      </c>
      <c r="B5249" s="1" t="s">
        <v>501</v>
      </c>
      <c r="C5249" s="1" t="s">
        <v>294</v>
      </c>
      <c r="D5249" s="1">
        <v>2023</v>
      </c>
      <c r="E5249" s="1">
        <v>8</v>
      </c>
      <c r="G5249" s="4">
        <v>45146</v>
      </c>
      <c r="H5249" s="1" t="s">
        <v>335</v>
      </c>
      <c r="I5249" s="1" t="s">
        <v>336</v>
      </c>
      <c r="J5249" s="1" t="s">
        <v>186</v>
      </c>
      <c r="K5249" s="1">
        <v>3</v>
      </c>
      <c r="L5249" s="1" t="s">
        <v>337</v>
      </c>
      <c r="M5249" s="1" t="s">
        <v>286</v>
      </c>
      <c r="N5249" s="1">
        <v>10</v>
      </c>
      <c r="O5249" s="1">
        <v>10</v>
      </c>
      <c r="Q5249" s="1">
        <v>11</v>
      </c>
      <c r="R5249" s="1">
        <v>0.21</v>
      </c>
      <c r="S5249" s="1">
        <v>2</v>
      </c>
      <c r="V5249" s="1">
        <v>3.1</v>
      </c>
      <c r="W5249" s="1">
        <v>860</v>
      </c>
      <c r="Y5249" s="1">
        <v>5.3999999999999999E-2</v>
      </c>
      <c r="Z5249" s="1">
        <v>270</v>
      </c>
      <c r="AA5249" s="1">
        <v>8.9</v>
      </c>
      <c r="AD5249" s="1">
        <v>6.5</v>
      </c>
      <c r="AE5249" s="1">
        <v>7.8</v>
      </c>
      <c r="AK5249" s="1">
        <v>290</v>
      </c>
      <c r="AL5249" s="1">
        <v>1200</v>
      </c>
    </row>
    <row r="5250" spans="1:38" x14ac:dyDescent="0.3">
      <c r="A5250" s="1">
        <v>91538</v>
      </c>
      <c r="B5250" s="1" t="s">
        <v>501</v>
      </c>
      <c r="C5250" s="1" t="s">
        <v>294</v>
      </c>
      <c r="D5250" s="1">
        <v>2023</v>
      </c>
      <c r="E5250" s="1">
        <v>8</v>
      </c>
      <c r="G5250" s="4">
        <v>45146</v>
      </c>
      <c r="H5250" s="1" t="s">
        <v>338</v>
      </c>
      <c r="I5250" s="1" t="s">
        <v>339</v>
      </c>
      <c r="J5250" s="1" t="s">
        <v>186</v>
      </c>
      <c r="K5250" s="1">
        <v>4</v>
      </c>
      <c r="L5250" s="1" t="s">
        <v>340</v>
      </c>
      <c r="M5250" s="1" t="s">
        <v>285</v>
      </c>
      <c r="N5250" s="1">
        <v>0.5</v>
      </c>
      <c r="O5250" s="1">
        <v>0.5</v>
      </c>
      <c r="P5250" s="20" t="s">
        <v>509</v>
      </c>
      <c r="Q5250" s="1">
        <v>20.399999999999999</v>
      </c>
      <c r="R5250" s="1">
        <v>8.0399999999999991</v>
      </c>
      <c r="S5250" s="1">
        <v>92.5</v>
      </c>
      <c r="V5250" s="1">
        <v>2.5</v>
      </c>
      <c r="W5250" s="1">
        <v>4.7</v>
      </c>
      <c r="Y5250" s="1">
        <v>3.5999999999999997E-2</v>
      </c>
      <c r="Z5250" s="1">
        <v>3.8</v>
      </c>
      <c r="AA5250" s="1">
        <v>2.2000000000000002</v>
      </c>
      <c r="AB5250" s="1">
        <v>9.1999999999999993</v>
      </c>
      <c r="AD5250" s="1">
        <v>3</v>
      </c>
      <c r="AE5250" s="1">
        <v>8.1999999999999993</v>
      </c>
      <c r="AK5250" s="1">
        <v>25</v>
      </c>
      <c r="AL5250" s="1">
        <v>470</v>
      </c>
    </row>
    <row r="5251" spans="1:38" x14ac:dyDescent="0.3">
      <c r="A5251" s="1">
        <v>91539</v>
      </c>
      <c r="B5251" s="1" t="s">
        <v>501</v>
      </c>
      <c r="C5251" s="1" t="s">
        <v>294</v>
      </c>
      <c r="D5251" s="1">
        <v>2023</v>
      </c>
      <c r="E5251" s="1">
        <v>8</v>
      </c>
      <c r="G5251" s="4">
        <v>45146</v>
      </c>
      <c r="H5251" s="1" t="s">
        <v>338</v>
      </c>
      <c r="I5251" s="1" t="s">
        <v>339</v>
      </c>
      <c r="J5251" s="1" t="s">
        <v>186</v>
      </c>
      <c r="K5251" s="1">
        <v>4</v>
      </c>
      <c r="L5251" s="1" t="s">
        <v>340</v>
      </c>
      <c r="M5251" s="1">
        <v>1</v>
      </c>
      <c r="N5251" s="1">
        <v>1</v>
      </c>
      <c r="O5251" s="1">
        <v>1</v>
      </c>
      <c r="Q5251" s="1">
        <v>20.399999999999999</v>
      </c>
      <c r="R5251" s="1">
        <v>8.0500000000000007</v>
      </c>
      <c r="S5251" s="1">
        <v>92.4</v>
      </c>
    </row>
    <row r="5252" spans="1:38" x14ac:dyDescent="0.3">
      <c r="A5252" s="1">
        <v>91540</v>
      </c>
      <c r="B5252" s="1" t="s">
        <v>501</v>
      </c>
      <c r="C5252" s="1" t="s">
        <v>294</v>
      </c>
      <c r="D5252" s="1">
        <v>2023</v>
      </c>
      <c r="E5252" s="1">
        <v>8</v>
      </c>
      <c r="G5252" s="4">
        <v>45146</v>
      </c>
      <c r="H5252" s="1" t="s">
        <v>338</v>
      </c>
      <c r="I5252" s="1" t="s">
        <v>339</v>
      </c>
      <c r="J5252" s="1" t="s">
        <v>186</v>
      </c>
      <c r="K5252" s="1">
        <v>4</v>
      </c>
      <c r="L5252" s="1" t="s">
        <v>340</v>
      </c>
      <c r="M5252" s="1" t="s">
        <v>286</v>
      </c>
      <c r="N5252" s="1">
        <v>1.5</v>
      </c>
      <c r="O5252" s="1">
        <v>1.5</v>
      </c>
      <c r="Q5252" s="1">
        <v>20.399999999999999</v>
      </c>
      <c r="R5252" s="1">
        <v>7.75</v>
      </c>
      <c r="S5252" s="1">
        <v>89</v>
      </c>
    </row>
    <row r="5253" spans="1:38" x14ac:dyDescent="0.3">
      <c r="A5253" s="1">
        <v>91541</v>
      </c>
      <c r="B5253" s="1" t="s">
        <v>501</v>
      </c>
      <c r="C5253" s="1" t="s">
        <v>294</v>
      </c>
      <c r="D5253" s="1">
        <v>2023</v>
      </c>
      <c r="E5253" s="1">
        <v>8</v>
      </c>
      <c r="G5253" s="4">
        <v>45147</v>
      </c>
      <c r="H5253" s="1" t="s">
        <v>341</v>
      </c>
      <c r="I5253" s="1" t="s">
        <v>342</v>
      </c>
      <c r="J5253" s="1" t="s">
        <v>187</v>
      </c>
      <c r="K5253" s="1"/>
      <c r="L5253" s="1" t="s">
        <v>343</v>
      </c>
      <c r="M5253" s="1" t="s">
        <v>285</v>
      </c>
      <c r="N5253" s="1">
        <v>0.5</v>
      </c>
      <c r="O5253" s="1">
        <v>0.5</v>
      </c>
      <c r="P5253" s="1">
        <v>0.9</v>
      </c>
      <c r="Q5253" s="1">
        <v>19.399999999999999</v>
      </c>
      <c r="R5253" s="1">
        <v>8.6999999999999993</v>
      </c>
      <c r="S5253" s="1">
        <v>95.6</v>
      </c>
      <c r="V5253" s="1">
        <v>2.5</v>
      </c>
      <c r="W5253" s="1">
        <v>6.1</v>
      </c>
      <c r="Y5253" s="1">
        <v>0.04</v>
      </c>
      <c r="Z5253" s="1">
        <v>17</v>
      </c>
      <c r="AA5253" s="1">
        <v>9.9</v>
      </c>
      <c r="AB5253" s="1">
        <v>28</v>
      </c>
      <c r="AD5253" s="1">
        <v>2.5</v>
      </c>
      <c r="AE5253" s="1">
        <v>8.3000000000000007</v>
      </c>
      <c r="AK5253" s="1">
        <v>63</v>
      </c>
      <c r="AL5253" s="1">
        <v>480</v>
      </c>
    </row>
    <row r="5254" spans="1:38" x14ac:dyDescent="0.3">
      <c r="A5254" s="1">
        <v>91542</v>
      </c>
      <c r="B5254" s="1" t="s">
        <v>501</v>
      </c>
      <c r="C5254" s="1" t="s">
        <v>294</v>
      </c>
      <c r="D5254" s="1">
        <v>2023</v>
      </c>
      <c r="E5254" s="1">
        <v>8</v>
      </c>
      <c r="G5254" s="4">
        <v>45147</v>
      </c>
      <c r="H5254" s="1" t="s">
        <v>341</v>
      </c>
      <c r="I5254" s="1" t="s">
        <v>342</v>
      </c>
      <c r="J5254" s="1" t="s">
        <v>187</v>
      </c>
      <c r="K5254" s="1"/>
      <c r="L5254" s="1" t="s">
        <v>343</v>
      </c>
      <c r="M5254" s="1">
        <v>1</v>
      </c>
      <c r="N5254" s="1">
        <v>1</v>
      </c>
      <c r="O5254" s="1">
        <v>1</v>
      </c>
      <c r="Q5254" s="1">
        <v>19.399999999999999</v>
      </c>
      <c r="R5254" s="1">
        <v>8.67</v>
      </c>
      <c r="S5254" s="1">
        <v>95.1</v>
      </c>
    </row>
    <row r="5255" spans="1:38" x14ac:dyDescent="0.3">
      <c r="A5255" s="1">
        <v>91543</v>
      </c>
      <c r="B5255" s="1" t="s">
        <v>501</v>
      </c>
      <c r="C5255" s="1" t="s">
        <v>294</v>
      </c>
      <c r="D5255" s="1">
        <v>2023</v>
      </c>
      <c r="E5255" s="1">
        <v>8</v>
      </c>
      <c r="G5255" s="4">
        <v>45147</v>
      </c>
      <c r="H5255" s="1" t="s">
        <v>341</v>
      </c>
      <c r="I5255" s="1" t="s">
        <v>342</v>
      </c>
      <c r="J5255" s="1" t="s">
        <v>187</v>
      </c>
      <c r="K5255" s="1"/>
      <c r="L5255" s="1" t="s">
        <v>343</v>
      </c>
      <c r="M5255" s="1">
        <v>2</v>
      </c>
      <c r="N5255" s="1">
        <v>2</v>
      </c>
      <c r="O5255" s="1">
        <v>2</v>
      </c>
      <c r="Q5255" s="1">
        <v>19.399999999999999</v>
      </c>
      <c r="R5255" s="1">
        <v>8.64</v>
      </c>
      <c r="S5255" s="1">
        <v>94.8</v>
      </c>
    </row>
    <row r="5256" spans="1:38" x14ac:dyDescent="0.3">
      <c r="A5256" s="1">
        <v>91544</v>
      </c>
      <c r="B5256" s="1" t="s">
        <v>501</v>
      </c>
      <c r="C5256" s="1" t="s">
        <v>294</v>
      </c>
      <c r="D5256" s="1">
        <v>2023</v>
      </c>
      <c r="E5256" s="1">
        <v>8</v>
      </c>
      <c r="G5256" s="4">
        <v>45147</v>
      </c>
      <c r="H5256" s="1" t="s">
        <v>341</v>
      </c>
      <c r="I5256" s="1" t="s">
        <v>342</v>
      </c>
      <c r="J5256" s="1" t="s">
        <v>187</v>
      </c>
      <c r="K5256" s="1"/>
      <c r="L5256" s="1" t="s">
        <v>343</v>
      </c>
      <c r="M5256" s="1">
        <v>3</v>
      </c>
      <c r="N5256" s="1">
        <v>3</v>
      </c>
      <c r="O5256" s="1">
        <v>3</v>
      </c>
      <c r="Q5256" s="1">
        <v>19.399999999999999</v>
      </c>
      <c r="R5256" s="1">
        <v>8.6300000000000008</v>
      </c>
      <c r="S5256" s="1">
        <v>94.7</v>
      </c>
    </row>
    <row r="5257" spans="1:38" x14ac:dyDescent="0.3">
      <c r="A5257" s="1">
        <v>91545</v>
      </c>
      <c r="B5257" s="1" t="s">
        <v>501</v>
      </c>
      <c r="C5257" s="1" t="s">
        <v>294</v>
      </c>
      <c r="D5257" s="1">
        <v>2023</v>
      </c>
      <c r="E5257" s="1">
        <v>8</v>
      </c>
      <c r="G5257" s="4">
        <v>45147</v>
      </c>
      <c r="H5257" s="1" t="s">
        <v>341</v>
      </c>
      <c r="I5257" s="1" t="s">
        <v>342</v>
      </c>
      <c r="J5257" s="1" t="s">
        <v>187</v>
      </c>
      <c r="K5257" s="1"/>
      <c r="L5257" s="1" t="s">
        <v>343</v>
      </c>
      <c r="M5257" s="1">
        <v>4</v>
      </c>
      <c r="N5257" s="1">
        <v>4</v>
      </c>
      <c r="O5257" s="1">
        <v>4</v>
      </c>
      <c r="Q5257" s="1">
        <v>19.399999999999999</v>
      </c>
      <c r="R5257" s="1">
        <v>8.6</v>
      </c>
      <c r="S5257" s="1">
        <v>94.3</v>
      </c>
    </row>
    <row r="5258" spans="1:38" x14ac:dyDescent="0.3">
      <c r="A5258" s="1">
        <v>91546</v>
      </c>
      <c r="B5258" s="1" t="s">
        <v>501</v>
      </c>
      <c r="C5258" s="1" t="s">
        <v>294</v>
      </c>
      <c r="D5258" s="1">
        <v>2023</v>
      </c>
      <c r="E5258" s="1">
        <v>8</v>
      </c>
      <c r="G5258" s="4">
        <v>45147</v>
      </c>
      <c r="H5258" s="1" t="s">
        <v>341</v>
      </c>
      <c r="I5258" s="1" t="s">
        <v>342</v>
      </c>
      <c r="J5258" s="1" t="s">
        <v>187</v>
      </c>
      <c r="K5258" s="1"/>
      <c r="L5258" s="1" t="s">
        <v>343</v>
      </c>
      <c r="M5258" s="1">
        <v>5</v>
      </c>
      <c r="N5258" s="1">
        <v>5</v>
      </c>
      <c r="O5258" s="1">
        <v>5</v>
      </c>
      <c r="Q5258" s="1">
        <v>19.399999999999999</v>
      </c>
      <c r="R5258" s="1">
        <v>8.59</v>
      </c>
      <c r="S5258" s="1">
        <v>94</v>
      </c>
    </row>
    <row r="5259" spans="1:38" x14ac:dyDescent="0.3">
      <c r="A5259" s="1">
        <v>91547</v>
      </c>
      <c r="B5259" s="1" t="s">
        <v>501</v>
      </c>
      <c r="C5259" s="1" t="s">
        <v>294</v>
      </c>
      <c r="D5259" s="1">
        <v>2023</v>
      </c>
      <c r="E5259" s="1">
        <v>8</v>
      </c>
      <c r="G5259" s="4">
        <v>45147</v>
      </c>
      <c r="H5259" s="1" t="s">
        <v>341</v>
      </c>
      <c r="I5259" s="1" t="s">
        <v>342</v>
      </c>
      <c r="J5259" s="1" t="s">
        <v>187</v>
      </c>
      <c r="K5259" s="1"/>
      <c r="L5259" s="1" t="s">
        <v>343</v>
      </c>
      <c r="M5259" s="1" t="s">
        <v>286</v>
      </c>
      <c r="N5259" s="1">
        <v>5.7</v>
      </c>
      <c r="O5259" s="1">
        <v>5.7</v>
      </c>
      <c r="Q5259" s="1">
        <v>19.399999999999999</v>
      </c>
      <c r="R5259" s="1">
        <v>6.73</v>
      </c>
      <c r="S5259" s="1">
        <v>74</v>
      </c>
      <c r="V5259" s="1">
        <v>0.87</v>
      </c>
      <c r="W5259" s="1">
        <v>70</v>
      </c>
      <c r="Y5259" s="1">
        <v>0.85299999999999998</v>
      </c>
      <c r="Z5259" s="1">
        <v>11</v>
      </c>
      <c r="AA5259" s="1">
        <v>7.6</v>
      </c>
      <c r="AD5259" s="1">
        <v>14</v>
      </c>
      <c r="AE5259" s="1">
        <v>6.7</v>
      </c>
      <c r="AK5259" s="1">
        <v>49</v>
      </c>
      <c r="AL5259" s="1">
        <v>960</v>
      </c>
    </row>
    <row r="5260" spans="1:38" x14ac:dyDescent="0.3">
      <c r="A5260" s="1">
        <v>91548</v>
      </c>
      <c r="B5260" s="1" t="s">
        <v>501</v>
      </c>
      <c r="C5260" s="1" t="s">
        <v>294</v>
      </c>
      <c r="D5260" s="1">
        <v>2023</v>
      </c>
      <c r="E5260" s="1">
        <v>8</v>
      </c>
      <c r="G5260" s="4">
        <v>45146</v>
      </c>
      <c r="H5260" s="1" t="s">
        <v>344</v>
      </c>
      <c r="I5260" s="1" t="s">
        <v>345</v>
      </c>
      <c r="J5260" s="1" t="s">
        <v>188</v>
      </c>
      <c r="K5260" s="1"/>
      <c r="L5260" s="1" t="s">
        <v>346</v>
      </c>
      <c r="M5260" s="1" t="s">
        <v>285</v>
      </c>
      <c r="N5260" s="1">
        <v>0.5</v>
      </c>
      <c r="O5260" s="1">
        <v>0.5</v>
      </c>
      <c r="P5260" s="20" t="s">
        <v>510</v>
      </c>
      <c r="Q5260" s="1">
        <v>20.399999999999999</v>
      </c>
      <c r="R5260" s="1">
        <v>10.220000000000001</v>
      </c>
      <c r="S5260" s="1">
        <v>116.6</v>
      </c>
      <c r="V5260" s="1">
        <v>1.4</v>
      </c>
      <c r="W5260" s="1">
        <v>15</v>
      </c>
      <c r="Y5260" s="1">
        <v>6.0999999999999999E-2</v>
      </c>
      <c r="Z5260" s="20" t="s">
        <v>319</v>
      </c>
      <c r="AA5260" s="1">
        <v>0.74</v>
      </c>
      <c r="AB5260" s="1">
        <v>7.2</v>
      </c>
      <c r="AD5260" s="1">
        <v>2.6</v>
      </c>
      <c r="AE5260" s="1">
        <v>8.5</v>
      </c>
      <c r="AK5260" s="1">
        <v>19</v>
      </c>
      <c r="AL5260" s="1">
        <v>640</v>
      </c>
    </row>
    <row r="5261" spans="1:38" x14ac:dyDescent="0.3">
      <c r="A5261" s="1">
        <v>91549</v>
      </c>
      <c r="B5261" s="1" t="s">
        <v>501</v>
      </c>
      <c r="C5261" s="1" t="s">
        <v>294</v>
      </c>
      <c r="D5261" s="1">
        <v>2023</v>
      </c>
      <c r="E5261" s="1">
        <v>8</v>
      </c>
      <c r="G5261" s="4">
        <v>45146</v>
      </c>
      <c r="H5261" s="1" t="s">
        <v>344</v>
      </c>
      <c r="I5261" s="1" t="s">
        <v>345</v>
      </c>
      <c r="J5261" s="1" t="s">
        <v>188</v>
      </c>
      <c r="K5261" s="1"/>
      <c r="L5261" s="1" t="s">
        <v>346</v>
      </c>
      <c r="M5261" s="1">
        <v>1</v>
      </c>
      <c r="N5261" s="1">
        <v>1</v>
      </c>
      <c r="O5261" s="1">
        <v>1</v>
      </c>
      <c r="Q5261" s="1">
        <v>20.5</v>
      </c>
      <c r="R5261" s="1">
        <v>10.37</v>
      </c>
      <c r="S5261" s="1">
        <v>118.5</v>
      </c>
    </row>
    <row r="5262" spans="1:38" x14ac:dyDescent="0.3">
      <c r="A5262" s="1">
        <v>91550</v>
      </c>
      <c r="B5262" s="1" t="s">
        <v>501</v>
      </c>
      <c r="C5262" s="1" t="s">
        <v>294</v>
      </c>
      <c r="D5262" s="1">
        <v>2023</v>
      </c>
      <c r="E5262" s="1">
        <v>8</v>
      </c>
      <c r="G5262" s="4">
        <v>45146</v>
      </c>
      <c r="H5262" s="1" t="s">
        <v>344</v>
      </c>
      <c r="I5262" s="1" t="s">
        <v>345</v>
      </c>
      <c r="J5262" s="1" t="s">
        <v>188</v>
      </c>
      <c r="K5262" s="1"/>
      <c r="L5262" s="1" t="s">
        <v>346</v>
      </c>
      <c r="M5262" s="1" t="s">
        <v>286</v>
      </c>
      <c r="N5262" s="1">
        <v>1.5</v>
      </c>
      <c r="O5262" s="1">
        <v>1.5</v>
      </c>
      <c r="Q5262" s="1">
        <v>19.5</v>
      </c>
      <c r="R5262" s="1">
        <v>4.25</v>
      </c>
      <c r="S5262" s="1">
        <v>4.5999999999999996</v>
      </c>
    </row>
    <row r="5263" spans="1:38" x14ac:dyDescent="0.3">
      <c r="A5263" s="1">
        <v>91551</v>
      </c>
      <c r="B5263" s="1" t="s">
        <v>501</v>
      </c>
      <c r="C5263" s="1" t="s">
        <v>296</v>
      </c>
      <c r="D5263" s="1">
        <v>2023</v>
      </c>
      <c r="E5263" s="1">
        <v>8</v>
      </c>
      <c r="G5263" s="4">
        <v>45145</v>
      </c>
      <c r="H5263" s="1" t="s">
        <v>348</v>
      </c>
      <c r="I5263" s="1" t="s">
        <v>349</v>
      </c>
      <c r="J5263" s="1" t="s">
        <v>189</v>
      </c>
      <c r="K5263" s="1"/>
      <c r="L5263" s="1" t="s">
        <v>350</v>
      </c>
      <c r="M5263" s="1" t="s">
        <v>285</v>
      </c>
      <c r="N5263" s="1">
        <v>0.5</v>
      </c>
      <c r="O5263" s="1">
        <v>0.5</v>
      </c>
      <c r="P5263" s="20" t="s">
        <v>511</v>
      </c>
      <c r="Q5263" s="1">
        <v>21.1</v>
      </c>
      <c r="R5263" s="1">
        <v>9.25</v>
      </c>
      <c r="S5263" s="1">
        <v>106.3</v>
      </c>
      <c r="V5263" s="1">
        <v>1.6</v>
      </c>
      <c r="W5263" s="1">
        <v>8</v>
      </c>
      <c r="Y5263" s="1">
        <v>2.3E-2</v>
      </c>
      <c r="Z5263" s="20" t="s">
        <v>319</v>
      </c>
      <c r="AA5263" s="1">
        <v>2.1</v>
      </c>
      <c r="AB5263" s="1">
        <v>11</v>
      </c>
      <c r="AD5263" s="1">
        <v>2</v>
      </c>
      <c r="AE5263" s="1">
        <v>8.1999999999999993</v>
      </c>
      <c r="AK5263" s="1">
        <v>21</v>
      </c>
      <c r="AL5263" s="1">
        <v>400</v>
      </c>
    </row>
    <row r="5264" spans="1:38" x14ac:dyDescent="0.3">
      <c r="A5264" s="1">
        <v>91552</v>
      </c>
      <c r="B5264" s="1" t="s">
        <v>501</v>
      </c>
      <c r="C5264" s="1" t="s">
        <v>296</v>
      </c>
      <c r="D5264" s="1">
        <v>2023</v>
      </c>
      <c r="E5264" s="1">
        <v>8</v>
      </c>
      <c r="G5264" s="4">
        <v>45145</v>
      </c>
      <c r="H5264" s="1" t="s">
        <v>348</v>
      </c>
      <c r="I5264" s="1" t="s">
        <v>349</v>
      </c>
      <c r="J5264" s="1" t="s">
        <v>189</v>
      </c>
      <c r="K5264" s="1"/>
      <c r="L5264" s="1" t="s">
        <v>350</v>
      </c>
      <c r="M5264" s="1">
        <v>1</v>
      </c>
      <c r="N5264" s="1">
        <v>1</v>
      </c>
      <c r="O5264" s="1">
        <v>1</v>
      </c>
      <c r="Q5264" s="1">
        <v>21</v>
      </c>
      <c r="R5264" s="1">
        <v>9.18</v>
      </c>
      <c r="S5264" s="1">
        <v>105.3</v>
      </c>
      <c r="AB5264" s="1" t="s">
        <v>266</v>
      </c>
    </row>
    <row r="5265" spans="1:38" x14ac:dyDescent="0.3">
      <c r="A5265" s="1">
        <v>91553</v>
      </c>
      <c r="B5265" s="1" t="s">
        <v>501</v>
      </c>
      <c r="C5265" s="1" t="s">
        <v>296</v>
      </c>
      <c r="D5265" s="1">
        <v>2023</v>
      </c>
      <c r="E5265" s="1">
        <v>8</v>
      </c>
      <c r="G5265" s="4">
        <v>45145</v>
      </c>
      <c r="H5265" s="1" t="s">
        <v>348</v>
      </c>
      <c r="I5265" s="1" t="s">
        <v>349</v>
      </c>
      <c r="J5265" s="1" t="s">
        <v>189</v>
      </c>
      <c r="K5265" s="1"/>
      <c r="L5265" s="1" t="s">
        <v>350</v>
      </c>
      <c r="M5265" s="1">
        <v>2</v>
      </c>
      <c r="N5265" s="1">
        <v>2</v>
      </c>
      <c r="O5265" s="1">
        <v>2</v>
      </c>
      <c r="Q5265" s="1">
        <v>20.7</v>
      </c>
      <c r="R5265" s="1">
        <v>8.8000000000000007</v>
      </c>
      <c r="S5265" s="1">
        <v>105.5</v>
      </c>
    </row>
    <row r="5266" spans="1:38" x14ac:dyDescent="0.3">
      <c r="A5266" s="1">
        <v>91554</v>
      </c>
      <c r="B5266" s="1" t="s">
        <v>501</v>
      </c>
      <c r="C5266" s="1" t="s">
        <v>296</v>
      </c>
      <c r="D5266" s="1">
        <v>2023</v>
      </c>
      <c r="E5266" s="1">
        <v>8</v>
      </c>
      <c r="G5266" s="4">
        <v>45145</v>
      </c>
      <c r="H5266" s="1" t="s">
        <v>348</v>
      </c>
      <c r="I5266" s="1" t="s">
        <v>349</v>
      </c>
      <c r="J5266" s="1" t="s">
        <v>189</v>
      </c>
      <c r="K5266" s="1"/>
      <c r="L5266" s="1" t="s">
        <v>350</v>
      </c>
      <c r="M5266" s="1">
        <v>3</v>
      </c>
      <c r="N5266" s="1">
        <v>3</v>
      </c>
      <c r="O5266" s="1">
        <v>3</v>
      </c>
      <c r="Q5266" s="1">
        <v>20.2</v>
      </c>
      <c r="R5266" s="1">
        <v>8.14</v>
      </c>
      <c r="S5266" s="1">
        <v>92.2</v>
      </c>
    </row>
    <row r="5267" spans="1:38" x14ac:dyDescent="0.3">
      <c r="A5267" s="1">
        <v>91555</v>
      </c>
      <c r="B5267" s="1" t="s">
        <v>501</v>
      </c>
      <c r="C5267" s="1" t="s">
        <v>296</v>
      </c>
      <c r="D5267" s="1">
        <v>2023</v>
      </c>
      <c r="E5267" s="1">
        <v>8</v>
      </c>
      <c r="G5267" s="4">
        <v>45145</v>
      </c>
      <c r="H5267" s="1" t="s">
        <v>348</v>
      </c>
      <c r="I5267" s="1" t="s">
        <v>349</v>
      </c>
      <c r="J5267" s="1" t="s">
        <v>189</v>
      </c>
      <c r="K5267" s="1"/>
      <c r="L5267" s="1" t="s">
        <v>350</v>
      </c>
      <c r="M5267" s="1">
        <v>4</v>
      </c>
      <c r="N5267" s="1">
        <v>4</v>
      </c>
      <c r="O5267" s="1">
        <v>4</v>
      </c>
      <c r="Q5267" s="1">
        <v>20.2</v>
      </c>
      <c r="R5267" s="1">
        <v>7.54</v>
      </c>
      <c r="S5267" s="1">
        <v>85.2</v>
      </c>
    </row>
    <row r="5268" spans="1:38" x14ac:dyDescent="0.3">
      <c r="A5268" s="1">
        <v>91556</v>
      </c>
      <c r="B5268" s="1" t="s">
        <v>501</v>
      </c>
      <c r="C5268" s="1" t="s">
        <v>296</v>
      </c>
      <c r="D5268" s="1">
        <v>2023</v>
      </c>
      <c r="E5268" s="1">
        <v>8</v>
      </c>
      <c r="G5268" s="4">
        <v>45145</v>
      </c>
      <c r="H5268" s="1" t="s">
        <v>348</v>
      </c>
      <c r="I5268" s="1" t="s">
        <v>349</v>
      </c>
      <c r="J5268" s="1" t="s">
        <v>189</v>
      </c>
      <c r="K5268" s="1"/>
      <c r="L5268" s="1" t="s">
        <v>350</v>
      </c>
      <c r="M5268" s="1">
        <v>5</v>
      </c>
      <c r="N5268" s="1">
        <v>5</v>
      </c>
      <c r="O5268" s="1">
        <v>5</v>
      </c>
      <c r="Q5268" s="1">
        <v>20.100000000000001</v>
      </c>
      <c r="R5268" s="1">
        <v>6.66</v>
      </c>
      <c r="S5268" s="1">
        <v>73.5</v>
      </c>
    </row>
    <row r="5269" spans="1:38" x14ac:dyDescent="0.3">
      <c r="A5269" s="1">
        <v>91557</v>
      </c>
      <c r="B5269" s="1" t="s">
        <v>501</v>
      </c>
      <c r="C5269" s="1" t="s">
        <v>296</v>
      </c>
      <c r="D5269" s="1">
        <v>2023</v>
      </c>
      <c r="E5269" s="1">
        <v>8</v>
      </c>
      <c r="G5269" s="4">
        <v>45145</v>
      </c>
      <c r="H5269" s="1" t="s">
        <v>348</v>
      </c>
      <c r="I5269" s="1" t="s">
        <v>349</v>
      </c>
      <c r="J5269" s="1" t="s">
        <v>189</v>
      </c>
      <c r="K5269" s="1"/>
      <c r="L5269" s="1" t="s">
        <v>350</v>
      </c>
      <c r="M5269" s="1" t="s">
        <v>286</v>
      </c>
      <c r="N5269" s="1">
        <v>5.5</v>
      </c>
      <c r="O5269" s="1">
        <v>5.5</v>
      </c>
      <c r="Q5269" s="1">
        <v>20</v>
      </c>
      <c r="R5269" s="1">
        <v>5.85</v>
      </c>
      <c r="S5269" s="1">
        <v>65.2</v>
      </c>
      <c r="V5269" s="1">
        <v>1.6</v>
      </c>
      <c r="W5269" s="1">
        <v>46</v>
      </c>
      <c r="Y5269" s="1">
        <v>2.7E-2</v>
      </c>
      <c r="Z5269" s="1">
        <v>1.7</v>
      </c>
      <c r="AA5269" s="1">
        <v>3.6</v>
      </c>
      <c r="AD5269" s="1">
        <v>5.8</v>
      </c>
      <c r="AE5269" s="1">
        <v>7.9</v>
      </c>
      <c r="AK5269" s="1">
        <v>21</v>
      </c>
      <c r="AL5269" s="1">
        <v>410</v>
      </c>
    </row>
    <row r="5270" spans="1:38" x14ac:dyDescent="0.3">
      <c r="A5270" s="1">
        <v>91558</v>
      </c>
      <c r="B5270" s="1" t="s">
        <v>501</v>
      </c>
      <c r="C5270" s="1" t="s">
        <v>294</v>
      </c>
      <c r="D5270" s="1">
        <v>2023</v>
      </c>
      <c r="E5270" s="1">
        <v>8</v>
      </c>
      <c r="G5270" s="4">
        <v>45145</v>
      </c>
      <c r="H5270" s="1" t="s">
        <v>351</v>
      </c>
      <c r="I5270" s="1" t="s">
        <v>352</v>
      </c>
      <c r="J5270" s="1" t="s">
        <v>190</v>
      </c>
      <c r="K5270" s="1"/>
      <c r="L5270" s="1" t="s">
        <v>190</v>
      </c>
      <c r="M5270" s="1" t="s">
        <v>285</v>
      </c>
      <c r="N5270" s="1">
        <v>0.5</v>
      </c>
      <c r="O5270" s="1">
        <v>0.5</v>
      </c>
      <c r="P5270" s="1">
        <v>0.75</v>
      </c>
      <c r="Q5270" s="1">
        <v>20.399999999999999</v>
      </c>
      <c r="R5270" s="1">
        <v>8.44</v>
      </c>
      <c r="S5270" s="1">
        <v>96.2</v>
      </c>
      <c r="V5270" s="1">
        <v>3.9E-2</v>
      </c>
      <c r="W5270" s="1">
        <v>17</v>
      </c>
      <c r="Y5270" s="1">
        <v>0.65600000000000003</v>
      </c>
      <c r="Z5270" s="1">
        <v>2.4</v>
      </c>
      <c r="AA5270" s="1">
        <v>4</v>
      </c>
      <c r="AB5270" s="1">
        <v>81</v>
      </c>
      <c r="AD5270" s="1">
        <v>12</v>
      </c>
      <c r="AE5270" s="1">
        <v>6</v>
      </c>
      <c r="AK5270" s="1">
        <v>22</v>
      </c>
      <c r="AL5270" s="1">
        <v>660</v>
      </c>
    </row>
    <row r="5271" spans="1:38" x14ac:dyDescent="0.3">
      <c r="A5271" s="1">
        <v>91559</v>
      </c>
      <c r="B5271" s="1" t="s">
        <v>501</v>
      </c>
      <c r="C5271" s="1" t="s">
        <v>294</v>
      </c>
      <c r="D5271" s="1">
        <v>2023</v>
      </c>
      <c r="E5271" s="1">
        <v>8</v>
      </c>
      <c r="G5271" s="4">
        <v>45145</v>
      </c>
      <c r="H5271" s="1" t="s">
        <v>351</v>
      </c>
      <c r="I5271" s="1" t="s">
        <v>352</v>
      </c>
      <c r="J5271" s="1" t="s">
        <v>190</v>
      </c>
      <c r="K5271" s="1"/>
      <c r="L5271" s="1" t="s">
        <v>190</v>
      </c>
      <c r="M5271" s="1">
        <v>1</v>
      </c>
      <c r="N5271" s="1">
        <v>1</v>
      </c>
      <c r="O5271" s="1">
        <v>1</v>
      </c>
      <c r="Q5271" s="1">
        <v>18.399999999999999</v>
      </c>
      <c r="R5271" s="1">
        <v>2.9</v>
      </c>
      <c r="S5271" s="1">
        <v>29.9</v>
      </c>
    </row>
    <row r="5272" spans="1:38" x14ac:dyDescent="0.3">
      <c r="A5272" s="1">
        <v>91560</v>
      </c>
      <c r="B5272" s="1" t="s">
        <v>501</v>
      </c>
      <c r="C5272" s="1" t="s">
        <v>294</v>
      </c>
      <c r="D5272" s="1">
        <v>2023</v>
      </c>
      <c r="E5272" s="1">
        <v>8</v>
      </c>
      <c r="G5272" s="4">
        <v>45145</v>
      </c>
      <c r="H5272" s="1" t="s">
        <v>351</v>
      </c>
      <c r="I5272" s="1" t="s">
        <v>352</v>
      </c>
      <c r="J5272" s="1" t="s">
        <v>190</v>
      </c>
      <c r="K5272" s="1"/>
      <c r="L5272" s="1" t="s">
        <v>190</v>
      </c>
      <c r="M5272" s="1" t="s">
        <v>286</v>
      </c>
      <c r="N5272" s="1">
        <v>1.7</v>
      </c>
      <c r="O5272" s="1">
        <v>1.7</v>
      </c>
      <c r="Q5272" s="1">
        <v>15.2</v>
      </c>
      <c r="R5272" s="1">
        <v>0.59</v>
      </c>
      <c r="S5272" s="1">
        <v>5.5</v>
      </c>
      <c r="V5272" s="1">
        <v>3.6999999999999998E-2</v>
      </c>
      <c r="W5272" s="1">
        <v>15</v>
      </c>
      <c r="Y5272" s="1">
        <v>0.74299999999999999</v>
      </c>
      <c r="Z5272" s="20">
        <v>1.9</v>
      </c>
      <c r="AA5272" s="1">
        <v>2.2999999999999998</v>
      </c>
      <c r="AD5272" s="1">
        <v>12</v>
      </c>
      <c r="AE5272" s="1">
        <v>6</v>
      </c>
      <c r="AK5272" s="1">
        <v>21</v>
      </c>
      <c r="AL5272" s="1">
        <v>720</v>
      </c>
    </row>
    <row r="5273" spans="1:38" x14ac:dyDescent="0.3">
      <c r="A5273" s="1">
        <v>91561</v>
      </c>
      <c r="B5273" s="1" t="s">
        <v>501</v>
      </c>
      <c r="C5273" s="1" t="s">
        <v>296</v>
      </c>
      <c r="D5273" s="1">
        <v>2023</v>
      </c>
      <c r="E5273" s="1">
        <v>8</v>
      </c>
      <c r="G5273" s="4">
        <v>45145</v>
      </c>
      <c r="H5273" s="1" t="s">
        <v>353</v>
      </c>
      <c r="I5273" s="1" t="s">
        <v>354</v>
      </c>
      <c r="J5273" s="1" t="s">
        <v>192</v>
      </c>
      <c r="K5273" s="1"/>
      <c r="L5273" s="1" t="s">
        <v>355</v>
      </c>
      <c r="M5273" s="1" t="s">
        <v>285</v>
      </c>
      <c r="N5273" s="1">
        <v>0.5</v>
      </c>
      <c r="O5273" s="1">
        <v>0.5</v>
      </c>
      <c r="P5273" s="20" t="s">
        <v>512</v>
      </c>
      <c r="Q5273" s="1">
        <v>20.9</v>
      </c>
      <c r="R5273" s="1">
        <v>8.0399999999999991</v>
      </c>
      <c r="S5273" s="1">
        <v>92.2</v>
      </c>
      <c r="V5273" s="1">
        <v>2.8</v>
      </c>
      <c r="W5273" s="1">
        <v>4</v>
      </c>
      <c r="Y5273" s="1">
        <v>4.1000000000000002E-2</v>
      </c>
      <c r="Z5273" s="20" t="s">
        <v>319</v>
      </c>
      <c r="AA5273" s="1">
        <v>0.79</v>
      </c>
      <c r="AB5273" s="1">
        <v>4.5999999999999996</v>
      </c>
      <c r="AD5273" s="1">
        <v>2.8</v>
      </c>
      <c r="AE5273" s="1">
        <v>8.1999999999999993</v>
      </c>
      <c r="AK5273" s="1">
        <v>15</v>
      </c>
      <c r="AL5273" s="1">
        <v>380</v>
      </c>
    </row>
    <row r="5274" spans="1:38" x14ac:dyDescent="0.3">
      <c r="A5274" s="1">
        <v>91562</v>
      </c>
      <c r="B5274" s="1" t="s">
        <v>501</v>
      </c>
      <c r="C5274" s="1" t="s">
        <v>296</v>
      </c>
      <c r="D5274" s="1">
        <v>2023</v>
      </c>
      <c r="E5274" s="1">
        <v>8</v>
      </c>
      <c r="G5274" s="4">
        <v>45145</v>
      </c>
      <c r="H5274" s="1" t="s">
        <v>353</v>
      </c>
      <c r="I5274" s="1" t="s">
        <v>354</v>
      </c>
      <c r="J5274" s="1" t="s">
        <v>192</v>
      </c>
      <c r="K5274" s="1"/>
      <c r="L5274" s="1" t="s">
        <v>355</v>
      </c>
      <c r="M5274" s="1">
        <v>1</v>
      </c>
      <c r="N5274" s="1">
        <v>1</v>
      </c>
      <c r="O5274" s="1">
        <v>1</v>
      </c>
      <c r="Q5274" s="1">
        <v>20.100000000000001</v>
      </c>
      <c r="R5274" s="1">
        <v>7.96</v>
      </c>
      <c r="S5274" s="1">
        <v>89.7</v>
      </c>
    </row>
    <row r="5275" spans="1:38" x14ac:dyDescent="0.3">
      <c r="A5275" s="1">
        <v>91563</v>
      </c>
      <c r="B5275" s="1" t="s">
        <v>501</v>
      </c>
      <c r="C5275" s="1" t="s">
        <v>296</v>
      </c>
      <c r="D5275" s="1">
        <v>2023</v>
      </c>
      <c r="E5275" s="1">
        <v>8</v>
      </c>
      <c r="G5275" s="4">
        <v>45145</v>
      </c>
      <c r="H5275" s="1" t="s">
        <v>353</v>
      </c>
      <c r="I5275" s="1" t="s">
        <v>354</v>
      </c>
      <c r="J5275" s="1" t="s">
        <v>192</v>
      </c>
      <c r="K5275" s="1"/>
      <c r="L5275" s="1" t="s">
        <v>355</v>
      </c>
      <c r="M5275" s="1" t="s">
        <v>286</v>
      </c>
      <c r="N5275" s="1">
        <v>2</v>
      </c>
      <c r="O5275" s="1">
        <v>2</v>
      </c>
      <c r="Q5275" s="1">
        <v>19.8</v>
      </c>
      <c r="R5275" s="1">
        <v>7.31</v>
      </c>
      <c r="S5275" s="1">
        <v>8.2100000000000009</v>
      </c>
      <c r="V5275" s="1">
        <v>2.9</v>
      </c>
      <c r="W5275" s="1">
        <v>11</v>
      </c>
      <c r="Y5275" s="1">
        <v>4.2000000000000003E-2</v>
      </c>
      <c r="Z5275" s="1">
        <v>1.7</v>
      </c>
      <c r="AA5275" s="1">
        <v>1.7</v>
      </c>
      <c r="AD5275" s="1">
        <v>3.1</v>
      </c>
      <c r="AE5275" s="1">
        <v>8.1</v>
      </c>
      <c r="AK5275" s="1">
        <v>14</v>
      </c>
      <c r="AL5275" s="1">
        <v>380</v>
      </c>
    </row>
    <row r="5276" spans="1:38" x14ac:dyDescent="0.3">
      <c r="A5276" s="1">
        <v>91564</v>
      </c>
      <c r="B5276" s="1" t="s">
        <v>501</v>
      </c>
      <c r="C5276" s="1" t="s">
        <v>294</v>
      </c>
      <c r="D5276" s="1">
        <v>2023</v>
      </c>
      <c r="E5276" s="1">
        <v>8</v>
      </c>
      <c r="G5276" s="4">
        <v>45149</v>
      </c>
      <c r="H5276" s="1" t="s">
        <v>357</v>
      </c>
      <c r="I5276" s="1" t="s">
        <v>358</v>
      </c>
      <c r="J5276" s="1" t="s">
        <v>193</v>
      </c>
      <c r="K5276" s="1"/>
      <c r="L5276" s="1" t="s">
        <v>359</v>
      </c>
      <c r="M5276" s="1" t="s">
        <v>285</v>
      </c>
      <c r="N5276" s="1">
        <v>0.5</v>
      </c>
      <c r="O5276" s="1">
        <v>0.5</v>
      </c>
      <c r="P5276" s="1">
        <v>1.5</v>
      </c>
      <c r="Q5276" s="1">
        <v>17.899999999999999</v>
      </c>
      <c r="R5276" s="1">
        <v>9.16</v>
      </c>
      <c r="S5276" s="1">
        <v>96.8</v>
      </c>
      <c r="V5276" s="1">
        <v>1.6</v>
      </c>
      <c r="W5276" s="1">
        <v>16</v>
      </c>
      <c r="Y5276" s="1">
        <v>4.3999999999999997E-2</v>
      </c>
      <c r="Z5276" s="20" t="s">
        <v>319</v>
      </c>
      <c r="AA5276" s="1">
        <v>4</v>
      </c>
      <c r="AB5276" s="1">
        <v>19</v>
      </c>
      <c r="AD5276" s="1">
        <v>1.4</v>
      </c>
      <c r="AE5276" s="1">
        <v>8.1999999999999993</v>
      </c>
      <c r="AK5276" s="1">
        <v>24</v>
      </c>
      <c r="AL5276" s="1">
        <v>610</v>
      </c>
    </row>
    <row r="5277" spans="1:38" x14ac:dyDescent="0.3">
      <c r="A5277" s="1">
        <v>91565</v>
      </c>
      <c r="B5277" s="1" t="s">
        <v>501</v>
      </c>
      <c r="C5277" s="1" t="s">
        <v>294</v>
      </c>
      <c r="D5277" s="1">
        <v>2023</v>
      </c>
      <c r="E5277" s="1">
        <v>8</v>
      </c>
      <c r="G5277" s="4">
        <v>45149</v>
      </c>
      <c r="H5277" s="1" t="s">
        <v>357</v>
      </c>
      <c r="I5277" s="1" t="s">
        <v>358</v>
      </c>
      <c r="J5277" s="1" t="s">
        <v>193</v>
      </c>
      <c r="K5277" s="1"/>
      <c r="L5277" s="1" t="s">
        <v>359</v>
      </c>
      <c r="M5277" s="1">
        <v>1</v>
      </c>
      <c r="N5277" s="1">
        <v>1</v>
      </c>
      <c r="O5277" s="1">
        <v>1</v>
      </c>
      <c r="Q5277" s="1">
        <v>17.899999999999999</v>
      </c>
      <c r="R5277" s="1">
        <v>9.08</v>
      </c>
      <c r="S5277" s="1">
        <v>95.8</v>
      </c>
    </row>
    <row r="5278" spans="1:38" x14ac:dyDescent="0.3">
      <c r="A5278" s="1">
        <v>91566</v>
      </c>
      <c r="B5278" s="1" t="s">
        <v>501</v>
      </c>
      <c r="C5278" s="1" t="s">
        <v>294</v>
      </c>
      <c r="D5278" s="1">
        <v>2023</v>
      </c>
      <c r="E5278" s="1">
        <v>8</v>
      </c>
      <c r="G5278" s="4">
        <v>45149</v>
      </c>
      <c r="H5278" s="1" t="s">
        <v>357</v>
      </c>
      <c r="I5278" s="1" t="s">
        <v>358</v>
      </c>
      <c r="J5278" s="1" t="s">
        <v>193</v>
      </c>
      <c r="K5278" s="1"/>
      <c r="L5278" s="1" t="s">
        <v>359</v>
      </c>
      <c r="M5278" s="1">
        <v>2</v>
      </c>
      <c r="N5278" s="1">
        <v>2</v>
      </c>
      <c r="Q5278" s="1">
        <v>17.8</v>
      </c>
      <c r="R5278" s="1">
        <v>9.0500000000000007</v>
      </c>
      <c r="S5278" s="1">
        <v>95.4</v>
      </c>
    </row>
    <row r="5279" spans="1:38" x14ac:dyDescent="0.3">
      <c r="A5279" s="1">
        <v>91567</v>
      </c>
      <c r="B5279" s="1" t="s">
        <v>501</v>
      </c>
      <c r="C5279" s="1" t="s">
        <v>294</v>
      </c>
      <c r="D5279" s="1">
        <v>2023</v>
      </c>
      <c r="E5279" s="1">
        <v>8</v>
      </c>
      <c r="G5279" s="4">
        <v>45149</v>
      </c>
      <c r="H5279" s="1" t="s">
        <v>357</v>
      </c>
      <c r="I5279" s="1" t="s">
        <v>358</v>
      </c>
      <c r="J5279" s="1" t="s">
        <v>193</v>
      </c>
      <c r="K5279" s="1"/>
      <c r="L5279" s="1" t="s">
        <v>359</v>
      </c>
      <c r="M5279" s="1">
        <v>3</v>
      </c>
      <c r="N5279" s="1">
        <v>3</v>
      </c>
      <c r="O5279" s="1">
        <v>3</v>
      </c>
      <c r="Q5279" s="1">
        <v>17.8</v>
      </c>
      <c r="R5279" s="1">
        <v>9</v>
      </c>
      <c r="S5279" s="1">
        <v>94.6</v>
      </c>
    </row>
    <row r="5280" spans="1:38" x14ac:dyDescent="0.3">
      <c r="A5280" s="1">
        <v>91568</v>
      </c>
      <c r="B5280" s="1" t="s">
        <v>501</v>
      </c>
      <c r="C5280" s="1" t="s">
        <v>294</v>
      </c>
      <c r="D5280" s="1">
        <v>2023</v>
      </c>
      <c r="E5280" s="1">
        <v>8</v>
      </c>
      <c r="G5280" s="4">
        <v>45149</v>
      </c>
      <c r="H5280" s="1" t="s">
        <v>357</v>
      </c>
      <c r="I5280" s="1" t="s">
        <v>358</v>
      </c>
      <c r="J5280" s="1" t="s">
        <v>193</v>
      </c>
      <c r="K5280" s="1"/>
      <c r="L5280" s="1" t="s">
        <v>359</v>
      </c>
      <c r="M5280" s="1" t="s">
        <v>286</v>
      </c>
      <c r="N5280" s="1">
        <v>3.2</v>
      </c>
      <c r="O5280" s="1">
        <v>3.2</v>
      </c>
      <c r="Q5280" s="1">
        <v>17.7</v>
      </c>
      <c r="R5280" s="1">
        <v>8.84</v>
      </c>
      <c r="S5280" s="1">
        <v>92.8</v>
      </c>
      <c r="V5280" s="1">
        <v>1.6</v>
      </c>
      <c r="W5280" s="1">
        <v>16</v>
      </c>
      <c r="Y5280" s="1">
        <v>4.5999999999999999E-2</v>
      </c>
      <c r="Z5280" s="1">
        <v>1</v>
      </c>
      <c r="AA5280" s="1">
        <v>4.4000000000000004</v>
      </c>
      <c r="AD5280" s="1">
        <v>2.2000000000000002</v>
      </c>
      <c r="AE5280" s="1">
        <v>8.1999999999999993</v>
      </c>
      <c r="AK5280" s="1">
        <v>30</v>
      </c>
      <c r="AL5280" s="1">
        <v>550</v>
      </c>
    </row>
    <row r="5281" spans="2:43" x14ac:dyDescent="0.3">
      <c r="B5281" s="27" t="s">
        <v>513</v>
      </c>
      <c r="C5281" s="1" t="s">
        <v>514</v>
      </c>
      <c r="D5281" s="1">
        <v>2017</v>
      </c>
      <c r="E5281" s="28">
        <v>5</v>
      </c>
      <c r="F5281" s="1" t="s">
        <v>178</v>
      </c>
      <c r="G5281" s="4">
        <v>42885</v>
      </c>
      <c r="H5281" s="30">
        <v>6594617</v>
      </c>
      <c r="I5281" s="28">
        <v>666322</v>
      </c>
      <c r="J5281" s="1" t="s">
        <v>515</v>
      </c>
      <c r="K5281" s="29">
        <v>3</v>
      </c>
      <c r="M5281" s="1" t="s">
        <v>177</v>
      </c>
      <c r="N5281" s="1">
        <v>0.5</v>
      </c>
      <c r="P5281" s="1">
        <v>4.5999999999999996</v>
      </c>
      <c r="Q5281" s="1">
        <v>16.2</v>
      </c>
      <c r="R5281" s="1">
        <v>8.9</v>
      </c>
      <c r="S5281" s="1">
        <v>91</v>
      </c>
      <c r="V5281" s="31">
        <v>2.6</v>
      </c>
      <c r="W5281" s="1">
        <v>59</v>
      </c>
      <c r="Z5281" s="1">
        <v>11</v>
      </c>
      <c r="AA5281" s="1">
        <v>1.4</v>
      </c>
      <c r="AB5281" s="1" t="s">
        <v>516</v>
      </c>
      <c r="AD5281" s="1">
        <v>4.2</v>
      </c>
      <c r="AE5281" s="1">
        <v>8.3000000000000007</v>
      </c>
      <c r="AK5281" s="1">
        <v>29</v>
      </c>
      <c r="AL5281" s="1">
        <v>460</v>
      </c>
    </row>
    <row r="5282" spans="2:43" x14ac:dyDescent="0.3">
      <c r="B5282" s="27" t="s">
        <v>513</v>
      </c>
      <c r="C5282" s="1" t="s">
        <v>514</v>
      </c>
      <c r="D5282" s="1">
        <v>2017</v>
      </c>
      <c r="E5282" s="28">
        <v>5</v>
      </c>
      <c r="F5282" s="1" t="s">
        <v>178</v>
      </c>
      <c r="G5282" s="4">
        <v>42885</v>
      </c>
      <c r="H5282" s="30">
        <v>6594617</v>
      </c>
      <c r="I5282" s="28">
        <v>666322</v>
      </c>
      <c r="J5282" s="1" t="s">
        <v>515</v>
      </c>
      <c r="K5282" s="29">
        <v>3</v>
      </c>
      <c r="M5282" s="29">
        <v>1</v>
      </c>
      <c r="Q5282" s="1">
        <v>16.100000000000001</v>
      </c>
      <c r="R5282" s="1">
        <v>8.9</v>
      </c>
      <c r="S5282" s="1">
        <v>91</v>
      </c>
      <c r="V5282" s="31"/>
    </row>
    <row r="5283" spans="2:43" x14ac:dyDescent="0.3">
      <c r="B5283" s="27" t="s">
        <v>513</v>
      </c>
      <c r="C5283" s="1" t="s">
        <v>514</v>
      </c>
      <c r="D5283" s="1">
        <v>2017</v>
      </c>
      <c r="E5283" s="28">
        <v>5</v>
      </c>
      <c r="F5283" s="1" t="s">
        <v>178</v>
      </c>
      <c r="G5283" s="4">
        <v>42885</v>
      </c>
      <c r="H5283" s="30">
        <v>6594617</v>
      </c>
      <c r="I5283" s="28">
        <v>666322</v>
      </c>
      <c r="J5283" s="1" t="s">
        <v>515</v>
      </c>
      <c r="K5283" s="29">
        <v>3</v>
      </c>
      <c r="M5283" s="29">
        <v>2</v>
      </c>
      <c r="Q5283" s="1">
        <v>16</v>
      </c>
      <c r="R5283" s="1">
        <v>9.4</v>
      </c>
      <c r="S5283" s="1">
        <v>96</v>
      </c>
      <c r="V5283" s="31"/>
    </row>
    <row r="5284" spans="2:43" x14ac:dyDescent="0.3">
      <c r="B5284" s="27" t="s">
        <v>513</v>
      </c>
      <c r="C5284" s="1" t="s">
        <v>514</v>
      </c>
      <c r="D5284" s="1">
        <v>2017</v>
      </c>
      <c r="E5284" s="28">
        <v>5</v>
      </c>
      <c r="F5284" s="1" t="s">
        <v>178</v>
      </c>
      <c r="G5284" s="4">
        <v>42885</v>
      </c>
      <c r="H5284" s="30">
        <v>6594617</v>
      </c>
      <c r="I5284" s="28">
        <v>666322</v>
      </c>
      <c r="J5284" s="1" t="s">
        <v>515</v>
      </c>
      <c r="K5284" s="29">
        <v>3</v>
      </c>
      <c r="M5284" s="29">
        <v>3</v>
      </c>
      <c r="Q5284" s="1">
        <v>15.7</v>
      </c>
      <c r="R5284" s="1">
        <v>9.9</v>
      </c>
      <c r="S5284" s="1">
        <v>100</v>
      </c>
      <c r="V5284" s="31"/>
    </row>
    <row r="5285" spans="2:43" x14ac:dyDescent="0.3">
      <c r="B5285" s="27" t="s">
        <v>513</v>
      </c>
      <c r="C5285" s="1" t="s">
        <v>514</v>
      </c>
      <c r="D5285" s="1">
        <v>2017</v>
      </c>
      <c r="E5285" s="28">
        <v>5</v>
      </c>
      <c r="F5285" s="1" t="s">
        <v>178</v>
      </c>
      <c r="G5285" s="4">
        <v>42885</v>
      </c>
      <c r="H5285" s="30">
        <v>6594617</v>
      </c>
      <c r="I5285" s="28">
        <v>666322</v>
      </c>
      <c r="J5285" s="1" t="s">
        <v>515</v>
      </c>
      <c r="K5285" s="29">
        <v>3</v>
      </c>
      <c r="M5285" s="29">
        <v>4</v>
      </c>
      <c r="Q5285" s="1">
        <v>15.3</v>
      </c>
      <c r="R5285" s="1">
        <v>10.1</v>
      </c>
      <c r="S5285" s="1">
        <v>101</v>
      </c>
      <c r="V5285" s="31"/>
    </row>
    <row r="5286" spans="2:43" x14ac:dyDescent="0.3">
      <c r="B5286" s="27" t="s">
        <v>513</v>
      </c>
      <c r="C5286" s="1" t="s">
        <v>514</v>
      </c>
      <c r="D5286" s="1">
        <v>2017</v>
      </c>
      <c r="E5286" s="28">
        <v>5</v>
      </c>
      <c r="F5286" s="1" t="s">
        <v>178</v>
      </c>
      <c r="G5286" s="4">
        <v>42885</v>
      </c>
      <c r="H5286" s="30">
        <v>6594617</v>
      </c>
      <c r="I5286" s="28">
        <v>666322</v>
      </c>
      <c r="J5286" s="1" t="s">
        <v>515</v>
      </c>
      <c r="K5286" s="29">
        <v>3</v>
      </c>
      <c r="M5286" s="29">
        <v>5</v>
      </c>
      <c r="Q5286" s="1">
        <v>13</v>
      </c>
      <c r="R5286" s="1">
        <v>8.8000000000000007</v>
      </c>
      <c r="S5286" s="1">
        <v>84</v>
      </c>
      <c r="V5286" s="31"/>
    </row>
    <row r="5287" spans="2:43" x14ac:dyDescent="0.3">
      <c r="B5287" s="27" t="s">
        <v>513</v>
      </c>
      <c r="C5287" s="1" t="s">
        <v>514</v>
      </c>
      <c r="D5287" s="1">
        <v>2017</v>
      </c>
      <c r="E5287" s="28">
        <v>5</v>
      </c>
      <c r="F5287" s="1" t="s">
        <v>178</v>
      </c>
      <c r="G5287" s="4">
        <v>42885</v>
      </c>
      <c r="H5287" s="30">
        <v>6594617</v>
      </c>
      <c r="I5287" s="28">
        <v>666322</v>
      </c>
      <c r="J5287" s="1" t="s">
        <v>515</v>
      </c>
      <c r="K5287" s="29">
        <v>3</v>
      </c>
      <c r="M5287" s="29">
        <v>6</v>
      </c>
      <c r="Q5287" s="1">
        <v>12.3</v>
      </c>
      <c r="R5287" s="1">
        <v>8.4</v>
      </c>
      <c r="S5287" s="1">
        <v>79</v>
      </c>
      <c r="V5287" s="31"/>
    </row>
    <row r="5288" spans="2:43" x14ac:dyDescent="0.3">
      <c r="B5288" s="27" t="s">
        <v>513</v>
      </c>
      <c r="C5288" s="1" t="s">
        <v>514</v>
      </c>
      <c r="D5288" s="1">
        <v>2017</v>
      </c>
      <c r="E5288" s="28">
        <v>5</v>
      </c>
      <c r="F5288" s="1" t="s">
        <v>178</v>
      </c>
      <c r="G5288" s="4">
        <v>42885</v>
      </c>
      <c r="H5288" s="30">
        <v>6594617</v>
      </c>
      <c r="I5288" s="28">
        <v>666322</v>
      </c>
      <c r="J5288" s="1" t="s">
        <v>515</v>
      </c>
      <c r="K5288" s="29">
        <v>3</v>
      </c>
      <c r="M5288" s="29">
        <v>7</v>
      </c>
      <c r="Q5288" s="1">
        <v>11.4</v>
      </c>
      <c r="R5288" s="1">
        <v>7.6</v>
      </c>
      <c r="S5288" s="1">
        <v>69</v>
      </c>
      <c r="V5288" s="31"/>
    </row>
    <row r="5289" spans="2:43" x14ac:dyDescent="0.3">
      <c r="B5289" s="27" t="s">
        <v>513</v>
      </c>
      <c r="C5289" s="1" t="s">
        <v>514</v>
      </c>
      <c r="D5289" s="1">
        <v>2017</v>
      </c>
      <c r="E5289" s="28">
        <v>5</v>
      </c>
      <c r="F5289" s="1" t="s">
        <v>178</v>
      </c>
      <c r="G5289" s="4">
        <v>42885</v>
      </c>
      <c r="H5289" s="30">
        <v>6594617</v>
      </c>
      <c r="I5289" s="28">
        <v>666322</v>
      </c>
      <c r="J5289" s="1" t="s">
        <v>515</v>
      </c>
      <c r="K5289" s="29">
        <v>3</v>
      </c>
      <c r="M5289" s="29">
        <v>8</v>
      </c>
      <c r="Q5289" s="1">
        <v>10.7</v>
      </c>
      <c r="R5289" s="1">
        <v>7.4</v>
      </c>
      <c r="S5289" s="1">
        <v>67</v>
      </c>
      <c r="V5289" s="31"/>
    </row>
    <row r="5290" spans="2:43" x14ac:dyDescent="0.3">
      <c r="B5290" s="27" t="s">
        <v>513</v>
      </c>
      <c r="C5290" s="1" t="s">
        <v>514</v>
      </c>
      <c r="D5290" s="1">
        <v>2017</v>
      </c>
      <c r="E5290" s="28">
        <v>5</v>
      </c>
      <c r="F5290" s="1" t="s">
        <v>178</v>
      </c>
      <c r="G5290" s="4">
        <v>42885</v>
      </c>
      <c r="H5290" s="30">
        <v>6594617</v>
      </c>
      <c r="I5290" s="28">
        <v>666322</v>
      </c>
      <c r="J5290" s="1" t="s">
        <v>515</v>
      </c>
      <c r="K5290" s="29">
        <v>3</v>
      </c>
      <c r="M5290" s="29">
        <v>9</v>
      </c>
      <c r="Q5290" s="1">
        <v>10.199999999999999</v>
      </c>
      <c r="R5290" s="1">
        <v>6.7</v>
      </c>
      <c r="S5290" s="1">
        <v>60</v>
      </c>
      <c r="V5290" s="31"/>
      <c r="AM5290" s="1">
        <v>10</v>
      </c>
      <c r="AN5290" s="20" t="s">
        <v>1298</v>
      </c>
      <c r="AO5290" s="20" t="s">
        <v>1298</v>
      </c>
      <c r="AP5290" s="20"/>
      <c r="AQ5290" s="20"/>
    </row>
    <row r="5291" spans="2:43" x14ac:dyDescent="0.3">
      <c r="B5291" s="27" t="s">
        <v>513</v>
      </c>
      <c r="C5291" s="1" t="s">
        <v>514</v>
      </c>
      <c r="D5291" s="1">
        <v>2017</v>
      </c>
      <c r="E5291" s="28">
        <v>5</v>
      </c>
      <c r="F5291" s="1" t="s">
        <v>178</v>
      </c>
      <c r="G5291" s="4">
        <v>42885</v>
      </c>
      <c r="H5291" s="30">
        <v>6594617</v>
      </c>
      <c r="I5291" s="28">
        <v>666322</v>
      </c>
      <c r="J5291" s="1" t="s">
        <v>515</v>
      </c>
      <c r="K5291" s="29">
        <v>3</v>
      </c>
      <c r="M5291" s="29">
        <v>10</v>
      </c>
      <c r="Q5291" s="1">
        <v>9.5</v>
      </c>
      <c r="R5291" s="1">
        <v>2.8</v>
      </c>
      <c r="S5291" s="1">
        <v>24</v>
      </c>
      <c r="V5291" s="31"/>
    </row>
    <row r="5292" spans="2:43" x14ac:dyDescent="0.3">
      <c r="B5292" s="27" t="s">
        <v>513</v>
      </c>
      <c r="C5292" s="1" t="s">
        <v>514</v>
      </c>
      <c r="D5292" s="1">
        <v>2017</v>
      </c>
      <c r="E5292" s="28">
        <v>5</v>
      </c>
      <c r="F5292" s="1" t="s">
        <v>178</v>
      </c>
      <c r="G5292" s="4">
        <v>42885</v>
      </c>
      <c r="H5292" s="30">
        <v>6594617</v>
      </c>
      <c r="I5292" s="28">
        <v>666322</v>
      </c>
      <c r="J5292" s="1" t="s">
        <v>515</v>
      </c>
      <c r="K5292" s="29">
        <v>3</v>
      </c>
      <c r="M5292" s="29">
        <v>10.5</v>
      </c>
      <c r="Q5292" s="1">
        <v>10</v>
      </c>
      <c r="R5292" s="1">
        <v>2.7</v>
      </c>
      <c r="S5292" s="1">
        <v>24</v>
      </c>
      <c r="V5292" s="31"/>
    </row>
    <row r="5293" spans="2:43" x14ac:dyDescent="0.3">
      <c r="B5293" s="27" t="s">
        <v>513</v>
      </c>
      <c r="C5293" s="1" t="s">
        <v>514</v>
      </c>
      <c r="D5293" s="1">
        <v>2017</v>
      </c>
      <c r="E5293" s="28">
        <v>7</v>
      </c>
      <c r="F5293" s="1" t="s">
        <v>179</v>
      </c>
      <c r="G5293" s="4">
        <v>42942</v>
      </c>
      <c r="H5293" s="30">
        <v>6594617</v>
      </c>
      <c r="I5293" s="28">
        <v>666322</v>
      </c>
      <c r="J5293" s="1" t="s">
        <v>515</v>
      </c>
      <c r="K5293" s="29">
        <v>3</v>
      </c>
      <c r="M5293" s="1" t="s">
        <v>177</v>
      </c>
      <c r="P5293" s="1">
        <v>2.4</v>
      </c>
      <c r="Q5293" s="1">
        <v>20.2</v>
      </c>
      <c r="R5293" s="1">
        <v>10.98</v>
      </c>
      <c r="S5293" s="1">
        <v>121.2</v>
      </c>
      <c r="V5293" s="31">
        <v>2.7</v>
      </c>
      <c r="W5293" s="1">
        <v>6.1</v>
      </c>
      <c r="Z5293" s="1">
        <v>5.3</v>
      </c>
      <c r="AA5293" s="1">
        <v>4.2</v>
      </c>
      <c r="AB5293" s="1">
        <v>18</v>
      </c>
      <c r="AD5293" s="1">
        <v>1.8</v>
      </c>
      <c r="AE5293" s="1">
        <v>8.6999999999999993</v>
      </c>
      <c r="AK5293" s="1">
        <v>60</v>
      </c>
      <c r="AL5293" s="1">
        <v>590</v>
      </c>
    </row>
    <row r="5294" spans="2:43" x14ac:dyDescent="0.3">
      <c r="B5294" s="27" t="s">
        <v>513</v>
      </c>
      <c r="C5294" s="1" t="s">
        <v>514</v>
      </c>
      <c r="D5294" s="1">
        <v>2017</v>
      </c>
      <c r="E5294" s="28">
        <v>7</v>
      </c>
      <c r="F5294" s="1" t="s">
        <v>179</v>
      </c>
      <c r="G5294" s="4">
        <v>42942</v>
      </c>
      <c r="H5294" s="30">
        <v>6594617</v>
      </c>
      <c r="I5294" s="28">
        <v>666322</v>
      </c>
      <c r="J5294" s="1" t="s">
        <v>515</v>
      </c>
      <c r="K5294" s="29">
        <v>3</v>
      </c>
      <c r="M5294" s="29">
        <v>1</v>
      </c>
      <c r="Q5294" s="1">
        <v>20.100000000000001</v>
      </c>
      <c r="R5294" s="1">
        <v>10.86</v>
      </c>
      <c r="S5294" s="1">
        <v>119.4</v>
      </c>
      <c r="V5294" s="31"/>
    </row>
    <row r="5295" spans="2:43" x14ac:dyDescent="0.3">
      <c r="B5295" s="27" t="s">
        <v>513</v>
      </c>
      <c r="C5295" s="1" t="s">
        <v>514</v>
      </c>
      <c r="D5295" s="1">
        <v>2017</v>
      </c>
      <c r="E5295" s="28">
        <v>7</v>
      </c>
      <c r="F5295" s="1" t="s">
        <v>179</v>
      </c>
      <c r="G5295" s="4">
        <v>42942</v>
      </c>
      <c r="H5295" s="30">
        <v>6594617</v>
      </c>
      <c r="I5295" s="28">
        <v>666322</v>
      </c>
      <c r="J5295" s="1" t="s">
        <v>515</v>
      </c>
      <c r="K5295" s="29">
        <v>3</v>
      </c>
      <c r="M5295" s="29">
        <v>2</v>
      </c>
      <c r="Q5295" s="1">
        <v>20</v>
      </c>
      <c r="R5295" s="1">
        <v>10.49</v>
      </c>
      <c r="S5295" s="1">
        <v>115.4</v>
      </c>
      <c r="V5295" s="31"/>
    </row>
    <row r="5296" spans="2:43" x14ac:dyDescent="0.3">
      <c r="B5296" s="27" t="s">
        <v>513</v>
      </c>
      <c r="C5296" s="1" t="s">
        <v>514</v>
      </c>
      <c r="D5296" s="1">
        <v>2017</v>
      </c>
      <c r="E5296" s="28">
        <v>7</v>
      </c>
      <c r="F5296" s="1" t="s">
        <v>179</v>
      </c>
      <c r="G5296" s="4">
        <v>42942</v>
      </c>
      <c r="H5296" s="30">
        <v>6594617</v>
      </c>
      <c r="I5296" s="28">
        <v>666322</v>
      </c>
      <c r="J5296" s="1" t="s">
        <v>515</v>
      </c>
      <c r="K5296" s="29">
        <v>3</v>
      </c>
      <c r="M5296" s="29">
        <v>3</v>
      </c>
      <c r="Q5296" s="1">
        <v>20</v>
      </c>
      <c r="R5296" s="1">
        <v>10.36</v>
      </c>
      <c r="S5296" s="1">
        <v>113.9</v>
      </c>
      <c r="V5296" s="31"/>
    </row>
    <row r="5297" spans="2:43" x14ac:dyDescent="0.3">
      <c r="B5297" s="27" t="s">
        <v>513</v>
      </c>
      <c r="C5297" s="1" t="s">
        <v>514</v>
      </c>
      <c r="D5297" s="1">
        <v>2017</v>
      </c>
      <c r="E5297" s="28">
        <v>7</v>
      </c>
      <c r="F5297" s="1" t="s">
        <v>179</v>
      </c>
      <c r="G5297" s="4">
        <v>42942</v>
      </c>
      <c r="H5297" s="30">
        <v>6594617</v>
      </c>
      <c r="I5297" s="28">
        <v>666322</v>
      </c>
      <c r="J5297" s="1" t="s">
        <v>515</v>
      </c>
      <c r="K5297" s="29">
        <v>3</v>
      </c>
      <c r="M5297" s="29">
        <v>4</v>
      </c>
      <c r="Q5297" s="1">
        <v>19.899999999999999</v>
      </c>
      <c r="R5297" s="1">
        <v>10.130000000000001</v>
      </c>
      <c r="S5297" s="1">
        <v>111.1</v>
      </c>
      <c r="V5297" s="31"/>
    </row>
    <row r="5298" spans="2:43" x14ac:dyDescent="0.3">
      <c r="B5298" s="27" t="s">
        <v>513</v>
      </c>
      <c r="C5298" s="1" t="s">
        <v>514</v>
      </c>
      <c r="D5298" s="1">
        <v>2017</v>
      </c>
      <c r="E5298" s="28">
        <v>7</v>
      </c>
      <c r="F5298" s="1" t="s">
        <v>179</v>
      </c>
      <c r="G5298" s="4">
        <v>42942</v>
      </c>
      <c r="H5298" s="30">
        <v>6594617</v>
      </c>
      <c r="I5298" s="28">
        <v>666322</v>
      </c>
      <c r="J5298" s="1" t="s">
        <v>515</v>
      </c>
      <c r="K5298" s="29">
        <v>3</v>
      </c>
      <c r="M5298" s="29">
        <v>5</v>
      </c>
      <c r="Q5298" s="1">
        <v>19.899999999999999</v>
      </c>
      <c r="R5298" s="1">
        <v>9.8699999999999992</v>
      </c>
      <c r="S5298" s="1">
        <v>108.3</v>
      </c>
      <c r="V5298" s="31"/>
    </row>
    <row r="5299" spans="2:43" x14ac:dyDescent="0.3">
      <c r="B5299" s="27" t="s">
        <v>513</v>
      </c>
      <c r="C5299" s="1" t="s">
        <v>514</v>
      </c>
      <c r="D5299" s="1">
        <v>2017</v>
      </c>
      <c r="E5299" s="28">
        <v>7</v>
      </c>
      <c r="F5299" s="1" t="s">
        <v>179</v>
      </c>
      <c r="G5299" s="4">
        <v>42942</v>
      </c>
      <c r="H5299" s="30">
        <v>6594617</v>
      </c>
      <c r="I5299" s="28">
        <v>666322</v>
      </c>
      <c r="J5299" s="1" t="s">
        <v>515</v>
      </c>
      <c r="K5299" s="29">
        <v>3</v>
      </c>
      <c r="M5299" s="29">
        <v>6</v>
      </c>
      <c r="Q5299" s="1">
        <v>19.7</v>
      </c>
      <c r="R5299" s="1">
        <v>9.1199999999999992</v>
      </c>
      <c r="S5299" s="1">
        <v>99.7</v>
      </c>
      <c r="V5299" s="31"/>
    </row>
    <row r="5300" spans="2:43" x14ac:dyDescent="0.3">
      <c r="B5300" s="27" t="s">
        <v>513</v>
      </c>
      <c r="C5300" s="1" t="s">
        <v>514</v>
      </c>
      <c r="D5300" s="1">
        <v>2017</v>
      </c>
      <c r="E5300" s="28">
        <v>7</v>
      </c>
      <c r="F5300" s="1" t="s">
        <v>179</v>
      </c>
      <c r="G5300" s="4">
        <v>42942</v>
      </c>
      <c r="H5300" s="30">
        <v>6594617</v>
      </c>
      <c r="I5300" s="28">
        <v>666322</v>
      </c>
      <c r="J5300" s="1" t="s">
        <v>515</v>
      </c>
      <c r="K5300" s="29">
        <v>3</v>
      </c>
      <c r="M5300" s="29">
        <v>7</v>
      </c>
      <c r="Q5300" s="1">
        <v>17.399999999999999</v>
      </c>
      <c r="R5300" s="1">
        <v>2.8</v>
      </c>
      <c r="S5300" s="1">
        <v>29.8</v>
      </c>
      <c r="V5300" s="31"/>
    </row>
    <row r="5301" spans="2:43" x14ac:dyDescent="0.3">
      <c r="B5301" s="27" t="s">
        <v>513</v>
      </c>
      <c r="C5301" s="1" t="s">
        <v>514</v>
      </c>
      <c r="D5301" s="1">
        <v>2017</v>
      </c>
      <c r="E5301" s="28">
        <v>7</v>
      </c>
      <c r="F5301" s="1" t="s">
        <v>179</v>
      </c>
      <c r="G5301" s="4">
        <v>42942</v>
      </c>
      <c r="H5301" s="30">
        <v>6594617</v>
      </c>
      <c r="I5301" s="28">
        <v>666322</v>
      </c>
      <c r="J5301" s="1" t="s">
        <v>515</v>
      </c>
      <c r="K5301" s="29">
        <v>3</v>
      </c>
      <c r="M5301" s="29">
        <v>8</v>
      </c>
      <c r="Q5301" s="1">
        <v>16.600000000000001</v>
      </c>
      <c r="R5301" s="1">
        <v>0.22</v>
      </c>
      <c r="S5301" s="1">
        <v>2.2000000000000002</v>
      </c>
      <c r="V5301" s="31"/>
    </row>
    <row r="5302" spans="2:43" x14ac:dyDescent="0.3">
      <c r="B5302" s="27" t="s">
        <v>513</v>
      </c>
      <c r="C5302" s="1" t="s">
        <v>514</v>
      </c>
      <c r="D5302" s="1">
        <v>2017</v>
      </c>
      <c r="E5302" s="28">
        <v>7</v>
      </c>
      <c r="F5302" s="1" t="s">
        <v>179</v>
      </c>
      <c r="G5302" s="4">
        <v>42942</v>
      </c>
      <c r="H5302" s="30">
        <v>6594617</v>
      </c>
      <c r="I5302" s="28">
        <v>666322</v>
      </c>
      <c r="J5302" s="1" t="s">
        <v>515</v>
      </c>
      <c r="K5302" s="29">
        <v>3</v>
      </c>
      <c r="M5302" s="29">
        <v>8.5</v>
      </c>
      <c r="Q5302" s="1">
        <v>16</v>
      </c>
      <c r="V5302" s="31"/>
      <c r="W5302" s="1">
        <v>65</v>
      </c>
      <c r="Z5302" s="1">
        <v>150</v>
      </c>
      <c r="AA5302" s="1">
        <v>4</v>
      </c>
      <c r="AD5302" s="1">
        <v>4.4000000000000004</v>
      </c>
      <c r="AE5302" s="1">
        <v>7.7</v>
      </c>
      <c r="AK5302" s="1">
        <v>180</v>
      </c>
      <c r="AL5302" s="1">
        <v>570</v>
      </c>
      <c r="AM5302" s="20" t="s">
        <v>1298</v>
      </c>
      <c r="AN5302" s="20" t="s">
        <v>1298</v>
      </c>
      <c r="AO5302" s="20" t="s">
        <v>1298</v>
      </c>
      <c r="AP5302" s="20"/>
      <c r="AQ5302" s="20"/>
    </row>
    <row r="5303" spans="2:43" x14ac:dyDescent="0.3">
      <c r="B5303" s="27" t="s">
        <v>513</v>
      </c>
      <c r="C5303" s="1" t="s">
        <v>514</v>
      </c>
      <c r="D5303" s="1">
        <v>2017</v>
      </c>
      <c r="E5303" s="28">
        <v>7</v>
      </c>
      <c r="F5303" s="1" t="s">
        <v>179</v>
      </c>
      <c r="G5303" s="4">
        <v>42942</v>
      </c>
      <c r="H5303" s="30">
        <v>6594617</v>
      </c>
      <c r="I5303" s="28">
        <v>666322</v>
      </c>
      <c r="J5303" s="1" t="s">
        <v>515</v>
      </c>
      <c r="K5303" s="29">
        <v>3</v>
      </c>
      <c r="M5303" s="29">
        <v>9</v>
      </c>
      <c r="Q5303" s="1">
        <v>15.4</v>
      </c>
      <c r="R5303" s="1">
        <v>0.3</v>
      </c>
      <c r="S5303" s="1">
        <v>3</v>
      </c>
      <c r="V5303" s="31"/>
    </row>
    <row r="5304" spans="2:43" x14ac:dyDescent="0.3">
      <c r="B5304" s="27" t="s">
        <v>513</v>
      </c>
      <c r="C5304" s="1" t="s">
        <v>514</v>
      </c>
      <c r="D5304" s="1">
        <v>2017</v>
      </c>
      <c r="E5304" s="28">
        <v>7</v>
      </c>
      <c r="F5304" s="1" t="s">
        <v>179</v>
      </c>
      <c r="G5304" s="4">
        <v>42942</v>
      </c>
      <c r="H5304" s="30">
        <v>6594617</v>
      </c>
      <c r="I5304" s="28">
        <v>666322</v>
      </c>
      <c r="J5304" s="1" t="s">
        <v>515</v>
      </c>
      <c r="K5304" s="29">
        <v>3</v>
      </c>
      <c r="M5304" s="29">
        <v>9.5</v>
      </c>
      <c r="Q5304" s="1">
        <v>14.8</v>
      </c>
      <c r="V5304" s="31">
        <v>2.9</v>
      </c>
      <c r="W5304" s="1">
        <v>370</v>
      </c>
      <c r="Z5304" s="1">
        <v>290</v>
      </c>
      <c r="AA5304" s="1">
        <v>4.0999999999999996</v>
      </c>
      <c r="AD5304" s="1">
        <v>6.1</v>
      </c>
      <c r="AE5304" s="1">
        <v>7.8</v>
      </c>
      <c r="AK5304" s="1">
        <v>330</v>
      </c>
    </row>
    <row r="5305" spans="2:43" x14ac:dyDescent="0.3">
      <c r="B5305" s="27" t="s">
        <v>513</v>
      </c>
      <c r="C5305" s="1" t="s">
        <v>514</v>
      </c>
      <c r="D5305" s="1">
        <v>2017</v>
      </c>
      <c r="E5305" s="28">
        <v>7</v>
      </c>
      <c r="F5305" s="1" t="s">
        <v>179</v>
      </c>
      <c r="G5305" s="4">
        <v>42942</v>
      </c>
      <c r="H5305" s="30">
        <v>6594617</v>
      </c>
      <c r="I5305" s="28">
        <v>666322</v>
      </c>
      <c r="J5305" s="1" t="s">
        <v>515</v>
      </c>
      <c r="K5305" s="29">
        <v>3</v>
      </c>
      <c r="M5305" s="29">
        <v>10</v>
      </c>
      <c r="Q5305" s="1">
        <v>14.1</v>
      </c>
      <c r="R5305" s="1">
        <v>0.47</v>
      </c>
      <c r="S5305" s="1">
        <v>4.5999999999999996</v>
      </c>
      <c r="V5305" s="31"/>
    </row>
    <row r="5306" spans="2:43" x14ac:dyDescent="0.3">
      <c r="B5306" s="27" t="s">
        <v>513</v>
      </c>
      <c r="C5306" s="1" t="s">
        <v>514</v>
      </c>
      <c r="D5306" s="1">
        <v>2017</v>
      </c>
      <c r="E5306" s="28">
        <v>8</v>
      </c>
      <c r="F5306" s="1" t="s">
        <v>179</v>
      </c>
      <c r="G5306" s="4">
        <v>42978</v>
      </c>
      <c r="H5306" s="30">
        <v>6594617</v>
      </c>
      <c r="I5306" s="28">
        <v>666322</v>
      </c>
      <c r="J5306" s="1" t="s">
        <v>515</v>
      </c>
      <c r="K5306" s="29">
        <v>3</v>
      </c>
      <c r="M5306" s="1" t="s">
        <v>177</v>
      </c>
      <c r="Q5306" s="1">
        <v>18.600000000000001</v>
      </c>
      <c r="R5306" s="1">
        <v>8.5</v>
      </c>
      <c r="S5306" s="1">
        <v>91</v>
      </c>
      <c r="V5306" s="31">
        <v>2.6</v>
      </c>
      <c r="W5306" s="1">
        <v>18</v>
      </c>
      <c r="Z5306" s="1">
        <v>52</v>
      </c>
      <c r="AA5306" s="1">
        <v>3.6</v>
      </c>
      <c r="AB5306" s="1">
        <v>16</v>
      </c>
      <c r="AD5306" s="1">
        <v>7</v>
      </c>
      <c r="AE5306" s="1">
        <v>8.1999999999999993</v>
      </c>
      <c r="AK5306" s="1">
        <v>73</v>
      </c>
      <c r="AL5306" s="1">
        <v>440</v>
      </c>
    </row>
    <row r="5307" spans="2:43" x14ac:dyDescent="0.3">
      <c r="B5307" s="27" t="s">
        <v>513</v>
      </c>
      <c r="C5307" s="1" t="s">
        <v>514</v>
      </c>
      <c r="D5307" s="1">
        <v>2017</v>
      </c>
      <c r="E5307" s="28">
        <v>8</v>
      </c>
      <c r="F5307" s="1" t="s">
        <v>179</v>
      </c>
      <c r="G5307" s="4">
        <v>42978</v>
      </c>
      <c r="H5307" s="30">
        <v>6594617</v>
      </c>
      <c r="I5307" s="28">
        <v>666322</v>
      </c>
      <c r="J5307" s="1" t="s">
        <v>515</v>
      </c>
      <c r="K5307" s="29">
        <v>3</v>
      </c>
      <c r="M5307" s="29">
        <v>1</v>
      </c>
      <c r="Q5307" s="1">
        <v>18.5</v>
      </c>
      <c r="R5307" s="1">
        <v>7.4</v>
      </c>
      <c r="S5307" s="1">
        <v>91</v>
      </c>
      <c r="V5307" s="31"/>
    </row>
    <row r="5308" spans="2:43" x14ac:dyDescent="0.3">
      <c r="B5308" s="27" t="s">
        <v>513</v>
      </c>
      <c r="C5308" s="1" t="s">
        <v>514</v>
      </c>
      <c r="D5308" s="1">
        <v>2017</v>
      </c>
      <c r="E5308" s="28">
        <v>8</v>
      </c>
      <c r="F5308" s="1" t="s">
        <v>179</v>
      </c>
      <c r="G5308" s="4">
        <v>42978</v>
      </c>
      <c r="H5308" s="30">
        <v>6594617</v>
      </c>
      <c r="I5308" s="28">
        <v>666322</v>
      </c>
      <c r="J5308" s="1" t="s">
        <v>515</v>
      </c>
      <c r="K5308" s="29">
        <v>3</v>
      </c>
      <c r="M5308" s="29">
        <v>2</v>
      </c>
      <c r="Q5308" s="1">
        <v>18.399999999999999</v>
      </c>
      <c r="R5308" s="1">
        <v>8.4</v>
      </c>
      <c r="S5308" s="1">
        <v>90</v>
      </c>
      <c r="V5308" s="31"/>
    </row>
    <row r="5309" spans="2:43" x14ac:dyDescent="0.3">
      <c r="B5309" s="27" t="s">
        <v>513</v>
      </c>
      <c r="C5309" s="1" t="s">
        <v>514</v>
      </c>
      <c r="D5309" s="1">
        <v>2017</v>
      </c>
      <c r="E5309" s="28">
        <v>8</v>
      </c>
      <c r="F5309" s="1" t="s">
        <v>179</v>
      </c>
      <c r="G5309" s="4">
        <v>42978</v>
      </c>
      <c r="H5309" s="30">
        <v>6594617</v>
      </c>
      <c r="I5309" s="28">
        <v>666322</v>
      </c>
      <c r="J5309" s="1" t="s">
        <v>515</v>
      </c>
      <c r="K5309" s="29">
        <v>3</v>
      </c>
      <c r="M5309" s="29">
        <v>3</v>
      </c>
      <c r="Q5309" s="1">
        <v>18.3</v>
      </c>
      <c r="R5309" s="1">
        <v>7.9</v>
      </c>
      <c r="S5309" s="1">
        <v>85</v>
      </c>
      <c r="V5309" s="31"/>
    </row>
    <row r="5310" spans="2:43" x14ac:dyDescent="0.3">
      <c r="B5310" s="27" t="s">
        <v>513</v>
      </c>
      <c r="C5310" s="1" t="s">
        <v>514</v>
      </c>
      <c r="D5310" s="1">
        <v>2017</v>
      </c>
      <c r="E5310" s="28">
        <v>8</v>
      </c>
      <c r="F5310" s="1" t="s">
        <v>179</v>
      </c>
      <c r="G5310" s="4">
        <v>42978</v>
      </c>
      <c r="H5310" s="30">
        <v>6594617</v>
      </c>
      <c r="I5310" s="28">
        <v>666322</v>
      </c>
      <c r="J5310" s="1" t="s">
        <v>515</v>
      </c>
      <c r="K5310" s="29">
        <v>3</v>
      </c>
      <c r="M5310" s="29">
        <v>4</v>
      </c>
      <c r="Q5310" s="1">
        <v>18.100000000000001</v>
      </c>
      <c r="R5310" s="1">
        <v>7.5</v>
      </c>
      <c r="S5310" s="1">
        <v>80</v>
      </c>
      <c r="V5310" s="31"/>
    </row>
    <row r="5311" spans="2:43" x14ac:dyDescent="0.3">
      <c r="B5311" s="27" t="s">
        <v>513</v>
      </c>
      <c r="C5311" s="1" t="s">
        <v>514</v>
      </c>
      <c r="D5311" s="1">
        <v>2017</v>
      </c>
      <c r="E5311" s="28">
        <v>8</v>
      </c>
      <c r="F5311" s="1" t="s">
        <v>179</v>
      </c>
      <c r="G5311" s="4">
        <v>42978</v>
      </c>
      <c r="H5311" s="30">
        <v>6594617</v>
      </c>
      <c r="I5311" s="28">
        <v>666322</v>
      </c>
      <c r="J5311" s="1" t="s">
        <v>515</v>
      </c>
      <c r="K5311" s="29">
        <v>3</v>
      </c>
      <c r="M5311" s="29">
        <v>5</v>
      </c>
      <c r="Q5311" s="1">
        <v>18</v>
      </c>
      <c r="R5311" s="1">
        <v>6.9</v>
      </c>
      <c r="S5311" s="1">
        <v>74</v>
      </c>
      <c r="V5311" s="31"/>
    </row>
    <row r="5312" spans="2:43" x14ac:dyDescent="0.3">
      <c r="B5312" s="27" t="s">
        <v>513</v>
      </c>
      <c r="C5312" s="1" t="s">
        <v>514</v>
      </c>
      <c r="D5312" s="1">
        <v>2017</v>
      </c>
      <c r="E5312" s="28">
        <v>8</v>
      </c>
      <c r="F5312" s="1" t="s">
        <v>179</v>
      </c>
      <c r="G5312" s="4">
        <v>42978</v>
      </c>
      <c r="H5312" s="30">
        <v>6594617</v>
      </c>
      <c r="I5312" s="28">
        <v>666322</v>
      </c>
      <c r="J5312" s="1" t="s">
        <v>515</v>
      </c>
      <c r="K5312" s="29">
        <v>3</v>
      </c>
      <c r="M5312" s="29">
        <v>6</v>
      </c>
      <c r="Q5312" s="1">
        <v>17.899999999999999</v>
      </c>
      <c r="R5312" s="1">
        <v>7</v>
      </c>
      <c r="S5312" s="1">
        <v>74</v>
      </c>
      <c r="V5312" s="31"/>
    </row>
    <row r="5313" spans="2:43" x14ac:dyDescent="0.3">
      <c r="B5313" s="27" t="s">
        <v>513</v>
      </c>
      <c r="C5313" s="1" t="s">
        <v>514</v>
      </c>
      <c r="D5313" s="1">
        <v>2017</v>
      </c>
      <c r="E5313" s="28">
        <v>8</v>
      </c>
      <c r="F5313" s="1" t="s">
        <v>179</v>
      </c>
      <c r="G5313" s="4">
        <v>42978</v>
      </c>
      <c r="H5313" s="30">
        <v>6594617</v>
      </c>
      <c r="I5313" s="28">
        <v>666322</v>
      </c>
      <c r="J5313" s="1" t="s">
        <v>515</v>
      </c>
      <c r="K5313" s="29">
        <v>3</v>
      </c>
      <c r="M5313" s="29">
        <v>7</v>
      </c>
      <c r="Q5313" s="1">
        <v>17.899999999999999</v>
      </c>
      <c r="R5313" s="1">
        <v>6.9</v>
      </c>
      <c r="S5313" s="1">
        <v>73</v>
      </c>
      <c r="V5313" s="31"/>
    </row>
    <row r="5314" spans="2:43" x14ac:dyDescent="0.3">
      <c r="B5314" s="27" t="s">
        <v>513</v>
      </c>
      <c r="C5314" s="1" t="s">
        <v>514</v>
      </c>
      <c r="D5314" s="1">
        <v>2017</v>
      </c>
      <c r="E5314" s="28">
        <v>8</v>
      </c>
      <c r="F5314" s="1" t="s">
        <v>179</v>
      </c>
      <c r="G5314" s="4">
        <v>42978</v>
      </c>
      <c r="H5314" s="30">
        <v>6594617</v>
      </c>
      <c r="I5314" s="28">
        <v>666322</v>
      </c>
      <c r="J5314" s="1" t="s">
        <v>515</v>
      </c>
      <c r="K5314" s="29">
        <v>3</v>
      </c>
      <c r="M5314" s="29">
        <v>8</v>
      </c>
      <c r="Q5314" s="1">
        <v>17.8</v>
      </c>
      <c r="R5314" s="1">
        <v>6.4</v>
      </c>
      <c r="S5314" s="1">
        <v>68</v>
      </c>
      <c r="V5314" s="31"/>
    </row>
    <row r="5315" spans="2:43" x14ac:dyDescent="0.3">
      <c r="B5315" s="27" t="s">
        <v>513</v>
      </c>
      <c r="C5315" s="1" t="s">
        <v>514</v>
      </c>
      <c r="D5315" s="1">
        <v>2017</v>
      </c>
      <c r="E5315" s="28">
        <v>8</v>
      </c>
      <c r="F5315" s="1" t="s">
        <v>179</v>
      </c>
      <c r="G5315" s="4">
        <v>42978</v>
      </c>
      <c r="H5315" s="30">
        <v>6594617</v>
      </c>
      <c r="I5315" s="28">
        <v>666322</v>
      </c>
      <c r="J5315" s="1" t="s">
        <v>515</v>
      </c>
      <c r="K5315" s="29">
        <v>3</v>
      </c>
      <c r="M5315" s="29">
        <v>9</v>
      </c>
      <c r="Q5315" s="1">
        <v>17.5</v>
      </c>
      <c r="R5315" s="1">
        <v>3.4</v>
      </c>
      <c r="S5315" s="1">
        <v>36</v>
      </c>
      <c r="V5315" s="31"/>
      <c r="AM5315" s="20" t="s">
        <v>1298</v>
      </c>
      <c r="AN5315" s="20" t="s">
        <v>1298</v>
      </c>
      <c r="AO5315" s="20" t="s">
        <v>1298</v>
      </c>
      <c r="AP5315" s="20"/>
      <c r="AQ5315" s="20"/>
    </row>
    <row r="5316" spans="2:43" x14ac:dyDescent="0.3">
      <c r="B5316" s="27" t="s">
        <v>513</v>
      </c>
      <c r="C5316" s="1" t="s">
        <v>514</v>
      </c>
      <c r="D5316" s="1">
        <v>2017</v>
      </c>
      <c r="E5316" s="28">
        <v>8</v>
      </c>
      <c r="F5316" s="1" t="s">
        <v>179</v>
      </c>
      <c r="G5316" s="4">
        <v>42978</v>
      </c>
      <c r="H5316" s="30">
        <v>6594617</v>
      </c>
      <c r="I5316" s="28">
        <v>666322</v>
      </c>
      <c r="J5316" s="1" t="s">
        <v>515</v>
      </c>
      <c r="K5316" s="29">
        <v>3</v>
      </c>
      <c r="M5316" s="29">
        <v>10</v>
      </c>
      <c r="Q5316" s="1">
        <v>16</v>
      </c>
      <c r="R5316" s="1">
        <v>0.9</v>
      </c>
      <c r="S5316" s="1">
        <v>9</v>
      </c>
      <c r="V5316" s="31"/>
    </row>
    <row r="5317" spans="2:43" x14ac:dyDescent="0.3">
      <c r="B5317" s="27" t="s">
        <v>513</v>
      </c>
      <c r="C5317" s="1" t="s">
        <v>514</v>
      </c>
      <c r="D5317" s="1">
        <v>2017</v>
      </c>
      <c r="E5317" s="28">
        <v>8</v>
      </c>
      <c r="F5317" s="1" t="s">
        <v>179</v>
      </c>
      <c r="G5317" s="4">
        <v>42978</v>
      </c>
      <c r="H5317" s="30">
        <v>6594617</v>
      </c>
      <c r="I5317" s="28">
        <v>666322</v>
      </c>
      <c r="J5317" s="1" t="s">
        <v>515</v>
      </c>
      <c r="K5317" s="29">
        <v>3</v>
      </c>
      <c r="M5317" s="29">
        <v>10.5</v>
      </c>
      <c r="Q5317" s="1">
        <v>14.6</v>
      </c>
      <c r="R5317" s="1">
        <v>0.3</v>
      </c>
      <c r="S5317" s="1">
        <v>3</v>
      </c>
      <c r="V5317" s="31"/>
    </row>
    <row r="5318" spans="2:43" x14ac:dyDescent="0.3">
      <c r="B5318" s="27" t="s">
        <v>513</v>
      </c>
      <c r="C5318" s="1" t="s">
        <v>514</v>
      </c>
      <c r="D5318" s="1">
        <v>2017</v>
      </c>
      <c r="E5318" s="28">
        <v>9</v>
      </c>
      <c r="F5318" s="1" t="s">
        <v>180</v>
      </c>
      <c r="G5318" s="4">
        <v>43005</v>
      </c>
      <c r="H5318" s="30">
        <v>6594617</v>
      </c>
      <c r="I5318" s="28">
        <v>666322</v>
      </c>
      <c r="J5318" s="1" t="s">
        <v>515</v>
      </c>
      <c r="K5318" s="29">
        <v>3</v>
      </c>
      <c r="M5318" s="1" t="s">
        <v>177</v>
      </c>
      <c r="Q5318" s="1">
        <v>15.3</v>
      </c>
      <c r="R5318" s="1">
        <v>7.9</v>
      </c>
      <c r="S5318" s="1">
        <v>77</v>
      </c>
      <c r="V5318" s="31"/>
    </row>
    <row r="5319" spans="2:43" x14ac:dyDescent="0.3">
      <c r="B5319" s="27" t="s">
        <v>513</v>
      </c>
      <c r="C5319" s="1" t="s">
        <v>514</v>
      </c>
      <c r="D5319" s="1">
        <v>2017</v>
      </c>
      <c r="E5319" s="28">
        <v>9</v>
      </c>
      <c r="F5319" s="1" t="s">
        <v>180</v>
      </c>
      <c r="G5319" s="4">
        <v>43005</v>
      </c>
      <c r="H5319" s="30">
        <v>6594617</v>
      </c>
      <c r="I5319" s="28">
        <v>666322</v>
      </c>
      <c r="J5319" s="1" t="s">
        <v>515</v>
      </c>
      <c r="K5319" s="29">
        <v>3</v>
      </c>
      <c r="M5319" s="29">
        <v>1</v>
      </c>
      <c r="Q5319" s="1">
        <v>15.2</v>
      </c>
      <c r="R5319" s="1">
        <v>7.9</v>
      </c>
      <c r="S5319" s="1">
        <v>77</v>
      </c>
      <c r="V5319" s="31"/>
    </row>
    <row r="5320" spans="2:43" x14ac:dyDescent="0.3">
      <c r="B5320" s="27" t="s">
        <v>513</v>
      </c>
      <c r="C5320" s="1" t="s">
        <v>514</v>
      </c>
      <c r="D5320" s="1">
        <v>2017</v>
      </c>
      <c r="E5320" s="28">
        <v>9</v>
      </c>
      <c r="F5320" s="1" t="s">
        <v>180</v>
      </c>
      <c r="G5320" s="4">
        <v>43005</v>
      </c>
      <c r="H5320" s="30">
        <v>6594617</v>
      </c>
      <c r="I5320" s="28">
        <v>666322</v>
      </c>
      <c r="J5320" s="1" t="s">
        <v>515</v>
      </c>
      <c r="K5320" s="29">
        <v>3</v>
      </c>
      <c r="M5320" s="29">
        <v>2</v>
      </c>
      <c r="Q5320" s="1">
        <v>15.2</v>
      </c>
      <c r="R5320" s="1">
        <v>7.9</v>
      </c>
      <c r="S5320" s="1">
        <v>76</v>
      </c>
    </row>
    <row r="5321" spans="2:43" x14ac:dyDescent="0.3">
      <c r="B5321" s="27" t="s">
        <v>513</v>
      </c>
      <c r="C5321" s="1" t="s">
        <v>514</v>
      </c>
      <c r="D5321" s="1">
        <v>2017</v>
      </c>
      <c r="E5321" s="28">
        <v>9</v>
      </c>
      <c r="F5321" s="1" t="s">
        <v>180</v>
      </c>
      <c r="G5321" s="4">
        <v>43005</v>
      </c>
      <c r="H5321" s="30">
        <v>6594617</v>
      </c>
      <c r="I5321" s="28">
        <v>666322</v>
      </c>
      <c r="J5321" s="1" t="s">
        <v>515</v>
      </c>
      <c r="K5321" s="29">
        <v>3</v>
      </c>
      <c r="M5321" s="29">
        <v>3</v>
      </c>
      <c r="Q5321" s="1">
        <v>15.1</v>
      </c>
      <c r="R5321" s="1">
        <v>7.9</v>
      </c>
      <c r="S5321" s="1">
        <v>76</v>
      </c>
    </row>
    <row r="5322" spans="2:43" x14ac:dyDescent="0.3">
      <c r="B5322" s="27" t="s">
        <v>513</v>
      </c>
      <c r="C5322" s="1" t="s">
        <v>514</v>
      </c>
      <c r="D5322" s="1">
        <v>2017</v>
      </c>
      <c r="E5322" s="28">
        <v>9</v>
      </c>
      <c r="F5322" s="1" t="s">
        <v>180</v>
      </c>
      <c r="G5322" s="4">
        <v>43005</v>
      </c>
      <c r="H5322" s="30">
        <v>6594617</v>
      </c>
      <c r="I5322" s="28">
        <v>666322</v>
      </c>
      <c r="J5322" s="1" t="s">
        <v>515</v>
      </c>
      <c r="K5322" s="29">
        <v>3</v>
      </c>
      <c r="M5322" s="29">
        <v>4</v>
      </c>
      <c r="Q5322" s="1">
        <v>15.1</v>
      </c>
      <c r="R5322" s="1">
        <v>7.9</v>
      </c>
      <c r="S5322" s="1">
        <v>76</v>
      </c>
    </row>
    <row r="5323" spans="2:43" x14ac:dyDescent="0.3">
      <c r="B5323" s="27" t="s">
        <v>513</v>
      </c>
      <c r="C5323" s="1" t="s">
        <v>514</v>
      </c>
      <c r="D5323" s="1">
        <v>2017</v>
      </c>
      <c r="E5323" s="28">
        <v>9</v>
      </c>
      <c r="F5323" s="1" t="s">
        <v>180</v>
      </c>
      <c r="G5323" s="4">
        <v>43005</v>
      </c>
      <c r="H5323" s="30">
        <v>6594617</v>
      </c>
      <c r="I5323" s="28">
        <v>666322</v>
      </c>
      <c r="J5323" s="1" t="s">
        <v>515</v>
      </c>
      <c r="K5323" s="29">
        <v>3</v>
      </c>
      <c r="M5323" s="29">
        <v>5</v>
      </c>
      <c r="Q5323" s="1">
        <v>15</v>
      </c>
      <c r="R5323" s="1">
        <v>7.8</v>
      </c>
      <c r="S5323" s="1">
        <v>75</v>
      </c>
    </row>
    <row r="5324" spans="2:43" x14ac:dyDescent="0.3">
      <c r="B5324" s="27" t="s">
        <v>513</v>
      </c>
      <c r="C5324" s="1" t="s">
        <v>514</v>
      </c>
      <c r="D5324" s="1">
        <v>2017</v>
      </c>
      <c r="E5324" s="28">
        <v>9</v>
      </c>
      <c r="F5324" s="1" t="s">
        <v>180</v>
      </c>
      <c r="G5324" s="4">
        <v>43005</v>
      </c>
      <c r="H5324" s="30">
        <v>6594617</v>
      </c>
      <c r="I5324" s="28">
        <v>666322</v>
      </c>
      <c r="J5324" s="1" t="s">
        <v>515</v>
      </c>
      <c r="K5324" s="29">
        <v>3</v>
      </c>
      <c r="M5324" s="29">
        <v>6</v>
      </c>
      <c r="Q5324" s="1">
        <v>15</v>
      </c>
      <c r="R5324" s="1">
        <v>7.7</v>
      </c>
      <c r="S5324" s="1">
        <v>74</v>
      </c>
    </row>
    <row r="5325" spans="2:43" x14ac:dyDescent="0.3">
      <c r="B5325" s="27" t="s">
        <v>513</v>
      </c>
      <c r="C5325" s="1" t="s">
        <v>514</v>
      </c>
      <c r="D5325" s="1">
        <v>2017</v>
      </c>
      <c r="E5325" s="28">
        <v>9</v>
      </c>
      <c r="F5325" s="1" t="s">
        <v>180</v>
      </c>
      <c r="G5325" s="4">
        <v>43005</v>
      </c>
      <c r="H5325" s="30">
        <v>6594617</v>
      </c>
      <c r="I5325" s="28">
        <v>666322</v>
      </c>
      <c r="J5325" s="1" t="s">
        <v>515</v>
      </c>
      <c r="K5325" s="29">
        <v>3</v>
      </c>
      <c r="M5325" s="29">
        <v>7</v>
      </c>
      <c r="Q5325" s="1">
        <v>15</v>
      </c>
      <c r="R5325" s="1">
        <v>7.5</v>
      </c>
      <c r="S5325" s="1">
        <v>72</v>
      </c>
    </row>
    <row r="5326" spans="2:43" x14ac:dyDescent="0.3">
      <c r="B5326" s="27" t="s">
        <v>513</v>
      </c>
      <c r="C5326" s="1" t="s">
        <v>514</v>
      </c>
      <c r="D5326" s="1">
        <v>2017</v>
      </c>
      <c r="E5326" s="28">
        <v>9</v>
      </c>
      <c r="F5326" s="1" t="s">
        <v>180</v>
      </c>
      <c r="G5326" s="4">
        <v>43005</v>
      </c>
      <c r="H5326" s="30">
        <v>6594617</v>
      </c>
      <c r="I5326" s="28">
        <v>666322</v>
      </c>
      <c r="J5326" s="1" t="s">
        <v>515</v>
      </c>
      <c r="K5326" s="29">
        <v>3</v>
      </c>
      <c r="M5326" s="29">
        <v>8</v>
      </c>
      <c r="Q5326" s="1">
        <v>14.8</v>
      </c>
      <c r="R5326" s="1">
        <v>6.9</v>
      </c>
      <c r="S5326" s="1">
        <v>66</v>
      </c>
    </row>
    <row r="5327" spans="2:43" x14ac:dyDescent="0.3">
      <c r="B5327" s="27" t="s">
        <v>513</v>
      </c>
      <c r="C5327" s="1" t="s">
        <v>514</v>
      </c>
      <c r="D5327" s="1">
        <v>2017</v>
      </c>
      <c r="E5327" s="28">
        <v>9</v>
      </c>
      <c r="F5327" s="1" t="s">
        <v>180</v>
      </c>
      <c r="G5327" s="4">
        <v>43005</v>
      </c>
      <c r="H5327" s="30">
        <v>6594617</v>
      </c>
      <c r="I5327" s="28">
        <v>666322</v>
      </c>
      <c r="J5327" s="1" t="s">
        <v>515</v>
      </c>
      <c r="K5327" s="29">
        <v>3</v>
      </c>
      <c r="M5327" s="29">
        <v>9</v>
      </c>
      <c r="Q5327" s="1">
        <v>14.7</v>
      </c>
      <c r="R5327" s="1">
        <v>6.4</v>
      </c>
      <c r="S5327" s="1">
        <v>61</v>
      </c>
      <c r="AM5327" s="20" t="s">
        <v>1298</v>
      </c>
      <c r="AN5327" s="20" t="s">
        <v>1298</v>
      </c>
      <c r="AO5327" s="20" t="s">
        <v>1298</v>
      </c>
      <c r="AP5327" s="20"/>
      <c r="AQ5327" s="20"/>
    </row>
    <row r="5328" spans="2:43" x14ac:dyDescent="0.3">
      <c r="B5328" s="27" t="s">
        <v>513</v>
      </c>
      <c r="C5328" s="1" t="s">
        <v>514</v>
      </c>
      <c r="D5328" s="1">
        <v>2017</v>
      </c>
      <c r="E5328" s="28">
        <v>9</v>
      </c>
      <c r="F5328" s="1" t="s">
        <v>180</v>
      </c>
      <c r="G5328" s="4">
        <v>43005</v>
      </c>
      <c r="H5328" s="30">
        <v>6594617</v>
      </c>
      <c r="I5328" s="28">
        <v>666322</v>
      </c>
      <c r="J5328" s="1" t="s">
        <v>515</v>
      </c>
      <c r="K5328" s="29">
        <v>3</v>
      </c>
      <c r="M5328" s="29">
        <v>10</v>
      </c>
      <c r="Q5328" s="1">
        <v>14.6</v>
      </c>
      <c r="R5328" s="1">
        <v>5.9</v>
      </c>
      <c r="S5328" s="1">
        <v>56</v>
      </c>
    </row>
    <row r="5329" spans="2:43" x14ac:dyDescent="0.3">
      <c r="B5329" s="27" t="s">
        <v>513</v>
      </c>
      <c r="C5329" s="1" t="s">
        <v>514</v>
      </c>
      <c r="D5329" s="1">
        <v>2017</v>
      </c>
      <c r="E5329" s="28">
        <v>9</v>
      </c>
      <c r="F5329" s="1" t="s">
        <v>180</v>
      </c>
      <c r="G5329" s="4">
        <v>43005</v>
      </c>
      <c r="H5329" s="30">
        <v>6594617</v>
      </c>
      <c r="I5329" s="28">
        <v>666322</v>
      </c>
      <c r="J5329" s="1" t="s">
        <v>515</v>
      </c>
      <c r="K5329" s="29">
        <v>3</v>
      </c>
      <c r="M5329" s="29">
        <v>10.5</v>
      </c>
      <c r="Q5329" s="1">
        <v>14.5</v>
      </c>
      <c r="R5329" s="1">
        <v>2.7</v>
      </c>
      <c r="S5329" s="1">
        <v>26</v>
      </c>
    </row>
    <row r="5330" spans="2:43" x14ac:dyDescent="0.3">
      <c r="B5330" s="27" t="s">
        <v>513</v>
      </c>
      <c r="C5330" s="1" t="s">
        <v>514</v>
      </c>
      <c r="D5330" s="1">
        <v>2017</v>
      </c>
      <c r="E5330" s="28">
        <v>10</v>
      </c>
      <c r="F5330" s="1" t="s">
        <v>180</v>
      </c>
      <c r="G5330" s="4">
        <v>43033</v>
      </c>
      <c r="H5330" s="30">
        <v>6594617</v>
      </c>
      <c r="I5330" s="28">
        <v>666322</v>
      </c>
      <c r="J5330" s="1" t="s">
        <v>515</v>
      </c>
      <c r="K5330" s="29">
        <v>3</v>
      </c>
      <c r="M5330" s="1" t="s">
        <v>177</v>
      </c>
      <c r="Q5330" s="1">
        <v>9.5299999999999994</v>
      </c>
      <c r="R5330" s="1">
        <v>8.06</v>
      </c>
      <c r="S5330" s="1">
        <v>71.7</v>
      </c>
    </row>
    <row r="5331" spans="2:43" x14ac:dyDescent="0.3">
      <c r="B5331" s="27" t="s">
        <v>513</v>
      </c>
      <c r="C5331" s="1" t="s">
        <v>514</v>
      </c>
      <c r="D5331" s="1">
        <v>2017</v>
      </c>
      <c r="E5331" s="28">
        <v>10</v>
      </c>
      <c r="F5331" s="1" t="s">
        <v>180</v>
      </c>
      <c r="G5331" s="4">
        <v>43033</v>
      </c>
      <c r="H5331" s="30">
        <v>6594617</v>
      </c>
      <c r="I5331" s="28">
        <v>666322</v>
      </c>
      <c r="J5331" s="1" t="s">
        <v>515</v>
      </c>
      <c r="K5331" s="29">
        <v>3</v>
      </c>
      <c r="M5331" s="29">
        <v>1</v>
      </c>
      <c r="Q5331" s="1">
        <v>9.5299999999999994</v>
      </c>
      <c r="R5331" s="1">
        <v>8.16</v>
      </c>
      <c r="S5331" s="1">
        <v>72.599999999999994</v>
      </c>
    </row>
    <row r="5332" spans="2:43" x14ac:dyDescent="0.3">
      <c r="B5332" s="27" t="s">
        <v>513</v>
      </c>
      <c r="C5332" s="1" t="s">
        <v>514</v>
      </c>
      <c r="D5332" s="1">
        <v>2017</v>
      </c>
      <c r="E5332" s="28">
        <v>10</v>
      </c>
      <c r="F5332" s="1" t="s">
        <v>180</v>
      </c>
      <c r="G5332" s="4">
        <v>43033</v>
      </c>
      <c r="H5332" s="30">
        <v>6594617</v>
      </c>
      <c r="I5332" s="28">
        <v>666322</v>
      </c>
      <c r="J5332" s="1" t="s">
        <v>515</v>
      </c>
      <c r="K5332" s="29">
        <v>3</v>
      </c>
      <c r="M5332" s="29">
        <v>2</v>
      </c>
      <c r="Q5332" s="1">
        <v>9.52</v>
      </c>
      <c r="R5332" s="1">
        <v>8.27</v>
      </c>
      <c r="S5332" s="1">
        <v>73.599999999999994</v>
      </c>
    </row>
    <row r="5333" spans="2:43" x14ac:dyDescent="0.3">
      <c r="B5333" s="27" t="s">
        <v>513</v>
      </c>
      <c r="C5333" s="1" t="s">
        <v>514</v>
      </c>
      <c r="D5333" s="1">
        <v>2017</v>
      </c>
      <c r="E5333" s="28">
        <v>10</v>
      </c>
      <c r="F5333" s="1" t="s">
        <v>180</v>
      </c>
      <c r="G5333" s="4">
        <v>43033</v>
      </c>
      <c r="H5333" s="30">
        <v>6594617</v>
      </c>
      <c r="I5333" s="28">
        <v>666322</v>
      </c>
      <c r="J5333" s="1" t="s">
        <v>515</v>
      </c>
      <c r="K5333" s="29">
        <v>3</v>
      </c>
      <c r="M5333" s="29">
        <v>3</v>
      </c>
      <c r="Q5333" s="1">
        <v>9.5299999999999994</v>
      </c>
      <c r="R5333" s="1">
        <v>8.36</v>
      </c>
      <c r="S5333" s="1">
        <v>74.3</v>
      </c>
    </row>
    <row r="5334" spans="2:43" x14ac:dyDescent="0.3">
      <c r="B5334" s="27" t="s">
        <v>513</v>
      </c>
      <c r="C5334" s="1" t="s">
        <v>514</v>
      </c>
      <c r="D5334" s="1">
        <v>2017</v>
      </c>
      <c r="E5334" s="28">
        <v>10</v>
      </c>
      <c r="F5334" s="1" t="s">
        <v>180</v>
      </c>
      <c r="G5334" s="4">
        <v>43033</v>
      </c>
      <c r="H5334" s="30">
        <v>6594617</v>
      </c>
      <c r="I5334" s="28">
        <v>666322</v>
      </c>
      <c r="J5334" s="1" t="s">
        <v>515</v>
      </c>
      <c r="K5334" s="29">
        <v>3</v>
      </c>
      <c r="M5334" s="29">
        <v>4</v>
      </c>
      <c r="Q5334" s="1">
        <v>9.52</v>
      </c>
      <c r="R5334" s="1">
        <v>8.52</v>
      </c>
      <c r="S5334" s="1">
        <v>75.7</v>
      </c>
    </row>
    <row r="5335" spans="2:43" x14ac:dyDescent="0.3">
      <c r="B5335" s="27" t="s">
        <v>513</v>
      </c>
      <c r="C5335" s="1" t="s">
        <v>514</v>
      </c>
      <c r="D5335" s="1">
        <v>2017</v>
      </c>
      <c r="E5335" s="28">
        <v>10</v>
      </c>
      <c r="F5335" s="1" t="s">
        <v>180</v>
      </c>
      <c r="G5335" s="4">
        <v>43033</v>
      </c>
      <c r="H5335" s="30">
        <v>6594617</v>
      </c>
      <c r="I5335" s="28">
        <v>666322</v>
      </c>
      <c r="J5335" s="1" t="s">
        <v>515</v>
      </c>
      <c r="K5335" s="29">
        <v>3</v>
      </c>
      <c r="M5335" s="29">
        <v>5</v>
      </c>
      <c r="Q5335" s="1">
        <v>9.5</v>
      </c>
      <c r="R5335" s="1">
        <v>8.6300000000000008</v>
      </c>
      <c r="S5335" s="1">
        <v>76.599999999999994</v>
      </c>
    </row>
    <row r="5336" spans="2:43" x14ac:dyDescent="0.3">
      <c r="B5336" s="27" t="s">
        <v>513</v>
      </c>
      <c r="C5336" s="1" t="s">
        <v>514</v>
      </c>
      <c r="D5336" s="1">
        <v>2017</v>
      </c>
      <c r="E5336" s="28">
        <v>10</v>
      </c>
      <c r="F5336" s="1" t="s">
        <v>180</v>
      </c>
      <c r="G5336" s="4">
        <v>43033</v>
      </c>
      <c r="H5336" s="30">
        <v>6594617</v>
      </c>
      <c r="I5336" s="28">
        <v>666322</v>
      </c>
      <c r="J5336" s="1" t="s">
        <v>515</v>
      </c>
      <c r="K5336" s="29">
        <v>3</v>
      </c>
      <c r="M5336" s="29">
        <v>6</v>
      </c>
      <c r="Q5336" s="1">
        <v>9.52</v>
      </c>
      <c r="R5336" s="1">
        <v>8.7100000000000009</v>
      </c>
      <c r="S5336" s="1">
        <v>77.400000000000006</v>
      </c>
      <c r="W5336" s="31"/>
    </row>
    <row r="5337" spans="2:43" x14ac:dyDescent="0.3">
      <c r="B5337" s="27" t="s">
        <v>513</v>
      </c>
      <c r="C5337" s="1" t="s">
        <v>514</v>
      </c>
      <c r="D5337" s="1">
        <v>2017</v>
      </c>
      <c r="E5337" s="28">
        <v>10</v>
      </c>
      <c r="F5337" s="1" t="s">
        <v>180</v>
      </c>
      <c r="G5337" s="4">
        <v>43033</v>
      </c>
      <c r="H5337" s="30">
        <v>6594617</v>
      </c>
      <c r="I5337" s="28">
        <v>666322</v>
      </c>
      <c r="J5337" s="1" t="s">
        <v>515</v>
      </c>
      <c r="K5337" s="29">
        <v>3</v>
      </c>
      <c r="M5337" s="29">
        <v>7</v>
      </c>
      <c r="Q5337" s="1">
        <v>9.5</v>
      </c>
      <c r="R5337" s="1">
        <v>8.75</v>
      </c>
      <c r="S5337" s="1">
        <v>77.7</v>
      </c>
      <c r="W5337" s="31"/>
    </row>
    <row r="5338" spans="2:43" x14ac:dyDescent="0.3">
      <c r="B5338" s="27" t="s">
        <v>513</v>
      </c>
      <c r="C5338" s="1" t="s">
        <v>514</v>
      </c>
      <c r="D5338" s="1">
        <v>2017</v>
      </c>
      <c r="E5338" s="28">
        <v>10</v>
      </c>
      <c r="F5338" s="1" t="s">
        <v>180</v>
      </c>
      <c r="G5338" s="4">
        <v>43033</v>
      </c>
      <c r="H5338" s="30">
        <v>6594617</v>
      </c>
      <c r="I5338" s="28">
        <v>666322</v>
      </c>
      <c r="J5338" s="1" t="s">
        <v>515</v>
      </c>
      <c r="K5338" s="29">
        <v>3</v>
      </c>
      <c r="M5338" s="29">
        <v>8</v>
      </c>
      <c r="Q5338" s="1">
        <v>9.48</v>
      </c>
      <c r="R5338" s="1">
        <v>8.84</v>
      </c>
      <c r="S5338" s="1">
        <v>78.3</v>
      </c>
      <c r="W5338" s="31"/>
    </row>
    <row r="5339" spans="2:43" x14ac:dyDescent="0.3">
      <c r="B5339" s="27" t="s">
        <v>513</v>
      </c>
      <c r="C5339" s="1" t="s">
        <v>514</v>
      </c>
      <c r="D5339" s="1">
        <v>2017</v>
      </c>
      <c r="E5339" s="28">
        <v>10</v>
      </c>
      <c r="F5339" s="1" t="s">
        <v>180</v>
      </c>
      <c r="G5339" s="4">
        <v>43033</v>
      </c>
      <c r="H5339" s="30">
        <v>6594617</v>
      </c>
      <c r="I5339" s="28">
        <v>666322</v>
      </c>
      <c r="J5339" s="1" t="s">
        <v>515</v>
      </c>
      <c r="K5339" s="29">
        <v>3</v>
      </c>
      <c r="M5339" s="29">
        <v>9</v>
      </c>
      <c r="Q5339" s="1">
        <v>9.4700000000000006</v>
      </c>
      <c r="R5339" s="1">
        <v>8.9</v>
      </c>
      <c r="S5339" s="1">
        <v>78.900000000000006</v>
      </c>
      <c r="W5339" s="31"/>
      <c r="AM5339" s="20" t="s">
        <v>1298</v>
      </c>
      <c r="AN5339" s="20" t="s">
        <v>1298</v>
      </c>
      <c r="AO5339" s="20" t="s">
        <v>1298</v>
      </c>
      <c r="AP5339" s="20"/>
      <c r="AQ5339" s="20"/>
    </row>
    <row r="5340" spans="2:43" x14ac:dyDescent="0.3">
      <c r="B5340" s="27" t="s">
        <v>513</v>
      </c>
      <c r="C5340" s="1" t="s">
        <v>514</v>
      </c>
      <c r="D5340" s="1">
        <v>2017</v>
      </c>
      <c r="E5340" s="28">
        <v>10</v>
      </c>
      <c r="F5340" s="1" t="s">
        <v>180</v>
      </c>
      <c r="G5340" s="4">
        <v>43033</v>
      </c>
      <c r="H5340" s="30">
        <v>6594617</v>
      </c>
      <c r="I5340" s="28">
        <v>666322</v>
      </c>
      <c r="J5340" s="1" t="s">
        <v>515</v>
      </c>
      <c r="K5340" s="29">
        <v>3</v>
      </c>
      <c r="M5340" s="29">
        <v>10</v>
      </c>
      <c r="Q5340" s="1">
        <v>9.43</v>
      </c>
      <c r="R5340" s="1">
        <v>8.93</v>
      </c>
      <c r="S5340" s="1">
        <v>79.099999999999994</v>
      </c>
      <c r="W5340" s="31"/>
    </row>
    <row r="5341" spans="2:43" x14ac:dyDescent="0.3">
      <c r="B5341" s="27" t="s">
        <v>513</v>
      </c>
      <c r="C5341" s="1" t="s">
        <v>514</v>
      </c>
      <c r="D5341" s="1">
        <v>2017</v>
      </c>
      <c r="E5341" s="28">
        <v>10</v>
      </c>
      <c r="F5341" s="1" t="s">
        <v>180</v>
      </c>
      <c r="G5341" s="4">
        <v>43033</v>
      </c>
      <c r="H5341" s="30">
        <v>6594617</v>
      </c>
      <c r="I5341" s="28">
        <v>666322</v>
      </c>
      <c r="J5341" s="1" t="s">
        <v>515</v>
      </c>
      <c r="K5341" s="29">
        <v>3</v>
      </c>
      <c r="M5341" s="29">
        <v>10.5</v>
      </c>
      <c r="Q5341" s="1">
        <v>9.42</v>
      </c>
      <c r="R5341" s="1">
        <v>8.94</v>
      </c>
      <c r="S5341" s="1">
        <v>79.400000000000006</v>
      </c>
      <c r="W5341" s="31"/>
    </row>
    <row r="5342" spans="2:43" x14ac:dyDescent="0.3">
      <c r="B5342" s="27" t="s">
        <v>513</v>
      </c>
      <c r="C5342" s="1" t="s">
        <v>514</v>
      </c>
      <c r="D5342" s="1">
        <v>2017</v>
      </c>
      <c r="E5342" s="28">
        <v>11</v>
      </c>
      <c r="G5342" s="4">
        <v>43060</v>
      </c>
      <c r="H5342" s="30">
        <v>6594617</v>
      </c>
      <c r="I5342" s="28">
        <v>666322</v>
      </c>
      <c r="J5342" s="1" t="s">
        <v>515</v>
      </c>
      <c r="K5342" s="29">
        <v>3</v>
      </c>
      <c r="M5342" s="1" t="s">
        <v>177</v>
      </c>
      <c r="Q5342" s="1">
        <v>4.3</v>
      </c>
      <c r="R5342" s="1">
        <v>9.6999999999999993</v>
      </c>
      <c r="S5342" s="1">
        <v>75</v>
      </c>
      <c r="W5342" s="31"/>
    </row>
    <row r="5343" spans="2:43" x14ac:dyDescent="0.3">
      <c r="B5343" s="27" t="s">
        <v>513</v>
      </c>
      <c r="C5343" s="1" t="s">
        <v>514</v>
      </c>
      <c r="D5343" s="1">
        <v>2017</v>
      </c>
      <c r="E5343" s="28">
        <v>11</v>
      </c>
      <c r="G5343" s="4">
        <v>43060</v>
      </c>
      <c r="H5343" s="30">
        <v>6594617</v>
      </c>
      <c r="I5343" s="28">
        <v>666322</v>
      </c>
      <c r="J5343" s="1" t="s">
        <v>515</v>
      </c>
      <c r="K5343" s="29">
        <v>3</v>
      </c>
      <c r="M5343" s="29">
        <v>1</v>
      </c>
      <c r="Q5343" s="1">
        <v>4.3</v>
      </c>
      <c r="R5343" s="1">
        <v>9.6999999999999993</v>
      </c>
      <c r="S5343" s="1">
        <v>75</v>
      </c>
      <c r="W5343" s="31"/>
    </row>
    <row r="5344" spans="2:43" x14ac:dyDescent="0.3">
      <c r="B5344" s="27" t="s">
        <v>513</v>
      </c>
      <c r="C5344" s="1" t="s">
        <v>514</v>
      </c>
      <c r="D5344" s="1">
        <v>2017</v>
      </c>
      <c r="E5344" s="28">
        <v>11</v>
      </c>
      <c r="G5344" s="4">
        <v>43060</v>
      </c>
      <c r="H5344" s="30">
        <v>6594617</v>
      </c>
      <c r="I5344" s="28">
        <v>666322</v>
      </c>
      <c r="J5344" s="1" t="s">
        <v>515</v>
      </c>
      <c r="K5344" s="29">
        <v>3</v>
      </c>
      <c r="M5344" s="29">
        <v>2</v>
      </c>
      <c r="Q5344" s="1">
        <v>4.3</v>
      </c>
      <c r="R5344" s="1">
        <v>9.6999999999999993</v>
      </c>
      <c r="S5344" s="1">
        <v>75</v>
      </c>
      <c r="W5344" s="31"/>
    </row>
    <row r="5345" spans="2:50" x14ac:dyDescent="0.3">
      <c r="B5345" s="27" t="s">
        <v>513</v>
      </c>
      <c r="C5345" s="1" t="s">
        <v>514</v>
      </c>
      <c r="D5345" s="1">
        <v>2017</v>
      </c>
      <c r="E5345" s="28">
        <v>11</v>
      </c>
      <c r="G5345" s="4">
        <v>43060</v>
      </c>
      <c r="H5345" s="30">
        <v>6594617</v>
      </c>
      <c r="I5345" s="28">
        <v>666322</v>
      </c>
      <c r="J5345" s="1" t="s">
        <v>515</v>
      </c>
      <c r="K5345" s="29">
        <v>3</v>
      </c>
      <c r="M5345" s="29">
        <v>3</v>
      </c>
      <c r="Q5345" s="1">
        <v>4.3</v>
      </c>
      <c r="R5345" s="1">
        <v>9.6999999999999993</v>
      </c>
      <c r="S5345" s="1">
        <v>75</v>
      </c>
      <c r="W5345" s="31"/>
    </row>
    <row r="5346" spans="2:50" x14ac:dyDescent="0.3">
      <c r="B5346" s="27" t="s">
        <v>513</v>
      </c>
      <c r="C5346" s="1" t="s">
        <v>514</v>
      </c>
      <c r="D5346" s="1">
        <v>2017</v>
      </c>
      <c r="E5346" s="28">
        <v>11</v>
      </c>
      <c r="G5346" s="4">
        <v>43060</v>
      </c>
      <c r="H5346" s="30">
        <v>6594617</v>
      </c>
      <c r="I5346" s="28">
        <v>666322</v>
      </c>
      <c r="J5346" s="1" t="s">
        <v>515</v>
      </c>
      <c r="K5346" s="29">
        <v>3</v>
      </c>
      <c r="M5346" s="29">
        <v>4</v>
      </c>
      <c r="Q5346" s="1">
        <v>4.3</v>
      </c>
      <c r="R5346" s="1">
        <v>9.6999999999999993</v>
      </c>
      <c r="S5346" s="1">
        <v>74</v>
      </c>
      <c r="W5346" s="31"/>
    </row>
    <row r="5347" spans="2:50" x14ac:dyDescent="0.3">
      <c r="B5347" s="27" t="s">
        <v>513</v>
      </c>
      <c r="C5347" s="1" t="s">
        <v>514</v>
      </c>
      <c r="D5347" s="1">
        <v>2017</v>
      </c>
      <c r="E5347" s="28">
        <v>11</v>
      </c>
      <c r="G5347" s="4">
        <v>43060</v>
      </c>
      <c r="H5347" s="30">
        <v>6594617</v>
      </c>
      <c r="I5347" s="28">
        <v>666322</v>
      </c>
      <c r="J5347" s="1" t="s">
        <v>515</v>
      </c>
      <c r="K5347" s="29">
        <v>3</v>
      </c>
      <c r="M5347" s="29">
        <v>5</v>
      </c>
      <c r="Q5347" s="1">
        <v>4.3</v>
      </c>
      <c r="R5347" s="1">
        <v>9.6999999999999993</v>
      </c>
      <c r="S5347" s="1">
        <v>74</v>
      </c>
      <c r="W5347" s="31"/>
    </row>
    <row r="5348" spans="2:50" x14ac:dyDescent="0.3">
      <c r="B5348" s="27" t="s">
        <v>513</v>
      </c>
      <c r="C5348" s="1" t="s">
        <v>514</v>
      </c>
      <c r="D5348" s="1">
        <v>2017</v>
      </c>
      <c r="E5348" s="28">
        <v>11</v>
      </c>
      <c r="G5348" s="4">
        <v>43060</v>
      </c>
      <c r="H5348" s="30">
        <v>6594617</v>
      </c>
      <c r="I5348" s="28">
        <v>666322</v>
      </c>
      <c r="J5348" s="1" t="s">
        <v>515</v>
      </c>
      <c r="K5348" s="29">
        <v>3</v>
      </c>
      <c r="M5348" s="29">
        <v>6</v>
      </c>
      <c r="Q5348" s="1">
        <v>4.3</v>
      </c>
      <c r="R5348" s="1">
        <v>9.6999999999999993</v>
      </c>
      <c r="S5348" s="1">
        <v>74</v>
      </c>
      <c r="W5348" s="31"/>
    </row>
    <row r="5349" spans="2:50" x14ac:dyDescent="0.3">
      <c r="B5349" s="27" t="s">
        <v>513</v>
      </c>
      <c r="C5349" s="1" t="s">
        <v>514</v>
      </c>
      <c r="D5349" s="1">
        <v>2017</v>
      </c>
      <c r="E5349" s="28">
        <v>11</v>
      </c>
      <c r="G5349" s="4">
        <v>43060</v>
      </c>
      <c r="H5349" s="30">
        <v>6594617</v>
      </c>
      <c r="I5349" s="28">
        <v>666322</v>
      </c>
      <c r="J5349" s="1" t="s">
        <v>515</v>
      </c>
      <c r="K5349" s="29">
        <v>3</v>
      </c>
      <c r="M5349" s="29">
        <v>7</v>
      </c>
      <c r="Q5349" s="1">
        <v>4.3</v>
      </c>
      <c r="R5349" s="1">
        <v>9.6999999999999993</v>
      </c>
      <c r="S5349" s="1">
        <v>74</v>
      </c>
      <c r="W5349" s="31"/>
    </row>
    <row r="5350" spans="2:50" x14ac:dyDescent="0.3">
      <c r="B5350" s="27" t="s">
        <v>513</v>
      </c>
      <c r="C5350" s="1" t="s">
        <v>514</v>
      </c>
      <c r="D5350" s="1">
        <v>2017</v>
      </c>
      <c r="E5350" s="28">
        <v>11</v>
      </c>
      <c r="G5350" s="4">
        <v>43060</v>
      </c>
      <c r="H5350" s="30">
        <v>6594617</v>
      </c>
      <c r="I5350" s="28">
        <v>666322</v>
      </c>
      <c r="J5350" s="1" t="s">
        <v>515</v>
      </c>
      <c r="K5350" s="29">
        <v>3</v>
      </c>
      <c r="M5350" s="29">
        <v>8</v>
      </c>
      <c r="Q5350" s="1">
        <v>4.3</v>
      </c>
      <c r="R5350" s="1">
        <v>9.6</v>
      </c>
      <c r="S5350" s="1">
        <v>74</v>
      </c>
      <c r="W5350" s="31"/>
    </row>
    <row r="5351" spans="2:50" x14ac:dyDescent="0.3">
      <c r="B5351" s="27" t="s">
        <v>513</v>
      </c>
      <c r="C5351" s="1" t="s">
        <v>514</v>
      </c>
      <c r="D5351" s="1">
        <v>2017</v>
      </c>
      <c r="E5351" s="28">
        <v>11</v>
      </c>
      <c r="G5351" s="4">
        <v>43060</v>
      </c>
      <c r="H5351" s="30">
        <v>6594617</v>
      </c>
      <c r="I5351" s="28">
        <v>666322</v>
      </c>
      <c r="J5351" s="1" t="s">
        <v>515</v>
      </c>
      <c r="K5351" s="29">
        <v>3</v>
      </c>
      <c r="M5351" s="29">
        <v>9</v>
      </c>
      <c r="Q5351" s="1">
        <v>4.3</v>
      </c>
      <c r="R5351" s="1">
        <v>9.6999999999999993</v>
      </c>
      <c r="S5351" s="1">
        <v>74</v>
      </c>
      <c r="Z5351" s="31"/>
    </row>
    <row r="5352" spans="2:50" x14ac:dyDescent="0.3">
      <c r="B5352" s="27" t="s">
        <v>513</v>
      </c>
      <c r="C5352" s="1" t="s">
        <v>514</v>
      </c>
      <c r="D5352" s="1">
        <v>2017</v>
      </c>
      <c r="E5352" s="28">
        <v>11</v>
      </c>
      <c r="G5352" s="4">
        <v>43060</v>
      </c>
      <c r="H5352" s="30">
        <v>6594617</v>
      </c>
      <c r="I5352" s="28">
        <v>666322</v>
      </c>
      <c r="J5352" s="1" t="s">
        <v>515</v>
      </c>
      <c r="K5352" s="29">
        <v>3</v>
      </c>
      <c r="M5352" s="29">
        <v>10</v>
      </c>
      <c r="Q5352" s="1">
        <v>4.3</v>
      </c>
      <c r="R5352" s="1">
        <v>9.6</v>
      </c>
      <c r="S5352" s="1">
        <v>74</v>
      </c>
      <c r="Z5352" s="31"/>
    </row>
    <row r="5353" spans="2:50" x14ac:dyDescent="0.3">
      <c r="B5353" s="27" t="s">
        <v>513</v>
      </c>
      <c r="C5353" s="1" t="s">
        <v>514</v>
      </c>
      <c r="D5353" s="1">
        <v>2017</v>
      </c>
      <c r="E5353" s="28">
        <v>7</v>
      </c>
      <c r="G5353" s="4">
        <v>42942</v>
      </c>
      <c r="H5353" s="30">
        <v>6594617</v>
      </c>
      <c r="I5353" s="28">
        <v>666322</v>
      </c>
      <c r="J5353" s="1" t="s">
        <v>515</v>
      </c>
      <c r="K5353" s="29">
        <v>3</v>
      </c>
      <c r="M5353" s="29">
        <v>10.5</v>
      </c>
      <c r="Q5353" s="1">
        <v>4.4000000000000004</v>
      </c>
      <c r="R5353" s="1">
        <v>9.6</v>
      </c>
      <c r="S5353" s="1">
        <v>74</v>
      </c>
      <c r="Z5353" s="31"/>
    </row>
    <row r="5354" spans="2:50" x14ac:dyDescent="0.3">
      <c r="B5354" s="32" t="s">
        <v>517</v>
      </c>
      <c r="C5354" s="1" t="s">
        <v>514</v>
      </c>
      <c r="D5354" s="1">
        <v>2018</v>
      </c>
      <c r="E5354" s="28">
        <v>4</v>
      </c>
      <c r="F5354" s="1" t="s">
        <v>178</v>
      </c>
      <c r="G5354" s="4">
        <v>43213</v>
      </c>
      <c r="H5354" s="12">
        <v>6598995</v>
      </c>
      <c r="I5354" s="12">
        <v>667864</v>
      </c>
      <c r="J5354" s="1" t="s">
        <v>186</v>
      </c>
      <c r="K5354" s="29">
        <v>1</v>
      </c>
      <c r="L5354" s="1" t="s">
        <v>331</v>
      </c>
      <c r="M5354" s="29">
        <v>0.2</v>
      </c>
      <c r="Z5354" s="31"/>
      <c r="AJ5354" s="1">
        <v>9.5</v>
      </c>
      <c r="AR5354" s="1">
        <v>44</v>
      </c>
      <c r="AU5354" s="1">
        <v>6.2</v>
      </c>
      <c r="AV5354" s="1">
        <v>37</v>
      </c>
      <c r="AW5354" s="1">
        <v>24</v>
      </c>
      <c r="AX5354" s="1">
        <v>34</v>
      </c>
    </row>
    <row r="5355" spans="2:50" x14ac:dyDescent="0.3">
      <c r="B5355" s="32" t="s">
        <v>517</v>
      </c>
      <c r="C5355" s="1" t="s">
        <v>514</v>
      </c>
      <c r="D5355" s="1">
        <v>2018</v>
      </c>
      <c r="E5355" s="28">
        <v>4</v>
      </c>
      <c r="F5355" s="1" t="s">
        <v>178</v>
      </c>
      <c r="G5355" s="4">
        <v>43213</v>
      </c>
      <c r="H5355" s="12">
        <v>6598995</v>
      </c>
      <c r="I5355" s="12">
        <v>667864</v>
      </c>
      <c r="J5355" s="1" t="s">
        <v>186</v>
      </c>
      <c r="K5355" s="29">
        <v>1</v>
      </c>
      <c r="L5355" s="1" t="s">
        <v>331</v>
      </c>
      <c r="M5355" s="29">
        <v>0.5</v>
      </c>
      <c r="Q5355" s="1">
        <v>10.7</v>
      </c>
      <c r="R5355" s="1">
        <v>11.1</v>
      </c>
      <c r="S5355" s="1">
        <v>99</v>
      </c>
      <c r="Z5355" s="31"/>
    </row>
    <row r="5356" spans="2:50" x14ac:dyDescent="0.3">
      <c r="B5356" s="32" t="s">
        <v>517</v>
      </c>
      <c r="C5356" s="1" t="s">
        <v>514</v>
      </c>
      <c r="D5356" s="1">
        <v>2018</v>
      </c>
      <c r="E5356" s="28">
        <v>4</v>
      </c>
      <c r="F5356" s="1" t="s">
        <v>178</v>
      </c>
      <c r="G5356" s="4">
        <v>43213</v>
      </c>
      <c r="H5356" s="12">
        <v>6598995</v>
      </c>
      <c r="I5356" s="12">
        <v>667864</v>
      </c>
      <c r="J5356" s="1" t="s">
        <v>186</v>
      </c>
      <c r="K5356" s="29">
        <v>1</v>
      </c>
      <c r="L5356" s="1" t="s">
        <v>331</v>
      </c>
      <c r="M5356" s="29">
        <v>1</v>
      </c>
      <c r="Q5356" s="1">
        <v>9.4</v>
      </c>
      <c r="R5356" s="1">
        <v>11</v>
      </c>
      <c r="S5356" s="1">
        <v>96</v>
      </c>
      <c r="Z5356" s="31"/>
    </row>
    <row r="5357" spans="2:50" x14ac:dyDescent="0.3">
      <c r="B5357" s="32" t="s">
        <v>517</v>
      </c>
      <c r="C5357" s="1" t="s">
        <v>514</v>
      </c>
      <c r="D5357" s="1">
        <v>2018</v>
      </c>
      <c r="E5357" s="28">
        <v>4</v>
      </c>
      <c r="F5357" s="1" t="s">
        <v>178</v>
      </c>
      <c r="G5357" s="4">
        <v>43213</v>
      </c>
      <c r="H5357" s="12">
        <v>6598995</v>
      </c>
      <c r="I5357" s="12">
        <v>667864</v>
      </c>
      <c r="J5357" s="1" t="s">
        <v>186</v>
      </c>
      <c r="K5357" s="29">
        <v>1</v>
      </c>
      <c r="L5357" s="1" t="s">
        <v>331</v>
      </c>
      <c r="M5357" s="29">
        <v>2</v>
      </c>
      <c r="Q5357" s="1">
        <v>8.5</v>
      </c>
      <c r="R5357" s="1">
        <v>9.6999999999999993</v>
      </c>
      <c r="S5357" s="1">
        <v>83</v>
      </c>
      <c r="Z5357" s="31"/>
    </row>
    <row r="5358" spans="2:50" x14ac:dyDescent="0.3">
      <c r="B5358" s="32" t="s">
        <v>517</v>
      </c>
      <c r="C5358" s="1" t="s">
        <v>514</v>
      </c>
      <c r="D5358" s="1">
        <v>2018</v>
      </c>
      <c r="E5358" s="28">
        <v>4</v>
      </c>
      <c r="F5358" s="1" t="s">
        <v>178</v>
      </c>
      <c r="G5358" s="4">
        <v>43213</v>
      </c>
      <c r="H5358" s="12">
        <v>6598995</v>
      </c>
      <c r="I5358" s="12">
        <v>667864</v>
      </c>
      <c r="J5358" s="1" t="s">
        <v>186</v>
      </c>
      <c r="K5358" s="29">
        <v>1</v>
      </c>
      <c r="L5358" s="1" t="s">
        <v>331</v>
      </c>
      <c r="M5358" s="29">
        <v>2.5</v>
      </c>
      <c r="Q5358" s="1">
        <v>8</v>
      </c>
      <c r="R5358" s="1">
        <v>8.5</v>
      </c>
      <c r="S5358" s="1">
        <v>72</v>
      </c>
      <c r="Z5358" s="31"/>
    </row>
    <row r="5359" spans="2:50" x14ac:dyDescent="0.3">
      <c r="B5359" s="32" t="s">
        <v>517</v>
      </c>
      <c r="C5359" s="1" t="s">
        <v>514</v>
      </c>
      <c r="D5359" s="1">
        <v>2018</v>
      </c>
      <c r="E5359" s="28">
        <v>2</v>
      </c>
      <c r="F5359" s="1" t="s">
        <v>175</v>
      </c>
      <c r="G5359" s="4">
        <v>43157</v>
      </c>
      <c r="H5359" s="12">
        <v>6594617</v>
      </c>
      <c r="I5359" s="12">
        <v>666322</v>
      </c>
      <c r="J5359" s="1" t="s">
        <v>186</v>
      </c>
      <c r="K5359" s="29">
        <v>3</v>
      </c>
      <c r="L5359" s="1" t="s">
        <v>337</v>
      </c>
      <c r="M5359" s="29">
        <v>0.5</v>
      </c>
      <c r="P5359" s="1">
        <v>3.2</v>
      </c>
      <c r="Q5359" s="1">
        <v>0.6</v>
      </c>
      <c r="R5359" s="1">
        <v>14.1</v>
      </c>
      <c r="S5359" s="1">
        <v>99</v>
      </c>
      <c r="V5359" s="1">
        <v>2.5</v>
      </c>
      <c r="W5359" s="1">
        <v>6.5</v>
      </c>
      <c r="Z5359" s="31">
        <v>45</v>
      </c>
      <c r="AA5359" s="1">
        <v>3</v>
      </c>
      <c r="AB5359" s="1">
        <v>5.0999999999999996</v>
      </c>
      <c r="AD5359" s="1">
        <v>680</v>
      </c>
      <c r="AE5359" s="1">
        <v>7.7</v>
      </c>
      <c r="AK5359" s="1">
        <v>70</v>
      </c>
      <c r="AL5359" s="1">
        <v>1200</v>
      </c>
    </row>
    <row r="5360" spans="2:50" x14ac:dyDescent="0.3">
      <c r="B5360" s="32" t="s">
        <v>517</v>
      </c>
      <c r="C5360" s="1" t="s">
        <v>514</v>
      </c>
      <c r="D5360" s="1">
        <v>2018</v>
      </c>
      <c r="E5360" s="28">
        <v>2</v>
      </c>
      <c r="F5360" s="1" t="s">
        <v>175</v>
      </c>
      <c r="G5360" s="4">
        <v>43157</v>
      </c>
      <c r="H5360" s="12">
        <v>6594617</v>
      </c>
      <c r="I5360" s="12">
        <v>666322</v>
      </c>
      <c r="J5360" s="1" t="s">
        <v>186</v>
      </c>
      <c r="K5360" s="29">
        <v>3</v>
      </c>
      <c r="L5360" s="1" t="s">
        <v>337</v>
      </c>
      <c r="M5360" s="29">
        <v>1</v>
      </c>
      <c r="Q5360" s="1">
        <v>1.4</v>
      </c>
      <c r="R5360" s="1">
        <v>13.1</v>
      </c>
      <c r="S5360" s="1">
        <v>92</v>
      </c>
      <c r="Z5360" s="31"/>
    </row>
    <row r="5361" spans="2:50" x14ac:dyDescent="0.3">
      <c r="B5361" s="32" t="s">
        <v>517</v>
      </c>
      <c r="C5361" s="1" t="s">
        <v>514</v>
      </c>
      <c r="D5361" s="1">
        <v>2018</v>
      </c>
      <c r="E5361" s="28">
        <v>2</v>
      </c>
      <c r="F5361" s="1" t="s">
        <v>175</v>
      </c>
      <c r="G5361" s="4">
        <v>43157</v>
      </c>
      <c r="H5361" s="12">
        <v>6594617</v>
      </c>
      <c r="I5361" s="12">
        <v>666322</v>
      </c>
      <c r="J5361" s="1" t="s">
        <v>186</v>
      </c>
      <c r="K5361" s="29">
        <v>3</v>
      </c>
      <c r="L5361" s="1" t="s">
        <v>337</v>
      </c>
      <c r="M5361" s="29">
        <v>2</v>
      </c>
      <c r="Q5361" s="1">
        <v>1.9</v>
      </c>
      <c r="R5361" s="1">
        <v>11.6</v>
      </c>
      <c r="S5361" s="1">
        <v>84</v>
      </c>
      <c r="Z5361" s="31"/>
    </row>
    <row r="5362" spans="2:50" x14ac:dyDescent="0.3">
      <c r="B5362" s="32" t="s">
        <v>517</v>
      </c>
      <c r="C5362" s="1" t="s">
        <v>514</v>
      </c>
      <c r="D5362" s="1">
        <v>2018</v>
      </c>
      <c r="E5362" s="28">
        <v>2</v>
      </c>
      <c r="F5362" s="1" t="s">
        <v>175</v>
      </c>
      <c r="G5362" s="4">
        <v>43157</v>
      </c>
      <c r="H5362" s="12">
        <v>6594617</v>
      </c>
      <c r="I5362" s="12">
        <v>666322</v>
      </c>
      <c r="J5362" s="1" t="s">
        <v>186</v>
      </c>
      <c r="K5362" s="29">
        <v>3</v>
      </c>
      <c r="L5362" s="1" t="s">
        <v>337</v>
      </c>
      <c r="M5362" s="29">
        <v>3</v>
      </c>
      <c r="Q5362" s="1">
        <v>2.2000000000000002</v>
      </c>
      <c r="R5362" s="1">
        <v>10.4</v>
      </c>
      <c r="S5362" s="1">
        <v>75</v>
      </c>
      <c r="Z5362" s="31"/>
    </row>
    <row r="5363" spans="2:50" x14ac:dyDescent="0.3">
      <c r="B5363" s="32" t="s">
        <v>517</v>
      </c>
      <c r="C5363" s="1" t="s">
        <v>514</v>
      </c>
      <c r="D5363" s="1">
        <v>2018</v>
      </c>
      <c r="E5363" s="28">
        <v>2</v>
      </c>
      <c r="F5363" s="1" t="s">
        <v>175</v>
      </c>
      <c r="G5363" s="4">
        <v>43157</v>
      </c>
      <c r="H5363" s="12">
        <v>6594617</v>
      </c>
      <c r="I5363" s="12">
        <v>666322</v>
      </c>
      <c r="J5363" s="1" t="s">
        <v>186</v>
      </c>
      <c r="K5363" s="29">
        <v>3</v>
      </c>
      <c r="L5363" s="1" t="s">
        <v>337</v>
      </c>
      <c r="M5363" s="29">
        <v>4</v>
      </c>
      <c r="Q5363" s="1">
        <v>2.4</v>
      </c>
      <c r="R5363" s="1">
        <v>9.6999999999999993</v>
      </c>
      <c r="S5363" s="1">
        <v>70</v>
      </c>
      <c r="Z5363" s="31"/>
    </row>
    <row r="5364" spans="2:50" x14ac:dyDescent="0.3">
      <c r="B5364" s="32" t="s">
        <v>517</v>
      </c>
      <c r="C5364" s="1" t="s">
        <v>514</v>
      </c>
      <c r="D5364" s="1">
        <v>2018</v>
      </c>
      <c r="E5364" s="28">
        <v>2</v>
      </c>
      <c r="F5364" s="1" t="s">
        <v>175</v>
      </c>
      <c r="G5364" s="4">
        <v>43157</v>
      </c>
      <c r="H5364" s="12">
        <v>6594617</v>
      </c>
      <c r="I5364" s="12">
        <v>666322</v>
      </c>
      <c r="J5364" s="1" t="s">
        <v>186</v>
      </c>
      <c r="K5364" s="29">
        <v>3</v>
      </c>
      <c r="L5364" s="1" t="s">
        <v>337</v>
      </c>
      <c r="M5364" s="29">
        <v>5</v>
      </c>
      <c r="Q5364" s="1">
        <v>2.6</v>
      </c>
      <c r="R5364" s="1">
        <v>8.6999999999999993</v>
      </c>
      <c r="S5364" s="1">
        <v>65</v>
      </c>
      <c r="Z5364" s="31"/>
    </row>
    <row r="5365" spans="2:50" x14ac:dyDescent="0.3">
      <c r="B5365" s="32" t="s">
        <v>517</v>
      </c>
      <c r="C5365" s="1" t="s">
        <v>514</v>
      </c>
      <c r="D5365" s="1">
        <v>2018</v>
      </c>
      <c r="E5365" s="28">
        <v>2</v>
      </c>
      <c r="F5365" s="1" t="s">
        <v>175</v>
      </c>
      <c r="G5365" s="4">
        <v>43157</v>
      </c>
      <c r="H5365" s="12">
        <v>6594617</v>
      </c>
      <c r="I5365" s="12">
        <v>666322</v>
      </c>
      <c r="J5365" s="1" t="s">
        <v>186</v>
      </c>
      <c r="K5365" s="29">
        <v>3</v>
      </c>
      <c r="L5365" s="1" t="s">
        <v>337</v>
      </c>
      <c r="M5365" s="29">
        <v>6</v>
      </c>
      <c r="Q5365" s="1">
        <v>2.9</v>
      </c>
      <c r="R5365" s="1">
        <v>7.9</v>
      </c>
      <c r="S5365" s="1">
        <v>59</v>
      </c>
      <c r="Z5365" s="31"/>
    </row>
    <row r="5366" spans="2:50" x14ac:dyDescent="0.3">
      <c r="B5366" s="32" t="s">
        <v>517</v>
      </c>
      <c r="C5366" s="1" t="s">
        <v>514</v>
      </c>
      <c r="D5366" s="1">
        <v>2018</v>
      </c>
      <c r="E5366" s="28">
        <v>2</v>
      </c>
      <c r="F5366" s="1" t="s">
        <v>175</v>
      </c>
      <c r="G5366" s="4">
        <v>43157</v>
      </c>
      <c r="H5366" s="12">
        <v>6594617</v>
      </c>
      <c r="I5366" s="12">
        <v>666322</v>
      </c>
      <c r="J5366" s="1" t="s">
        <v>186</v>
      </c>
      <c r="K5366" s="29">
        <v>3</v>
      </c>
      <c r="L5366" s="1" t="s">
        <v>337</v>
      </c>
      <c r="M5366" s="29">
        <v>7</v>
      </c>
      <c r="Q5366" s="1">
        <v>3.1</v>
      </c>
      <c r="R5366" s="1">
        <v>6.7</v>
      </c>
      <c r="S5366" s="1">
        <v>50</v>
      </c>
      <c r="AK5366" s="31"/>
    </row>
    <row r="5367" spans="2:50" x14ac:dyDescent="0.3">
      <c r="B5367" s="32" t="s">
        <v>517</v>
      </c>
      <c r="C5367" s="1" t="s">
        <v>514</v>
      </c>
      <c r="D5367" s="1">
        <v>2018</v>
      </c>
      <c r="E5367" s="28">
        <v>2</v>
      </c>
      <c r="F5367" s="1" t="s">
        <v>175</v>
      </c>
      <c r="G5367" s="4">
        <v>43157</v>
      </c>
      <c r="H5367" s="12">
        <v>6594617</v>
      </c>
      <c r="I5367" s="12">
        <v>666322</v>
      </c>
      <c r="J5367" s="1" t="s">
        <v>186</v>
      </c>
      <c r="K5367" s="29">
        <v>3</v>
      </c>
      <c r="L5367" s="1" t="s">
        <v>337</v>
      </c>
      <c r="M5367" s="29">
        <v>8</v>
      </c>
      <c r="Q5367" s="1">
        <v>3.3</v>
      </c>
      <c r="R5367" s="1">
        <v>4.2</v>
      </c>
      <c r="S5367" s="1">
        <v>31</v>
      </c>
      <c r="AK5367" s="31"/>
    </row>
    <row r="5368" spans="2:50" x14ac:dyDescent="0.3">
      <c r="B5368" s="32" t="s">
        <v>517</v>
      </c>
      <c r="C5368" s="1" t="s">
        <v>514</v>
      </c>
      <c r="D5368" s="1">
        <v>2018</v>
      </c>
      <c r="E5368" s="28">
        <v>2</v>
      </c>
      <c r="F5368" s="1" t="s">
        <v>175</v>
      </c>
      <c r="G5368" s="4">
        <v>43157</v>
      </c>
      <c r="H5368" s="12">
        <v>6594617</v>
      </c>
      <c r="I5368" s="12">
        <v>666322</v>
      </c>
      <c r="J5368" s="1" t="s">
        <v>186</v>
      </c>
      <c r="K5368" s="29">
        <v>3</v>
      </c>
      <c r="L5368" s="1" t="s">
        <v>337</v>
      </c>
      <c r="M5368" s="29">
        <v>9</v>
      </c>
      <c r="Q5368" s="1">
        <v>3.5</v>
      </c>
      <c r="R5368" s="1">
        <v>2.6</v>
      </c>
      <c r="S5368" s="1">
        <v>20</v>
      </c>
      <c r="AK5368" s="31"/>
    </row>
    <row r="5369" spans="2:50" x14ac:dyDescent="0.3">
      <c r="B5369" s="32" t="s">
        <v>517</v>
      </c>
      <c r="C5369" s="1" t="s">
        <v>514</v>
      </c>
      <c r="D5369" s="1">
        <v>2018</v>
      </c>
      <c r="E5369" s="28">
        <v>2</v>
      </c>
      <c r="F5369" s="1" t="s">
        <v>175</v>
      </c>
      <c r="G5369" s="4">
        <v>43157</v>
      </c>
      <c r="H5369" s="12">
        <v>6594617</v>
      </c>
      <c r="I5369" s="12">
        <v>666322</v>
      </c>
      <c r="J5369" s="1" t="s">
        <v>186</v>
      </c>
      <c r="K5369" s="29">
        <v>3</v>
      </c>
      <c r="L5369" s="1" t="s">
        <v>337</v>
      </c>
      <c r="M5369" s="29">
        <v>10</v>
      </c>
      <c r="Q5369" s="1">
        <v>3.5</v>
      </c>
      <c r="R5369" s="1">
        <v>2.6</v>
      </c>
      <c r="S5369" s="1">
        <v>20</v>
      </c>
      <c r="AK5369" s="31"/>
    </row>
    <row r="5370" spans="2:50" x14ac:dyDescent="0.3">
      <c r="B5370" s="32" t="s">
        <v>517</v>
      </c>
      <c r="C5370" s="1" t="s">
        <v>514</v>
      </c>
      <c r="D5370" s="1">
        <v>2018</v>
      </c>
      <c r="E5370" s="28">
        <v>2</v>
      </c>
      <c r="F5370" s="1" t="s">
        <v>175</v>
      </c>
      <c r="G5370" s="4">
        <v>43157</v>
      </c>
      <c r="H5370" s="12">
        <v>6594617</v>
      </c>
      <c r="I5370" s="12">
        <v>666322</v>
      </c>
      <c r="J5370" s="1" t="s">
        <v>186</v>
      </c>
      <c r="K5370" s="29">
        <v>3</v>
      </c>
      <c r="L5370" s="1" t="s">
        <v>337</v>
      </c>
      <c r="M5370" s="29">
        <v>10.5</v>
      </c>
      <c r="Q5370" s="1">
        <v>3.7</v>
      </c>
      <c r="R5370" s="1">
        <v>1.7</v>
      </c>
      <c r="S5370" s="1">
        <v>13</v>
      </c>
      <c r="AK5370" s="31"/>
    </row>
    <row r="5371" spans="2:50" x14ac:dyDescent="0.3">
      <c r="B5371" s="32" t="s">
        <v>517</v>
      </c>
      <c r="C5371" s="1" t="s">
        <v>514</v>
      </c>
      <c r="D5371" s="1">
        <v>2018</v>
      </c>
      <c r="E5371" s="28">
        <v>4</v>
      </c>
      <c r="F5371" s="1" t="s">
        <v>178</v>
      </c>
      <c r="G5371" s="4">
        <v>43213</v>
      </c>
      <c r="H5371" s="12">
        <v>6594617</v>
      </c>
      <c r="I5371" s="12">
        <v>666322</v>
      </c>
      <c r="J5371" s="1" t="s">
        <v>186</v>
      </c>
      <c r="K5371" s="29">
        <v>3</v>
      </c>
      <c r="L5371" s="1" t="s">
        <v>337</v>
      </c>
      <c r="M5371" s="29">
        <v>0.5</v>
      </c>
      <c r="P5371" s="1">
        <v>1.5</v>
      </c>
      <c r="Q5371" s="1">
        <v>7.5</v>
      </c>
      <c r="R5371" s="1">
        <v>13.9</v>
      </c>
      <c r="S5371" s="1">
        <v>116</v>
      </c>
      <c r="V5371" s="1">
        <v>2.5</v>
      </c>
      <c r="W5371" s="1">
        <v>18</v>
      </c>
      <c r="Z5371" s="1">
        <v>2.4</v>
      </c>
      <c r="AA5371" s="1">
        <v>6.2</v>
      </c>
      <c r="AB5371" s="1">
        <v>44</v>
      </c>
      <c r="AD5371" s="1">
        <v>200</v>
      </c>
      <c r="AE5371" s="1">
        <v>8</v>
      </c>
      <c r="AJ5371" s="1">
        <v>8.6999999999999993</v>
      </c>
      <c r="AK5371" s="31">
        <v>41</v>
      </c>
      <c r="AL5371" s="1">
        <v>790</v>
      </c>
      <c r="AM5371" s="20" t="s">
        <v>1298</v>
      </c>
      <c r="AN5371" s="1">
        <v>10</v>
      </c>
      <c r="AR5371" s="1">
        <v>54</v>
      </c>
      <c r="AU5371" s="1">
        <v>8.1</v>
      </c>
      <c r="AV5371" s="1">
        <v>44</v>
      </c>
      <c r="AW5371" s="1">
        <v>31</v>
      </c>
      <c r="AX5371" s="1">
        <v>37</v>
      </c>
    </row>
    <row r="5372" spans="2:50" x14ac:dyDescent="0.3">
      <c r="B5372" s="32" t="s">
        <v>517</v>
      </c>
      <c r="C5372" s="1" t="s">
        <v>514</v>
      </c>
      <c r="D5372" s="1">
        <v>2018</v>
      </c>
      <c r="E5372" s="28">
        <v>4</v>
      </c>
      <c r="F5372" s="1" t="s">
        <v>178</v>
      </c>
      <c r="G5372" s="4">
        <v>43213</v>
      </c>
      <c r="H5372" s="12">
        <v>6594617</v>
      </c>
      <c r="I5372" s="12">
        <v>666322</v>
      </c>
      <c r="J5372" s="1" t="s">
        <v>186</v>
      </c>
      <c r="K5372" s="29">
        <v>3</v>
      </c>
      <c r="L5372" s="1" t="s">
        <v>337</v>
      </c>
      <c r="M5372" s="29">
        <v>1</v>
      </c>
      <c r="Q5372" s="1">
        <v>7.4</v>
      </c>
      <c r="R5372" s="1">
        <v>13.8</v>
      </c>
      <c r="S5372" s="1">
        <v>115</v>
      </c>
      <c r="AK5372" s="31"/>
    </row>
    <row r="5373" spans="2:50" x14ac:dyDescent="0.3">
      <c r="B5373" s="32" t="s">
        <v>517</v>
      </c>
      <c r="C5373" s="1" t="s">
        <v>514</v>
      </c>
      <c r="D5373" s="1">
        <v>2018</v>
      </c>
      <c r="E5373" s="28">
        <v>4</v>
      </c>
      <c r="F5373" s="1" t="s">
        <v>178</v>
      </c>
      <c r="G5373" s="4">
        <v>43213</v>
      </c>
      <c r="H5373" s="12">
        <v>6594617</v>
      </c>
      <c r="I5373" s="12">
        <v>666322</v>
      </c>
      <c r="J5373" s="1" t="s">
        <v>186</v>
      </c>
      <c r="K5373" s="29">
        <v>3</v>
      </c>
      <c r="L5373" s="1" t="s">
        <v>337</v>
      </c>
      <c r="M5373" s="29">
        <v>2</v>
      </c>
      <c r="Q5373" s="1">
        <v>7.3</v>
      </c>
      <c r="R5373" s="1">
        <v>13.6</v>
      </c>
      <c r="S5373" s="1">
        <v>113</v>
      </c>
      <c r="AK5373" s="31"/>
    </row>
    <row r="5374" spans="2:50" x14ac:dyDescent="0.3">
      <c r="B5374" s="32" t="s">
        <v>517</v>
      </c>
      <c r="C5374" s="1" t="s">
        <v>514</v>
      </c>
      <c r="D5374" s="1">
        <v>2018</v>
      </c>
      <c r="E5374" s="28">
        <v>4</v>
      </c>
      <c r="F5374" s="1" t="s">
        <v>178</v>
      </c>
      <c r="G5374" s="4">
        <v>43213</v>
      </c>
      <c r="H5374" s="12">
        <v>6594617</v>
      </c>
      <c r="I5374" s="12">
        <v>666322</v>
      </c>
      <c r="J5374" s="1" t="s">
        <v>186</v>
      </c>
      <c r="K5374" s="29">
        <v>3</v>
      </c>
      <c r="L5374" s="1" t="s">
        <v>337</v>
      </c>
      <c r="M5374" s="29">
        <v>3</v>
      </c>
      <c r="Q5374" s="1">
        <v>7.2</v>
      </c>
      <c r="R5374" s="1">
        <v>13.3</v>
      </c>
      <c r="S5374" s="1">
        <v>110</v>
      </c>
      <c r="AK5374" s="31"/>
    </row>
    <row r="5375" spans="2:50" x14ac:dyDescent="0.3">
      <c r="B5375" s="32" t="s">
        <v>517</v>
      </c>
      <c r="C5375" s="1" t="s">
        <v>514</v>
      </c>
      <c r="D5375" s="1">
        <v>2018</v>
      </c>
      <c r="E5375" s="28">
        <v>4</v>
      </c>
      <c r="F5375" s="1" t="s">
        <v>178</v>
      </c>
      <c r="G5375" s="4">
        <v>43213</v>
      </c>
      <c r="H5375" s="12">
        <v>6594617</v>
      </c>
      <c r="I5375" s="12">
        <v>666322</v>
      </c>
      <c r="J5375" s="1" t="s">
        <v>186</v>
      </c>
      <c r="K5375" s="29">
        <v>3</v>
      </c>
      <c r="L5375" s="1" t="s">
        <v>337</v>
      </c>
      <c r="M5375" s="29">
        <v>4</v>
      </c>
      <c r="Q5375" s="1">
        <v>7.1</v>
      </c>
      <c r="R5375" s="1">
        <v>13.3</v>
      </c>
      <c r="S5375" s="1">
        <v>110</v>
      </c>
      <c r="AK5375" s="31"/>
    </row>
    <row r="5376" spans="2:50" x14ac:dyDescent="0.3">
      <c r="B5376" s="32" t="s">
        <v>517</v>
      </c>
      <c r="C5376" s="1" t="s">
        <v>514</v>
      </c>
      <c r="D5376" s="1">
        <v>2018</v>
      </c>
      <c r="E5376" s="28">
        <v>4</v>
      </c>
      <c r="F5376" s="1" t="s">
        <v>178</v>
      </c>
      <c r="G5376" s="4">
        <v>43213</v>
      </c>
      <c r="H5376" s="12">
        <v>6594617</v>
      </c>
      <c r="I5376" s="12">
        <v>666322</v>
      </c>
      <c r="J5376" s="1" t="s">
        <v>186</v>
      </c>
      <c r="K5376" s="29">
        <v>3</v>
      </c>
      <c r="L5376" s="1" t="s">
        <v>337</v>
      </c>
      <c r="M5376" s="29">
        <v>5</v>
      </c>
      <c r="Q5376" s="1">
        <v>7</v>
      </c>
      <c r="R5376" s="1">
        <v>13</v>
      </c>
      <c r="S5376" s="1">
        <v>107</v>
      </c>
      <c r="AK5376" s="31"/>
    </row>
    <row r="5377" spans="2:50" x14ac:dyDescent="0.3">
      <c r="B5377" s="32" t="s">
        <v>517</v>
      </c>
      <c r="C5377" s="1" t="s">
        <v>514</v>
      </c>
      <c r="D5377" s="1">
        <v>2018</v>
      </c>
      <c r="E5377" s="28">
        <v>4</v>
      </c>
      <c r="F5377" s="1" t="s">
        <v>178</v>
      </c>
      <c r="G5377" s="4">
        <v>43213</v>
      </c>
      <c r="H5377" s="12">
        <v>6594617</v>
      </c>
      <c r="I5377" s="12">
        <v>666322</v>
      </c>
      <c r="J5377" s="1" t="s">
        <v>186</v>
      </c>
      <c r="K5377" s="29">
        <v>3</v>
      </c>
      <c r="L5377" s="1" t="s">
        <v>337</v>
      </c>
      <c r="M5377" s="29">
        <v>6</v>
      </c>
      <c r="Q5377" s="1">
        <v>6.9</v>
      </c>
      <c r="R5377" s="1">
        <v>12.6</v>
      </c>
      <c r="S5377" s="1">
        <v>104</v>
      </c>
      <c r="AK5377" s="31"/>
    </row>
    <row r="5378" spans="2:50" x14ac:dyDescent="0.3">
      <c r="B5378" s="32" t="s">
        <v>517</v>
      </c>
      <c r="C5378" s="1" t="s">
        <v>514</v>
      </c>
      <c r="D5378" s="1">
        <v>2018</v>
      </c>
      <c r="E5378" s="28">
        <v>4</v>
      </c>
      <c r="F5378" s="1" t="s">
        <v>178</v>
      </c>
      <c r="G5378" s="4">
        <v>43213</v>
      </c>
      <c r="H5378" s="12">
        <v>6594617</v>
      </c>
      <c r="I5378" s="12">
        <v>666322</v>
      </c>
      <c r="J5378" s="1" t="s">
        <v>186</v>
      </c>
      <c r="K5378" s="29">
        <v>3</v>
      </c>
      <c r="L5378" s="1" t="s">
        <v>337</v>
      </c>
      <c r="M5378" s="29">
        <v>7</v>
      </c>
      <c r="Q5378" s="1">
        <v>6.8</v>
      </c>
      <c r="R5378" s="1">
        <v>12.3</v>
      </c>
      <c r="S5378" s="1">
        <v>101</v>
      </c>
      <c r="AK5378" s="31"/>
    </row>
    <row r="5379" spans="2:50" x14ac:dyDescent="0.3">
      <c r="B5379" s="32" t="s">
        <v>517</v>
      </c>
      <c r="C5379" s="1" t="s">
        <v>514</v>
      </c>
      <c r="D5379" s="1">
        <v>2018</v>
      </c>
      <c r="E5379" s="28">
        <v>4</v>
      </c>
      <c r="F5379" s="1" t="s">
        <v>178</v>
      </c>
      <c r="G5379" s="4">
        <v>43213</v>
      </c>
      <c r="H5379" s="12">
        <v>6594617</v>
      </c>
      <c r="I5379" s="12">
        <v>666322</v>
      </c>
      <c r="J5379" s="1" t="s">
        <v>186</v>
      </c>
      <c r="K5379" s="29">
        <v>3</v>
      </c>
      <c r="L5379" s="1" t="s">
        <v>337</v>
      </c>
      <c r="M5379" s="29">
        <v>8</v>
      </c>
      <c r="Q5379" s="1">
        <v>5.8</v>
      </c>
      <c r="R5379" s="1">
        <v>8.6999999999999993</v>
      </c>
      <c r="S5379" s="1">
        <v>70</v>
      </c>
      <c r="AK5379" s="31"/>
    </row>
    <row r="5380" spans="2:50" x14ac:dyDescent="0.3">
      <c r="B5380" s="32" t="s">
        <v>517</v>
      </c>
      <c r="C5380" s="1" t="s">
        <v>514</v>
      </c>
      <c r="D5380" s="1">
        <v>2018</v>
      </c>
      <c r="E5380" s="28">
        <v>4</v>
      </c>
      <c r="F5380" s="1" t="s">
        <v>178</v>
      </c>
      <c r="G5380" s="4">
        <v>43213</v>
      </c>
      <c r="H5380" s="12">
        <v>6594617</v>
      </c>
      <c r="I5380" s="12">
        <v>666322</v>
      </c>
      <c r="J5380" s="1" t="s">
        <v>186</v>
      </c>
      <c r="K5380" s="29">
        <v>3</v>
      </c>
      <c r="L5380" s="1" t="s">
        <v>337</v>
      </c>
      <c r="M5380" s="29">
        <v>8.5</v>
      </c>
      <c r="P5380" s="1">
        <v>1.5</v>
      </c>
      <c r="V5380" s="1">
        <v>2.6</v>
      </c>
      <c r="W5380" s="1">
        <v>62</v>
      </c>
      <c r="Z5380" s="1">
        <v>4.5</v>
      </c>
      <c r="AA5380" s="1">
        <v>9.6999999999999993</v>
      </c>
      <c r="AD5380" s="1">
        <v>350</v>
      </c>
      <c r="AE5380" s="1">
        <v>7.7</v>
      </c>
      <c r="AJ5380" s="1">
        <v>8.5</v>
      </c>
      <c r="AK5380" s="31">
        <v>57</v>
      </c>
      <c r="AL5380" s="1">
        <v>960</v>
      </c>
      <c r="AM5380" s="20" t="s">
        <v>1298</v>
      </c>
      <c r="AN5380" s="20" t="s">
        <v>1298</v>
      </c>
      <c r="AO5380" s="20" t="s">
        <v>1298</v>
      </c>
      <c r="AP5380" s="20"/>
      <c r="AQ5380" s="20"/>
      <c r="AR5380" s="1">
        <v>55</v>
      </c>
      <c r="AU5380" s="1">
        <v>8.1999999999999993</v>
      </c>
      <c r="AV5380" s="1">
        <v>46</v>
      </c>
      <c r="AW5380" s="1">
        <v>32</v>
      </c>
      <c r="AX5380" s="1">
        <v>39</v>
      </c>
    </row>
    <row r="5381" spans="2:50" x14ac:dyDescent="0.3">
      <c r="B5381" s="32" t="s">
        <v>517</v>
      </c>
      <c r="C5381" s="1" t="s">
        <v>514</v>
      </c>
      <c r="D5381" s="1">
        <v>2018</v>
      </c>
      <c r="E5381" s="28">
        <v>4</v>
      </c>
      <c r="F5381" s="1" t="s">
        <v>178</v>
      </c>
      <c r="G5381" s="4">
        <v>43213</v>
      </c>
      <c r="H5381" s="12">
        <v>6594617</v>
      </c>
      <c r="I5381" s="12">
        <v>666322</v>
      </c>
      <c r="J5381" s="1" t="s">
        <v>186</v>
      </c>
      <c r="K5381" s="29">
        <v>3</v>
      </c>
      <c r="L5381" s="1" t="s">
        <v>337</v>
      </c>
      <c r="M5381" s="29">
        <v>9</v>
      </c>
      <c r="Q5381" s="1">
        <v>5.0999999999999996</v>
      </c>
      <c r="R5381" s="1">
        <v>5.8</v>
      </c>
      <c r="S5381" s="1">
        <v>46</v>
      </c>
    </row>
    <row r="5382" spans="2:50" x14ac:dyDescent="0.3">
      <c r="B5382" s="32" t="s">
        <v>517</v>
      </c>
      <c r="C5382" s="1" t="s">
        <v>514</v>
      </c>
      <c r="D5382" s="1">
        <v>2018</v>
      </c>
      <c r="E5382" s="28">
        <v>4</v>
      </c>
      <c r="F5382" s="1" t="s">
        <v>178</v>
      </c>
      <c r="G5382" s="4">
        <v>43213</v>
      </c>
      <c r="H5382" s="12">
        <v>6594617</v>
      </c>
      <c r="I5382" s="12">
        <v>666322</v>
      </c>
      <c r="J5382" s="1" t="s">
        <v>186</v>
      </c>
      <c r="K5382" s="29">
        <v>3</v>
      </c>
      <c r="L5382" s="1" t="s">
        <v>337</v>
      </c>
      <c r="M5382" s="29">
        <v>9.5</v>
      </c>
      <c r="P5382" s="1">
        <v>1.5</v>
      </c>
      <c r="V5382" s="1">
        <v>2.8</v>
      </c>
      <c r="W5382" s="1">
        <v>160</v>
      </c>
      <c r="Z5382" s="1">
        <v>6</v>
      </c>
      <c r="AA5382" s="1">
        <v>8.6</v>
      </c>
      <c r="AD5382" s="1">
        <v>470</v>
      </c>
      <c r="AE5382" s="1">
        <v>7.6</v>
      </c>
      <c r="AJ5382" s="1">
        <v>8.6</v>
      </c>
      <c r="AK5382" s="1">
        <v>73</v>
      </c>
      <c r="AL5382" s="1">
        <v>1100</v>
      </c>
      <c r="AR5382" s="1">
        <v>58</v>
      </c>
      <c r="AU5382" s="1">
        <v>8.6999999999999993</v>
      </c>
      <c r="AV5382" s="1">
        <v>48</v>
      </c>
      <c r="AW5382" s="1">
        <v>33</v>
      </c>
      <c r="AX5382" s="1">
        <v>41</v>
      </c>
    </row>
    <row r="5383" spans="2:50" x14ac:dyDescent="0.3">
      <c r="B5383" s="32" t="s">
        <v>517</v>
      </c>
      <c r="C5383" s="1" t="s">
        <v>514</v>
      </c>
      <c r="D5383" s="1">
        <v>2018</v>
      </c>
      <c r="E5383" s="28">
        <v>4</v>
      </c>
      <c r="F5383" s="1" t="s">
        <v>178</v>
      </c>
      <c r="G5383" s="4">
        <v>43213</v>
      </c>
      <c r="H5383" s="12">
        <v>6594617</v>
      </c>
      <c r="I5383" s="12">
        <v>666322</v>
      </c>
      <c r="J5383" s="1" t="s">
        <v>186</v>
      </c>
      <c r="K5383" s="29">
        <v>3</v>
      </c>
      <c r="L5383" s="1" t="s">
        <v>337</v>
      </c>
      <c r="M5383" s="29">
        <v>10</v>
      </c>
      <c r="Q5383" s="1">
        <v>4.7</v>
      </c>
      <c r="R5383" s="1">
        <v>3.3</v>
      </c>
      <c r="S5383" s="1">
        <v>26</v>
      </c>
    </row>
    <row r="5384" spans="2:50" x14ac:dyDescent="0.3">
      <c r="B5384" s="32" t="s">
        <v>517</v>
      </c>
      <c r="C5384" s="1" t="s">
        <v>514</v>
      </c>
      <c r="D5384" s="1">
        <v>2018</v>
      </c>
      <c r="E5384" s="28">
        <v>4</v>
      </c>
      <c r="F5384" s="1" t="s">
        <v>178</v>
      </c>
      <c r="G5384" s="4">
        <v>43213</v>
      </c>
      <c r="H5384" s="12">
        <v>6594617</v>
      </c>
      <c r="I5384" s="12">
        <v>666322</v>
      </c>
      <c r="J5384" s="1" t="s">
        <v>186</v>
      </c>
      <c r="K5384" s="29">
        <v>3</v>
      </c>
      <c r="L5384" s="1" t="s">
        <v>337</v>
      </c>
      <c r="M5384" s="29">
        <v>10.5</v>
      </c>
      <c r="Q5384" s="1">
        <v>4.5999999999999996</v>
      </c>
      <c r="R5384" s="1">
        <v>2</v>
      </c>
      <c r="S5384" s="1">
        <v>16</v>
      </c>
    </row>
    <row r="5385" spans="2:50" x14ac:dyDescent="0.3">
      <c r="B5385" s="32" t="s">
        <v>517</v>
      </c>
      <c r="C5385" s="1" t="s">
        <v>514</v>
      </c>
      <c r="D5385" s="1">
        <v>2018</v>
      </c>
      <c r="E5385" s="28">
        <v>7</v>
      </c>
      <c r="F5385" s="1" t="s">
        <v>179</v>
      </c>
      <c r="G5385" s="4">
        <v>43307</v>
      </c>
      <c r="H5385" s="12">
        <v>6594617</v>
      </c>
      <c r="I5385" s="12">
        <v>666322</v>
      </c>
      <c r="J5385" s="1" t="s">
        <v>186</v>
      </c>
      <c r="K5385" s="29">
        <v>3</v>
      </c>
      <c r="L5385" s="1" t="s">
        <v>337</v>
      </c>
      <c r="M5385" s="29">
        <v>0.5</v>
      </c>
      <c r="P5385" s="1">
        <v>2.2000000000000002</v>
      </c>
      <c r="Q5385" s="1">
        <v>26.1</v>
      </c>
      <c r="R5385" s="1">
        <v>9.1</v>
      </c>
      <c r="S5385" s="1">
        <v>112</v>
      </c>
      <c r="V5385" s="1">
        <v>2.5</v>
      </c>
      <c r="W5385" s="1">
        <v>22</v>
      </c>
      <c r="Z5385" s="1">
        <v>7.8</v>
      </c>
      <c r="AA5385" s="1">
        <v>2.2000000000000002</v>
      </c>
      <c r="AB5385" s="1">
        <v>4</v>
      </c>
      <c r="AD5385" s="1">
        <v>3.4</v>
      </c>
      <c r="AE5385" s="1">
        <v>8.6</v>
      </c>
      <c r="AK5385" s="1">
        <v>37</v>
      </c>
      <c r="AL5385" s="1">
        <v>770</v>
      </c>
    </row>
    <row r="5386" spans="2:50" x14ac:dyDescent="0.3">
      <c r="B5386" s="32" t="s">
        <v>517</v>
      </c>
      <c r="C5386" s="1" t="s">
        <v>514</v>
      </c>
      <c r="D5386" s="1">
        <v>2018</v>
      </c>
      <c r="E5386" s="28">
        <v>7</v>
      </c>
      <c r="F5386" s="1" t="s">
        <v>179</v>
      </c>
      <c r="G5386" s="4">
        <v>43307</v>
      </c>
      <c r="H5386" s="12">
        <v>6594617</v>
      </c>
      <c r="I5386" s="12">
        <v>666322</v>
      </c>
      <c r="J5386" s="1" t="s">
        <v>186</v>
      </c>
      <c r="K5386" s="29">
        <v>3</v>
      </c>
      <c r="L5386" s="1" t="s">
        <v>337</v>
      </c>
      <c r="M5386" s="29">
        <v>1</v>
      </c>
      <c r="Q5386" s="1">
        <v>25.4</v>
      </c>
      <c r="R5386" s="1">
        <v>9.1</v>
      </c>
      <c r="S5386" s="1">
        <v>110</v>
      </c>
    </row>
    <row r="5387" spans="2:50" x14ac:dyDescent="0.3">
      <c r="B5387" s="32" t="s">
        <v>517</v>
      </c>
      <c r="C5387" s="1" t="s">
        <v>514</v>
      </c>
      <c r="D5387" s="1">
        <v>2018</v>
      </c>
      <c r="E5387" s="28">
        <v>7</v>
      </c>
      <c r="F5387" s="1" t="s">
        <v>179</v>
      </c>
      <c r="G5387" s="4">
        <v>43307</v>
      </c>
      <c r="H5387" s="12">
        <v>6594617</v>
      </c>
      <c r="I5387" s="12">
        <v>666322</v>
      </c>
      <c r="J5387" s="1" t="s">
        <v>186</v>
      </c>
      <c r="K5387" s="29">
        <v>3</v>
      </c>
      <c r="L5387" s="1" t="s">
        <v>337</v>
      </c>
      <c r="M5387" s="29">
        <v>2</v>
      </c>
      <c r="Q5387" s="1">
        <v>24.2</v>
      </c>
      <c r="R5387" s="1">
        <v>10</v>
      </c>
      <c r="S5387" s="1">
        <v>117</v>
      </c>
    </row>
    <row r="5388" spans="2:50" x14ac:dyDescent="0.3">
      <c r="B5388" s="32" t="s">
        <v>517</v>
      </c>
      <c r="C5388" s="1" t="s">
        <v>514</v>
      </c>
      <c r="D5388" s="1">
        <v>2018</v>
      </c>
      <c r="E5388" s="28">
        <v>7</v>
      </c>
      <c r="F5388" s="1" t="s">
        <v>179</v>
      </c>
      <c r="G5388" s="4">
        <v>43307</v>
      </c>
      <c r="H5388" s="12">
        <v>6594617</v>
      </c>
      <c r="I5388" s="12">
        <v>666322</v>
      </c>
      <c r="J5388" s="1" t="s">
        <v>186</v>
      </c>
      <c r="K5388" s="29">
        <v>3</v>
      </c>
      <c r="L5388" s="1" t="s">
        <v>337</v>
      </c>
      <c r="M5388" s="29">
        <v>3</v>
      </c>
      <c r="Q5388" s="1">
        <v>23.5</v>
      </c>
      <c r="R5388" s="1">
        <v>4.5999999999999996</v>
      </c>
      <c r="S5388" s="1">
        <v>54</v>
      </c>
    </row>
    <row r="5389" spans="2:50" x14ac:dyDescent="0.3">
      <c r="B5389" s="32" t="s">
        <v>517</v>
      </c>
      <c r="C5389" s="1" t="s">
        <v>514</v>
      </c>
      <c r="D5389" s="1">
        <v>2018</v>
      </c>
      <c r="E5389" s="28">
        <v>7</v>
      </c>
      <c r="F5389" s="1" t="s">
        <v>179</v>
      </c>
      <c r="G5389" s="4">
        <v>43307</v>
      </c>
      <c r="H5389" s="12">
        <v>6594617</v>
      </c>
      <c r="I5389" s="12">
        <v>666322</v>
      </c>
      <c r="J5389" s="1" t="s">
        <v>186</v>
      </c>
      <c r="K5389" s="29">
        <v>3</v>
      </c>
      <c r="L5389" s="1" t="s">
        <v>337</v>
      </c>
      <c r="M5389" s="29">
        <v>4</v>
      </c>
      <c r="Q5389" s="1">
        <v>21.7</v>
      </c>
      <c r="R5389" s="1">
        <v>1</v>
      </c>
      <c r="S5389" s="1">
        <v>12</v>
      </c>
    </row>
    <row r="5390" spans="2:50" x14ac:dyDescent="0.3">
      <c r="B5390" s="32" t="s">
        <v>517</v>
      </c>
      <c r="C5390" s="1" t="s">
        <v>514</v>
      </c>
      <c r="D5390" s="1">
        <v>2018</v>
      </c>
      <c r="E5390" s="28">
        <v>7</v>
      </c>
      <c r="F5390" s="1" t="s">
        <v>179</v>
      </c>
      <c r="G5390" s="4">
        <v>43307</v>
      </c>
      <c r="H5390" s="12">
        <v>6594617</v>
      </c>
      <c r="I5390" s="12">
        <v>666322</v>
      </c>
      <c r="J5390" s="1" t="s">
        <v>186</v>
      </c>
      <c r="K5390" s="29">
        <v>3</v>
      </c>
      <c r="L5390" s="1" t="s">
        <v>337</v>
      </c>
      <c r="M5390" s="29">
        <v>5</v>
      </c>
      <c r="Q5390" s="1">
        <v>19.399999999999999</v>
      </c>
      <c r="R5390" s="1">
        <v>1.2</v>
      </c>
      <c r="S5390" s="1">
        <v>12</v>
      </c>
    </row>
    <row r="5391" spans="2:50" x14ac:dyDescent="0.3">
      <c r="B5391" s="32" t="s">
        <v>517</v>
      </c>
      <c r="C5391" s="1" t="s">
        <v>514</v>
      </c>
      <c r="D5391" s="1">
        <v>2018</v>
      </c>
      <c r="E5391" s="28">
        <v>7</v>
      </c>
      <c r="F5391" s="1" t="s">
        <v>179</v>
      </c>
      <c r="G5391" s="4">
        <v>43307</v>
      </c>
      <c r="H5391" s="12">
        <v>6594617</v>
      </c>
      <c r="I5391" s="12">
        <v>666322</v>
      </c>
      <c r="J5391" s="1" t="s">
        <v>186</v>
      </c>
      <c r="K5391" s="29">
        <v>3</v>
      </c>
      <c r="L5391" s="1" t="s">
        <v>337</v>
      </c>
      <c r="M5391" s="29">
        <v>6</v>
      </c>
      <c r="Q5391" s="1">
        <v>18.600000000000001</v>
      </c>
      <c r="R5391" s="1">
        <v>0.5</v>
      </c>
      <c r="S5391" s="1">
        <v>5</v>
      </c>
    </row>
    <row r="5392" spans="2:50" x14ac:dyDescent="0.3">
      <c r="B5392" s="32" t="s">
        <v>517</v>
      </c>
      <c r="C5392" s="1" t="s">
        <v>514</v>
      </c>
      <c r="D5392" s="1">
        <v>2018</v>
      </c>
      <c r="E5392" s="28">
        <v>7</v>
      </c>
      <c r="F5392" s="1" t="s">
        <v>179</v>
      </c>
      <c r="G5392" s="4">
        <v>43307</v>
      </c>
      <c r="H5392" s="12">
        <v>6594617</v>
      </c>
      <c r="I5392" s="12">
        <v>666322</v>
      </c>
      <c r="J5392" s="1" t="s">
        <v>186</v>
      </c>
      <c r="K5392" s="29">
        <v>3</v>
      </c>
      <c r="L5392" s="1" t="s">
        <v>337</v>
      </c>
      <c r="M5392" s="29">
        <v>7</v>
      </c>
      <c r="Q5392" s="1">
        <v>17.8</v>
      </c>
      <c r="R5392" s="1">
        <v>0.1</v>
      </c>
      <c r="S5392" s="1">
        <v>1</v>
      </c>
    </row>
    <row r="5393" spans="2:43" x14ac:dyDescent="0.3">
      <c r="B5393" s="32" t="s">
        <v>517</v>
      </c>
      <c r="C5393" s="1" t="s">
        <v>514</v>
      </c>
      <c r="D5393" s="1">
        <v>2018</v>
      </c>
      <c r="E5393" s="28">
        <v>7</v>
      </c>
      <c r="F5393" s="1" t="s">
        <v>179</v>
      </c>
      <c r="G5393" s="4">
        <v>43307</v>
      </c>
      <c r="H5393" s="12">
        <v>6594617</v>
      </c>
      <c r="I5393" s="12">
        <v>666322</v>
      </c>
      <c r="J5393" s="1" t="s">
        <v>186</v>
      </c>
      <c r="K5393" s="29">
        <v>3</v>
      </c>
      <c r="L5393" s="1" t="s">
        <v>337</v>
      </c>
      <c r="M5393" s="29">
        <v>8</v>
      </c>
      <c r="Q5393" s="1">
        <v>16.899999999999999</v>
      </c>
      <c r="R5393" s="1">
        <v>0.1</v>
      </c>
      <c r="S5393" s="1">
        <v>1</v>
      </c>
    </row>
    <row r="5394" spans="2:43" x14ac:dyDescent="0.3">
      <c r="B5394" s="32" t="s">
        <v>517</v>
      </c>
      <c r="C5394" s="1" t="s">
        <v>514</v>
      </c>
      <c r="D5394" s="1">
        <v>2018</v>
      </c>
      <c r="E5394" s="28">
        <v>7</v>
      </c>
      <c r="F5394" s="1" t="s">
        <v>179</v>
      </c>
      <c r="G5394" s="4">
        <v>43307</v>
      </c>
      <c r="H5394" s="12">
        <v>6594617</v>
      </c>
      <c r="I5394" s="12">
        <v>666322</v>
      </c>
      <c r="J5394" s="1" t="s">
        <v>186</v>
      </c>
      <c r="K5394" s="29">
        <v>3</v>
      </c>
      <c r="L5394" s="1" t="s">
        <v>337</v>
      </c>
      <c r="M5394" s="29">
        <v>9</v>
      </c>
      <c r="P5394" s="1">
        <v>2.2000000000000002</v>
      </c>
      <c r="Q5394" s="1">
        <v>15.4</v>
      </c>
      <c r="R5394" s="1">
        <v>0.1</v>
      </c>
      <c r="S5394" s="1">
        <v>1</v>
      </c>
      <c r="V5394" s="1">
        <v>2.7</v>
      </c>
      <c r="W5394" s="1">
        <v>160</v>
      </c>
      <c r="Z5394" s="1">
        <v>140</v>
      </c>
      <c r="AA5394" s="1">
        <v>4.2</v>
      </c>
      <c r="AD5394" s="1">
        <v>5.8</v>
      </c>
      <c r="AE5394" s="1">
        <v>7.6</v>
      </c>
      <c r="AK5394" s="1">
        <v>200</v>
      </c>
      <c r="AL5394" s="1">
        <v>760</v>
      </c>
      <c r="AM5394" s="20" t="s">
        <v>1298</v>
      </c>
      <c r="AN5394" s="20" t="s">
        <v>1298</v>
      </c>
      <c r="AO5394" s="20" t="s">
        <v>1298</v>
      </c>
      <c r="AP5394" s="20"/>
      <c r="AQ5394" s="20"/>
    </row>
    <row r="5395" spans="2:43" x14ac:dyDescent="0.3">
      <c r="B5395" s="32" t="s">
        <v>517</v>
      </c>
      <c r="C5395" s="1" t="s">
        <v>514</v>
      </c>
      <c r="D5395" s="1">
        <v>2018</v>
      </c>
      <c r="E5395" s="28">
        <v>7</v>
      </c>
      <c r="F5395" s="1" t="s">
        <v>179</v>
      </c>
      <c r="G5395" s="4">
        <v>43307</v>
      </c>
      <c r="H5395" s="12">
        <v>6594617</v>
      </c>
      <c r="I5395" s="12">
        <v>666322</v>
      </c>
      <c r="J5395" s="1" t="s">
        <v>186</v>
      </c>
      <c r="K5395" s="29">
        <v>3</v>
      </c>
      <c r="L5395" s="1" t="s">
        <v>337</v>
      </c>
      <c r="M5395" s="29">
        <v>10</v>
      </c>
      <c r="P5395" s="1">
        <v>2.2000000000000002</v>
      </c>
      <c r="Q5395" s="1">
        <v>12.7</v>
      </c>
      <c r="R5395" s="1">
        <v>0</v>
      </c>
      <c r="S5395" s="1">
        <v>0</v>
      </c>
      <c r="V5395" s="1">
        <v>2.8</v>
      </c>
      <c r="W5395" s="1">
        <v>500</v>
      </c>
      <c r="Z5395" s="1">
        <v>320</v>
      </c>
      <c r="AA5395" s="1">
        <v>8.4</v>
      </c>
      <c r="AD5395" s="1">
        <v>11</v>
      </c>
      <c r="AE5395" s="1">
        <v>7.8</v>
      </c>
      <c r="AK5395" s="1">
        <v>390</v>
      </c>
      <c r="AL5395" s="1">
        <v>1100</v>
      </c>
    </row>
    <row r="5396" spans="2:43" x14ac:dyDescent="0.3">
      <c r="B5396" s="32" t="s">
        <v>517</v>
      </c>
      <c r="C5396" s="1" t="s">
        <v>514</v>
      </c>
      <c r="D5396" s="1">
        <v>2018</v>
      </c>
      <c r="E5396" s="28">
        <v>8</v>
      </c>
      <c r="F5396" s="1" t="s">
        <v>179</v>
      </c>
      <c r="G5396" s="4">
        <v>43339</v>
      </c>
      <c r="H5396" s="12">
        <v>6594617</v>
      </c>
      <c r="I5396" s="12">
        <v>666322</v>
      </c>
      <c r="J5396" s="1" t="s">
        <v>186</v>
      </c>
      <c r="K5396" s="29">
        <v>3</v>
      </c>
      <c r="L5396" s="1" t="s">
        <v>337</v>
      </c>
      <c r="M5396" s="29">
        <v>0.5</v>
      </c>
      <c r="Q5396" s="1">
        <v>19.5</v>
      </c>
      <c r="R5396" s="1">
        <v>6.6</v>
      </c>
      <c r="S5396" s="1">
        <v>72</v>
      </c>
      <c r="V5396" s="1">
        <v>2.5</v>
      </c>
      <c r="W5396" s="1">
        <v>140</v>
      </c>
      <c r="Z5396" s="1">
        <v>81</v>
      </c>
      <c r="AA5396" s="1">
        <v>2.2000000000000002</v>
      </c>
      <c r="AB5396" s="1">
        <v>6</v>
      </c>
      <c r="AD5396" s="1">
        <v>27</v>
      </c>
      <c r="AE5396" s="1">
        <v>8.1</v>
      </c>
      <c r="AK5396" s="1">
        <v>110</v>
      </c>
      <c r="AL5396" s="1">
        <v>720</v>
      </c>
    </row>
    <row r="5397" spans="2:43" x14ac:dyDescent="0.3">
      <c r="B5397" s="32" t="s">
        <v>517</v>
      </c>
      <c r="C5397" s="1" t="s">
        <v>514</v>
      </c>
      <c r="D5397" s="1">
        <v>2018</v>
      </c>
      <c r="E5397" s="28">
        <v>8</v>
      </c>
      <c r="F5397" s="1" t="s">
        <v>179</v>
      </c>
      <c r="G5397" s="4">
        <v>43339</v>
      </c>
      <c r="H5397" s="12">
        <v>6594617</v>
      </c>
      <c r="I5397" s="12">
        <v>666322</v>
      </c>
      <c r="J5397" s="1" t="s">
        <v>186</v>
      </c>
      <c r="K5397" s="29">
        <v>3</v>
      </c>
      <c r="L5397" s="1" t="s">
        <v>337</v>
      </c>
      <c r="M5397" s="29">
        <v>1</v>
      </c>
      <c r="Q5397" s="1">
        <v>19.3</v>
      </c>
      <c r="R5397" s="1">
        <v>6.6</v>
      </c>
      <c r="S5397" s="1">
        <v>71</v>
      </c>
    </row>
    <row r="5398" spans="2:43" x14ac:dyDescent="0.3">
      <c r="B5398" s="32" t="s">
        <v>517</v>
      </c>
      <c r="C5398" s="1" t="s">
        <v>514</v>
      </c>
      <c r="D5398" s="1">
        <v>2018</v>
      </c>
      <c r="E5398" s="28">
        <v>8</v>
      </c>
      <c r="F5398" s="1" t="s">
        <v>179</v>
      </c>
      <c r="G5398" s="4">
        <v>43339</v>
      </c>
      <c r="H5398" s="12">
        <v>6594617</v>
      </c>
      <c r="I5398" s="12">
        <v>666322</v>
      </c>
      <c r="J5398" s="1" t="s">
        <v>186</v>
      </c>
      <c r="K5398" s="29">
        <v>3</v>
      </c>
      <c r="L5398" s="1" t="s">
        <v>337</v>
      </c>
      <c r="M5398" s="29">
        <v>2</v>
      </c>
      <c r="Q5398" s="1">
        <v>19.2</v>
      </c>
      <c r="R5398" s="1">
        <v>6.4</v>
      </c>
      <c r="S5398" s="1">
        <v>69</v>
      </c>
    </row>
    <row r="5399" spans="2:43" x14ac:dyDescent="0.3">
      <c r="B5399" s="32" t="s">
        <v>517</v>
      </c>
      <c r="C5399" s="1" t="s">
        <v>514</v>
      </c>
      <c r="D5399" s="1">
        <v>2018</v>
      </c>
      <c r="E5399" s="28">
        <v>8</v>
      </c>
      <c r="F5399" s="1" t="s">
        <v>179</v>
      </c>
      <c r="G5399" s="4">
        <v>43339</v>
      </c>
      <c r="H5399" s="12">
        <v>6594617</v>
      </c>
      <c r="I5399" s="12">
        <v>666322</v>
      </c>
      <c r="J5399" s="1" t="s">
        <v>186</v>
      </c>
      <c r="K5399" s="29">
        <v>3</v>
      </c>
      <c r="L5399" s="1" t="s">
        <v>337</v>
      </c>
      <c r="M5399" s="29">
        <v>3</v>
      </c>
      <c r="Q5399" s="1">
        <v>19.100000000000001</v>
      </c>
      <c r="R5399" s="1">
        <v>6.2</v>
      </c>
      <c r="S5399" s="1">
        <v>67</v>
      </c>
    </row>
    <row r="5400" spans="2:43" x14ac:dyDescent="0.3">
      <c r="B5400" s="32" t="s">
        <v>517</v>
      </c>
      <c r="C5400" s="1" t="s">
        <v>514</v>
      </c>
      <c r="D5400" s="1">
        <v>2018</v>
      </c>
      <c r="E5400" s="28">
        <v>8</v>
      </c>
      <c r="F5400" s="1" t="s">
        <v>179</v>
      </c>
      <c r="G5400" s="4">
        <v>43339</v>
      </c>
      <c r="H5400" s="12">
        <v>6594617</v>
      </c>
      <c r="I5400" s="12">
        <v>666322</v>
      </c>
      <c r="J5400" s="1" t="s">
        <v>186</v>
      </c>
      <c r="K5400" s="29">
        <v>3</v>
      </c>
      <c r="L5400" s="1" t="s">
        <v>337</v>
      </c>
      <c r="M5400" s="29">
        <v>4</v>
      </c>
      <c r="Q5400" s="1">
        <v>19</v>
      </c>
      <c r="R5400" s="1">
        <v>6.2</v>
      </c>
      <c r="S5400" s="1">
        <v>67</v>
      </c>
    </row>
    <row r="5401" spans="2:43" x14ac:dyDescent="0.3">
      <c r="B5401" s="32" t="s">
        <v>517</v>
      </c>
      <c r="C5401" s="1" t="s">
        <v>514</v>
      </c>
      <c r="D5401" s="1">
        <v>2018</v>
      </c>
      <c r="E5401" s="28">
        <v>8</v>
      </c>
      <c r="F5401" s="1" t="s">
        <v>179</v>
      </c>
      <c r="G5401" s="4">
        <v>43339</v>
      </c>
      <c r="H5401" s="12">
        <v>6594617</v>
      </c>
      <c r="I5401" s="12">
        <v>666322</v>
      </c>
      <c r="J5401" s="1" t="s">
        <v>186</v>
      </c>
      <c r="K5401" s="29">
        <v>3</v>
      </c>
      <c r="L5401" s="1" t="s">
        <v>337</v>
      </c>
      <c r="M5401" s="29">
        <v>5</v>
      </c>
      <c r="Q5401" s="1">
        <v>19</v>
      </c>
      <c r="R5401" s="1">
        <v>6.2</v>
      </c>
      <c r="S5401" s="1">
        <v>66</v>
      </c>
    </row>
    <row r="5402" spans="2:43" x14ac:dyDescent="0.3">
      <c r="B5402" s="32" t="s">
        <v>517</v>
      </c>
      <c r="C5402" s="1" t="s">
        <v>514</v>
      </c>
      <c r="D5402" s="1">
        <v>2018</v>
      </c>
      <c r="E5402" s="28">
        <v>8</v>
      </c>
      <c r="F5402" s="1" t="s">
        <v>179</v>
      </c>
      <c r="G5402" s="4">
        <v>43339</v>
      </c>
      <c r="H5402" s="12">
        <v>6594617</v>
      </c>
      <c r="I5402" s="12">
        <v>666322</v>
      </c>
      <c r="J5402" s="1" t="s">
        <v>186</v>
      </c>
      <c r="K5402" s="29">
        <v>3</v>
      </c>
      <c r="L5402" s="1" t="s">
        <v>337</v>
      </c>
      <c r="M5402" s="29">
        <v>6</v>
      </c>
      <c r="Q5402" s="1">
        <v>19</v>
      </c>
      <c r="R5402" s="1">
        <v>6.1</v>
      </c>
      <c r="S5402" s="1">
        <v>66</v>
      </c>
    </row>
    <row r="5403" spans="2:43" x14ac:dyDescent="0.3">
      <c r="B5403" s="32" t="s">
        <v>517</v>
      </c>
      <c r="C5403" s="1" t="s">
        <v>514</v>
      </c>
      <c r="D5403" s="1">
        <v>2018</v>
      </c>
      <c r="E5403" s="28">
        <v>8</v>
      </c>
      <c r="F5403" s="1" t="s">
        <v>179</v>
      </c>
      <c r="G5403" s="4">
        <v>43339</v>
      </c>
      <c r="H5403" s="12">
        <v>6594617</v>
      </c>
      <c r="I5403" s="12">
        <v>666322</v>
      </c>
      <c r="J5403" s="1" t="s">
        <v>186</v>
      </c>
      <c r="K5403" s="29">
        <v>3</v>
      </c>
      <c r="L5403" s="1" t="s">
        <v>337</v>
      </c>
      <c r="M5403" s="29">
        <v>7</v>
      </c>
      <c r="Q5403" s="1">
        <v>18.899999999999999</v>
      </c>
      <c r="R5403" s="1">
        <v>6.1</v>
      </c>
      <c r="S5403" s="1">
        <v>65</v>
      </c>
    </row>
    <row r="5404" spans="2:43" x14ac:dyDescent="0.3">
      <c r="B5404" s="32" t="s">
        <v>517</v>
      </c>
      <c r="C5404" s="1" t="s">
        <v>514</v>
      </c>
      <c r="D5404" s="1">
        <v>2018</v>
      </c>
      <c r="E5404" s="28">
        <v>8</v>
      </c>
      <c r="F5404" s="1" t="s">
        <v>179</v>
      </c>
      <c r="G5404" s="4">
        <v>43339</v>
      </c>
      <c r="H5404" s="12">
        <v>6594617</v>
      </c>
      <c r="I5404" s="12">
        <v>666322</v>
      </c>
      <c r="J5404" s="1" t="s">
        <v>186</v>
      </c>
      <c r="K5404" s="29">
        <v>3</v>
      </c>
      <c r="L5404" s="1" t="s">
        <v>337</v>
      </c>
      <c r="M5404" s="29">
        <v>8</v>
      </c>
      <c r="Q5404" s="1">
        <v>1.4</v>
      </c>
      <c r="R5404" s="1">
        <v>1.2</v>
      </c>
      <c r="S5404" s="1">
        <v>13</v>
      </c>
    </row>
    <row r="5405" spans="2:43" x14ac:dyDescent="0.3">
      <c r="B5405" s="32" t="s">
        <v>517</v>
      </c>
      <c r="C5405" s="1" t="s">
        <v>514</v>
      </c>
      <c r="D5405" s="1">
        <v>2018</v>
      </c>
      <c r="E5405" s="28">
        <v>8</v>
      </c>
      <c r="F5405" s="1" t="s">
        <v>179</v>
      </c>
      <c r="G5405" s="4">
        <v>43339</v>
      </c>
      <c r="H5405" s="12">
        <v>6594617</v>
      </c>
      <c r="I5405" s="12">
        <v>666322</v>
      </c>
      <c r="J5405" s="1" t="s">
        <v>186</v>
      </c>
      <c r="K5405" s="29">
        <v>3</v>
      </c>
      <c r="L5405" s="1" t="s">
        <v>337</v>
      </c>
      <c r="M5405" s="29">
        <v>8.5</v>
      </c>
      <c r="P5405" s="1">
        <v>2.4</v>
      </c>
      <c r="V5405" s="1">
        <v>2.6</v>
      </c>
      <c r="W5405" s="1">
        <v>340</v>
      </c>
      <c r="Z5405" s="1">
        <v>180</v>
      </c>
      <c r="AA5405" s="1">
        <v>5.7</v>
      </c>
      <c r="AD5405" s="1">
        <v>16</v>
      </c>
      <c r="AE5405" s="1">
        <v>8</v>
      </c>
      <c r="AK5405" s="1">
        <v>220</v>
      </c>
      <c r="AL5405" s="1">
        <v>860</v>
      </c>
      <c r="AM5405" s="20" t="s">
        <v>1298</v>
      </c>
      <c r="AN5405" s="20" t="s">
        <v>1298</v>
      </c>
      <c r="AO5405" s="20" t="s">
        <v>1298</v>
      </c>
      <c r="AP5405" s="20"/>
      <c r="AQ5405" s="20"/>
    </row>
    <row r="5406" spans="2:43" x14ac:dyDescent="0.3">
      <c r="B5406" s="32" t="s">
        <v>517</v>
      </c>
      <c r="C5406" s="1" t="s">
        <v>514</v>
      </c>
      <c r="D5406" s="1">
        <v>2018</v>
      </c>
      <c r="E5406" s="28">
        <v>8</v>
      </c>
      <c r="F5406" s="1" t="s">
        <v>179</v>
      </c>
      <c r="G5406" s="4">
        <v>43339</v>
      </c>
      <c r="H5406" s="12">
        <v>6594617</v>
      </c>
      <c r="I5406" s="12">
        <v>666322</v>
      </c>
      <c r="J5406" s="1" t="s">
        <v>186</v>
      </c>
      <c r="K5406" s="29">
        <v>3</v>
      </c>
      <c r="L5406" s="1" t="s">
        <v>337</v>
      </c>
      <c r="M5406" s="29">
        <v>9</v>
      </c>
      <c r="Q5406" s="1">
        <v>15.1</v>
      </c>
      <c r="R5406" s="1">
        <v>0.2</v>
      </c>
      <c r="S5406" s="1">
        <v>2</v>
      </c>
    </row>
    <row r="5407" spans="2:43" x14ac:dyDescent="0.3">
      <c r="B5407" s="32" t="s">
        <v>517</v>
      </c>
      <c r="C5407" s="1" t="s">
        <v>514</v>
      </c>
      <c r="D5407" s="1">
        <v>2018</v>
      </c>
      <c r="E5407" s="28">
        <v>8</v>
      </c>
      <c r="F5407" s="1" t="s">
        <v>179</v>
      </c>
      <c r="G5407" s="4">
        <v>43339</v>
      </c>
      <c r="H5407" s="12">
        <v>6594617</v>
      </c>
      <c r="I5407" s="12">
        <v>666322</v>
      </c>
      <c r="J5407" s="1" t="s">
        <v>186</v>
      </c>
      <c r="K5407" s="29">
        <v>3</v>
      </c>
      <c r="L5407" s="1" t="s">
        <v>337</v>
      </c>
      <c r="M5407" s="29">
        <v>9.5</v>
      </c>
      <c r="P5407" s="1">
        <v>2.4</v>
      </c>
      <c r="V5407" s="1">
        <v>3</v>
      </c>
      <c r="W5407" s="1">
        <v>1200</v>
      </c>
      <c r="Z5407" s="1">
        <v>580</v>
      </c>
      <c r="AA5407" s="1">
        <v>4.5</v>
      </c>
      <c r="AD5407" s="1">
        <v>7.9</v>
      </c>
      <c r="AE5407" s="1">
        <v>7.8</v>
      </c>
      <c r="AK5407" s="1">
        <v>620</v>
      </c>
      <c r="AL5407" s="1">
        <v>1600</v>
      </c>
    </row>
    <row r="5408" spans="2:43" x14ac:dyDescent="0.3">
      <c r="B5408" s="32" t="s">
        <v>517</v>
      </c>
      <c r="C5408" s="1" t="s">
        <v>514</v>
      </c>
      <c r="D5408" s="1">
        <v>2018</v>
      </c>
      <c r="E5408" s="28">
        <v>8</v>
      </c>
      <c r="F5408" s="1" t="s">
        <v>179</v>
      </c>
      <c r="G5408" s="4">
        <v>43339</v>
      </c>
      <c r="H5408" s="12">
        <v>6594617</v>
      </c>
      <c r="I5408" s="12">
        <v>666322</v>
      </c>
      <c r="J5408" s="1" t="s">
        <v>186</v>
      </c>
      <c r="K5408" s="29">
        <v>3</v>
      </c>
      <c r="L5408" s="1" t="s">
        <v>337</v>
      </c>
      <c r="M5408" s="29">
        <v>10</v>
      </c>
      <c r="Q5408" s="1">
        <v>13.2</v>
      </c>
      <c r="R5408" s="1">
        <v>0.1</v>
      </c>
      <c r="S5408" s="1">
        <v>1</v>
      </c>
    </row>
    <row r="5409" spans="2:43" x14ac:dyDescent="0.3">
      <c r="B5409" s="32" t="s">
        <v>517</v>
      </c>
      <c r="C5409" s="1" t="s">
        <v>514</v>
      </c>
      <c r="D5409" s="1">
        <v>2018</v>
      </c>
      <c r="E5409" s="28">
        <v>9</v>
      </c>
      <c r="F5409" s="1" t="s">
        <v>179</v>
      </c>
      <c r="G5409" s="4">
        <v>43367</v>
      </c>
      <c r="H5409" s="12">
        <v>6594617</v>
      </c>
      <c r="I5409" s="12">
        <v>666322</v>
      </c>
      <c r="J5409" s="1" t="s">
        <v>186</v>
      </c>
      <c r="K5409" s="29">
        <v>3</v>
      </c>
      <c r="L5409" s="1" t="s">
        <v>337</v>
      </c>
      <c r="M5409" s="29">
        <v>0.5</v>
      </c>
      <c r="P5409" s="1">
        <v>2</v>
      </c>
      <c r="Q5409" s="1">
        <v>15.15</v>
      </c>
      <c r="R5409" s="1">
        <v>6.85</v>
      </c>
      <c r="S5409" s="1">
        <v>74.3</v>
      </c>
      <c r="V5409" s="1">
        <v>2.5</v>
      </c>
      <c r="W5409" s="1">
        <v>110</v>
      </c>
      <c r="Z5409" s="1">
        <v>91</v>
      </c>
      <c r="AA5409" s="1">
        <v>4.5999999999999996</v>
      </c>
      <c r="AB5409" s="1">
        <v>13</v>
      </c>
      <c r="AD5409" s="1">
        <v>70</v>
      </c>
      <c r="AE5409" s="1">
        <v>8.1999999999999993</v>
      </c>
      <c r="AK5409" s="1">
        <v>120</v>
      </c>
      <c r="AL5409" s="1">
        <v>770</v>
      </c>
    </row>
    <row r="5410" spans="2:43" x14ac:dyDescent="0.3">
      <c r="B5410" s="32" t="s">
        <v>517</v>
      </c>
      <c r="C5410" s="1" t="s">
        <v>514</v>
      </c>
      <c r="D5410" s="1">
        <v>2018</v>
      </c>
      <c r="E5410" s="28">
        <v>9</v>
      </c>
      <c r="F5410" s="1" t="s">
        <v>179</v>
      </c>
      <c r="G5410" s="4">
        <v>43367</v>
      </c>
      <c r="H5410" s="12">
        <v>6594617</v>
      </c>
      <c r="I5410" s="12">
        <v>666322</v>
      </c>
      <c r="J5410" s="1" t="s">
        <v>186</v>
      </c>
      <c r="K5410" s="29">
        <v>3</v>
      </c>
      <c r="L5410" s="1" t="s">
        <v>337</v>
      </c>
      <c r="M5410" s="29">
        <v>1</v>
      </c>
      <c r="Q5410" s="1">
        <v>15.16</v>
      </c>
      <c r="R5410" s="1">
        <v>6.96</v>
      </c>
      <c r="S5410" s="1">
        <v>75.400000000000006</v>
      </c>
    </row>
    <row r="5411" spans="2:43" x14ac:dyDescent="0.3">
      <c r="B5411" s="32" t="s">
        <v>517</v>
      </c>
      <c r="C5411" s="1" t="s">
        <v>514</v>
      </c>
      <c r="D5411" s="1">
        <v>2018</v>
      </c>
      <c r="E5411" s="28">
        <v>9</v>
      </c>
      <c r="F5411" s="1" t="s">
        <v>179</v>
      </c>
      <c r="G5411" s="4">
        <v>43367</v>
      </c>
      <c r="H5411" s="12">
        <v>6594617</v>
      </c>
      <c r="I5411" s="12">
        <v>666322</v>
      </c>
      <c r="J5411" s="1" t="s">
        <v>186</v>
      </c>
      <c r="K5411" s="29">
        <v>3</v>
      </c>
      <c r="L5411" s="1" t="s">
        <v>337</v>
      </c>
      <c r="M5411" s="29">
        <v>2</v>
      </c>
      <c r="Q5411" s="1">
        <v>15.14</v>
      </c>
      <c r="R5411" s="1">
        <v>6.4</v>
      </c>
      <c r="S5411" s="1">
        <v>73</v>
      </c>
    </row>
    <row r="5412" spans="2:43" x14ac:dyDescent="0.3">
      <c r="B5412" s="32" t="s">
        <v>517</v>
      </c>
      <c r="C5412" s="1" t="s">
        <v>514</v>
      </c>
      <c r="D5412" s="1">
        <v>2018</v>
      </c>
      <c r="E5412" s="28">
        <v>9</v>
      </c>
      <c r="F5412" s="1" t="s">
        <v>179</v>
      </c>
      <c r="G5412" s="4">
        <v>43367</v>
      </c>
      <c r="H5412" s="12">
        <v>6594617</v>
      </c>
      <c r="I5412" s="12">
        <v>666322</v>
      </c>
      <c r="J5412" s="1" t="s">
        <v>186</v>
      </c>
      <c r="K5412" s="29">
        <v>3</v>
      </c>
      <c r="L5412" s="1" t="s">
        <v>337</v>
      </c>
      <c r="M5412" s="29">
        <v>3</v>
      </c>
      <c r="Q5412" s="1">
        <v>15.15</v>
      </c>
      <c r="R5412" s="1">
        <v>6.4</v>
      </c>
      <c r="S5412" s="1">
        <v>74.2</v>
      </c>
    </row>
    <row r="5413" spans="2:43" x14ac:dyDescent="0.3">
      <c r="B5413" s="32" t="s">
        <v>517</v>
      </c>
      <c r="C5413" s="1" t="s">
        <v>514</v>
      </c>
      <c r="D5413" s="1">
        <v>2018</v>
      </c>
      <c r="E5413" s="28">
        <v>9</v>
      </c>
      <c r="F5413" s="1" t="s">
        <v>179</v>
      </c>
      <c r="G5413" s="4">
        <v>43367</v>
      </c>
      <c r="H5413" s="12">
        <v>6594617</v>
      </c>
      <c r="I5413" s="12">
        <v>666322</v>
      </c>
      <c r="J5413" s="1" t="s">
        <v>186</v>
      </c>
      <c r="K5413" s="29">
        <v>3</v>
      </c>
      <c r="L5413" s="1" t="s">
        <v>337</v>
      </c>
      <c r="M5413" s="29">
        <v>4</v>
      </c>
      <c r="Q5413" s="1">
        <v>15.14</v>
      </c>
      <c r="R5413" s="1">
        <v>6.7</v>
      </c>
      <c r="S5413" s="1">
        <v>74.5</v>
      </c>
    </row>
    <row r="5414" spans="2:43" x14ac:dyDescent="0.3">
      <c r="B5414" s="32" t="s">
        <v>517</v>
      </c>
      <c r="C5414" s="1" t="s">
        <v>514</v>
      </c>
      <c r="D5414" s="1">
        <v>2018</v>
      </c>
      <c r="E5414" s="28">
        <v>9</v>
      </c>
      <c r="F5414" s="1" t="s">
        <v>179</v>
      </c>
      <c r="G5414" s="4">
        <v>43367</v>
      </c>
      <c r="H5414" s="12">
        <v>6594617</v>
      </c>
      <c r="I5414" s="12">
        <v>666322</v>
      </c>
      <c r="J5414" s="1" t="s">
        <v>186</v>
      </c>
      <c r="K5414" s="29">
        <v>3</v>
      </c>
      <c r="L5414" s="1" t="s">
        <v>337</v>
      </c>
      <c r="M5414" s="29">
        <v>5</v>
      </c>
      <c r="Q5414" s="1">
        <v>15.14</v>
      </c>
      <c r="R5414" s="1">
        <v>6.7</v>
      </c>
      <c r="S5414" s="1">
        <v>73.5</v>
      </c>
    </row>
    <row r="5415" spans="2:43" x14ac:dyDescent="0.3">
      <c r="B5415" s="32" t="s">
        <v>517</v>
      </c>
      <c r="C5415" s="1" t="s">
        <v>514</v>
      </c>
      <c r="D5415" s="1">
        <v>2018</v>
      </c>
      <c r="E5415" s="28">
        <v>9</v>
      </c>
      <c r="F5415" s="1" t="s">
        <v>179</v>
      </c>
      <c r="G5415" s="4">
        <v>43367</v>
      </c>
      <c r="H5415" s="12">
        <v>6594617</v>
      </c>
      <c r="I5415" s="12">
        <v>666322</v>
      </c>
      <c r="J5415" s="1" t="s">
        <v>186</v>
      </c>
      <c r="K5415" s="29">
        <v>3</v>
      </c>
      <c r="L5415" s="1" t="s">
        <v>337</v>
      </c>
      <c r="M5415" s="29">
        <v>6</v>
      </c>
      <c r="Q5415" s="1">
        <v>15.15</v>
      </c>
      <c r="R5415" s="1">
        <v>6.84</v>
      </c>
      <c r="S5415" s="1">
        <v>73.599999999999994</v>
      </c>
    </row>
    <row r="5416" spans="2:43" x14ac:dyDescent="0.3">
      <c r="B5416" s="32" t="s">
        <v>517</v>
      </c>
      <c r="C5416" s="1" t="s">
        <v>514</v>
      </c>
      <c r="D5416" s="1">
        <v>2018</v>
      </c>
      <c r="E5416" s="28">
        <v>9</v>
      </c>
      <c r="F5416" s="1" t="s">
        <v>179</v>
      </c>
      <c r="G5416" s="4">
        <v>43367</v>
      </c>
      <c r="H5416" s="12">
        <v>6594617</v>
      </c>
      <c r="I5416" s="12">
        <v>666322</v>
      </c>
      <c r="J5416" s="1" t="s">
        <v>186</v>
      </c>
      <c r="K5416" s="29">
        <v>3</v>
      </c>
      <c r="L5416" s="1" t="s">
        <v>337</v>
      </c>
      <c r="M5416" s="29">
        <v>7</v>
      </c>
      <c r="Q5416" s="1">
        <v>15.14</v>
      </c>
      <c r="R5416" s="1">
        <v>6.88</v>
      </c>
      <c r="S5416" s="1">
        <v>74.7</v>
      </c>
    </row>
    <row r="5417" spans="2:43" x14ac:dyDescent="0.3">
      <c r="B5417" s="32" t="s">
        <v>517</v>
      </c>
      <c r="C5417" s="1" t="s">
        <v>514</v>
      </c>
      <c r="D5417" s="1">
        <v>2018</v>
      </c>
      <c r="E5417" s="28">
        <v>9</v>
      </c>
      <c r="F5417" s="1" t="s">
        <v>179</v>
      </c>
      <c r="G5417" s="4">
        <v>43367</v>
      </c>
      <c r="H5417" s="12">
        <v>6594617</v>
      </c>
      <c r="I5417" s="12">
        <v>666322</v>
      </c>
      <c r="J5417" s="1" t="s">
        <v>186</v>
      </c>
      <c r="K5417" s="29">
        <v>3</v>
      </c>
      <c r="L5417" s="1" t="s">
        <v>337</v>
      </c>
      <c r="M5417" s="29">
        <v>8</v>
      </c>
      <c r="Q5417" s="1">
        <v>15.14</v>
      </c>
      <c r="R5417" s="1">
        <v>7.02</v>
      </c>
      <c r="S5417" s="1">
        <v>75.3</v>
      </c>
    </row>
    <row r="5418" spans="2:43" x14ac:dyDescent="0.3">
      <c r="B5418" s="32" t="s">
        <v>517</v>
      </c>
      <c r="C5418" s="1" t="s">
        <v>514</v>
      </c>
      <c r="D5418" s="1">
        <v>2018</v>
      </c>
      <c r="E5418" s="28">
        <v>9</v>
      </c>
      <c r="F5418" s="1" t="s">
        <v>179</v>
      </c>
      <c r="G5418" s="4">
        <v>43367</v>
      </c>
      <c r="H5418" s="12">
        <v>6594617</v>
      </c>
      <c r="I5418" s="12">
        <v>666322</v>
      </c>
      <c r="J5418" s="1" t="s">
        <v>186</v>
      </c>
      <c r="K5418" s="29">
        <v>3</v>
      </c>
      <c r="L5418" s="1" t="s">
        <v>337</v>
      </c>
      <c r="M5418" s="29">
        <v>9</v>
      </c>
      <c r="P5418" s="1">
        <v>2</v>
      </c>
      <c r="Q5418" s="1">
        <v>15.13</v>
      </c>
      <c r="R5418" s="1">
        <v>6.99</v>
      </c>
      <c r="S5418" s="1">
        <v>74.3</v>
      </c>
      <c r="V5418" s="1">
        <v>2.5</v>
      </c>
      <c r="W5418" s="1">
        <v>110</v>
      </c>
      <c r="Z5418" s="1">
        <v>91</v>
      </c>
      <c r="AA5418" s="1">
        <v>5.9</v>
      </c>
      <c r="AD5418" s="1">
        <v>69</v>
      </c>
      <c r="AE5418" s="1">
        <v>8.1999999999999993</v>
      </c>
      <c r="AK5418" s="1">
        <v>120</v>
      </c>
      <c r="AL5418" s="1">
        <v>750</v>
      </c>
      <c r="AM5418" s="20" t="s">
        <v>1298</v>
      </c>
      <c r="AN5418" s="20" t="s">
        <v>1298</v>
      </c>
      <c r="AO5418" s="20" t="s">
        <v>1298</v>
      </c>
      <c r="AP5418" s="20"/>
      <c r="AQ5418" s="20"/>
    </row>
    <row r="5419" spans="2:43" x14ac:dyDescent="0.3">
      <c r="B5419" s="32" t="s">
        <v>517</v>
      </c>
      <c r="C5419" s="1" t="s">
        <v>514</v>
      </c>
      <c r="D5419" s="1">
        <v>2018</v>
      </c>
      <c r="E5419" s="28">
        <v>9</v>
      </c>
      <c r="F5419" s="1" t="s">
        <v>179</v>
      </c>
      <c r="G5419" s="4">
        <v>43367</v>
      </c>
      <c r="H5419" s="12">
        <v>6594617</v>
      </c>
      <c r="I5419" s="12">
        <v>666322</v>
      </c>
      <c r="J5419" s="1" t="s">
        <v>186</v>
      </c>
      <c r="K5419" s="29">
        <v>3</v>
      </c>
      <c r="L5419" s="1" t="s">
        <v>337</v>
      </c>
      <c r="M5419" s="29">
        <v>10</v>
      </c>
      <c r="P5419" s="1">
        <v>2</v>
      </c>
      <c r="Q5419" s="1">
        <v>15.12</v>
      </c>
      <c r="R5419" s="1">
        <v>6.95</v>
      </c>
      <c r="S5419" s="1">
        <v>72.7</v>
      </c>
      <c r="V5419" s="1">
        <v>2.5</v>
      </c>
      <c r="W5419" s="1">
        <v>100</v>
      </c>
      <c r="Z5419" s="1">
        <v>100</v>
      </c>
      <c r="AD5419" s="1">
        <v>70</v>
      </c>
      <c r="AE5419" s="1">
        <v>8.1999999999999993</v>
      </c>
      <c r="AK5419" s="1">
        <v>120</v>
      </c>
      <c r="AL5419" s="1">
        <v>750</v>
      </c>
    </row>
    <row r="5420" spans="2:43" x14ac:dyDescent="0.3">
      <c r="B5420" s="32" t="s">
        <v>517</v>
      </c>
      <c r="C5420" s="1" t="s">
        <v>514</v>
      </c>
      <c r="D5420" s="1">
        <v>2018</v>
      </c>
      <c r="E5420" s="28">
        <v>10</v>
      </c>
      <c r="F5420" s="1" t="s">
        <v>180</v>
      </c>
      <c r="G5420" s="4">
        <v>43395</v>
      </c>
      <c r="H5420" s="12">
        <v>6594617</v>
      </c>
      <c r="I5420" s="12">
        <v>666322</v>
      </c>
      <c r="J5420" s="1" t="s">
        <v>186</v>
      </c>
      <c r="K5420" s="29">
        <v>3</v>
      </c>
      <c r="L5420" s="1" t="s">
        <v>337</v>
      </c>
      <c r="M5420" s="29">
        <v>0.5</v>
      </c>
      <c r="P5420" s="1">
        <v>2.5</v>
      </c>
      <c r="Q5420" s="1">
        <v>10.9</v>
      </c>
      <c r="R5420" s="1">
        <v>7.8</v>
      </c>
      <c r="S5420" s="1">
        <v>70.7</v>
      </c>
      <c r="V5420" s="1">
        <v>2.5</v>
      </c>
      <c r="W5420" s="1">
        <v>140</v>
      </c>
      <c r="Z5420" s="1">
        <v>90</v>
      </c>
      <c r="AA5420" s="1">
        <v>2.2999999999999998</v>
      </c>
      <c r="AB5420" s="1">
        <v>5.2</v>
      </c>
      <c r="AD5420" s="1">
        <v>150</v>
      </c>
      <c r="AE5420" s="1">
        <v>8.1999999999999993</v>
      </c>
      <c r="AK5420" s="1">
        <v>110</v>
      </c>
      <c r="AL5420" s="1">
        <v>890</v>
      </c>
    </row>
    <row r="5421" spans="2:43" x14ac:dyDescent="0.3">
      <c r="B5421" s="32" t="s">
        <v>517</v>
      </c>
      <c r="C5421" s="1" t="s">
        <v>514</v>
      </c>
      <c r="D5421" s="1">
        <v>2018</v>
      </c>
      <c r="E5421" s="28">
        <v>10</v>
      </c>
      <c r="F5421" s="1" t="s">
        <v>180</v>
      </c>
      <c r="G5421" s="4">
        <v>43395</v>
      </c>
      <c r="H5421" s="12">
        <v>6594617</v>
      </c>
      <c r="I5421" s="12">
        <v>666322</v>
      </c>
      <c r="J5421" s="1" t="s">
        <v>186</v>
      </c>
      <c r="K5421" s="29">
        <v>3</v>
      </c>
      <c r="L5421" s="1" t="s">
        <v>337</v>
      </c>
      <c r="M5421" s="29">
        <v>1</v>
      </c>
      <c r="Q5421" s="1">
        <v>10.9</v>
      </c>
      <c r="R5421" s="1">
        <v>7.75</v>
      </c>
      <c r="S5421" s="1">
        <v>70.099999999999994</v>
      </c>
    </row>
    <row r="5422" spans="2:43" x14ac:dyDescent="0.3">
      <c r="B5422" s="32" t="s">
        <v>517</v>
      </c>
      <c r="C5422" s="1" t="s">
        <v>514</v>
      </c>
      <c r="D5422" s="1">
        <v>2018</v>
      </c>
      <c r="E5422" s="28">
        <v>10</v>
      </c>
      <c r="F5422" s="1" t="s">
        <v>180</v>
      </c>
      <c r="G5422" s="4">
        <v>43395</v>
      </c>
      <c r="H5422" s="12">
        <v>6594617</v>
      </c>
      <c r="I5422" s="12">
        <v>666322</v>
      </c>
      <c r="J5422" s="1" t="s">
        <v>186</v>
      </c>
      <c r="K5422" s="29">
        <v>3</v>
      </c>
      <c r="L5422" s="1" t="s">
        <v>337</v>
      </c>
      <c r="M5422" s="29">
        <v>2</v>
      </c>
      <c r="Q5422" s="1">
        <v>10.9</v>
      </c>
      <c r="R5422" s="1">
        <v>7.72</v>
      </c>
      <c r="S5422" s="1">
        <v>69.900000000000006</v>
      </c>
    </row>
    <row r="5423" spans="2:43" x14ac:dyDescent="0.3">
      <c r="B5423" s="32" t="s">
        <v>517</v>
      </c>
      <c r="C5423" s="1" t="s">
        <v>514</v>
      </c>
      <c r="D5423" s="1">
        <v>2018</v>
      </c>
      <c r="E5423" s="28">
        <v>10</v>
      </c>
      <c r="F5423" s="1" t="s">
        <v>180</v>
      </c>
      <c r="G5423" s="4">
        <v>43395</v>
      </c>
      <c r="H5423" s="12">
        <v>6594617</v>
      </c>
      <c r="I5423" s="12">
        <v>666322</v>
      </c>
      <c r="J5423" s="1" t="s">
        <v>186</v>
      </c>
      <c r="K5423" s="29">
        <v>3</v>
      </c>
      <c r="L5423" s="1" t="s">
        <v>337</v>
      </c>
      <c r="M5423" s="29">
        <v>3</v>
      </c>
      <c r="Q5423" s="1">
        <v>10.8</v>
      </c>
      <c r="R5423" s="1">
        <v>7.71</v>
      </c>
      <c r="S5423" s="1">
        <v>69.599999999999994</v>
      </c>
    </row>
    <row r="5424" spans="2:43" x14ac:dyDescent="0.3">
      <c r="B5424" s="32" t="s">
        <v>517</v>
      </c>
      <c r="C5424" s="1" t="s">
        <v>514</v>
      </c>
      <c r="D5424" s="1">
        <v>2018</v>
      </c>
      <c r="E5424" s="28">
        <v>10</v>
      </c>
      <c r="F5424" s="1" t="s">
        <v>180</v>
      </c>
      <c r="G5424" s="4">
        <v>43395</v>
      </c>
      <c r="H5424" s="12">
        <v>6594617</v>
      </c>
      <c r="I5424" s="12">
        <v>666322</v>
      </c>
      <c r="J5424" s="1" t="s">
        <v>186</v>
      </c>
      <c r="K5424" s="29">
        <v>3</v>
      </c>
      <c r="L5424" s="1" t="s">
        <v>337</v>
      </c>
      <c r="M5424" s="29">
        <v>4</v>
      </c>
      <c r="Q5424" s="1">
        <v>10.8</v>
      </c>
      <c r="R5424" s="1">
        <v>7.69</v>
      </c>
      <c r="S5424" s="1">
        <v>69.400000000000006</v>
      </c>
    </row>
    <row r="5425" spans="2:44" x14ac:dyDescent="0.3">
      <c r="B5425" s="32" t="s">
        <v>517</v>
      </c>
      <c r="C5425" s="1" t="s">
        <v>514</v>
      </c>
      <c r="D5425" s="1">
        <v>2018</v>
      </c>
      <c r="E5425" s="28">
        <v>10</v>
      </c>
      <c r="F5425" s="1" t="s">
        <v>180</v>
      </c>
      <c r="G5425" s="4">
        <v>43395</v>
      </c>
      <c r="H5425" s="12">
        <v>6594617</v>
      </c>
      <c r="I5425" s="12">
        <v>666322</v>
      </c>
      <c r="J5425" s="1" t="s">
        <v>186</v>
      </c>
      <c r="K5425" s="29">
        <v>3</v>
      </c>
      <c r="L5425" s="1" t="s">
        <v>337</v>
      </c>
      <c r="M5425" s="29">
        <v>5</v>
      </c>
      <c r="Q5425" s="1">
        <v>10.8</v>
      </c>
      <c r="R5425" s="1">
        <v>7.67</v>
      </c>
      <c r="S5425" s="1">
        <v>69.2</v>
      </c>
    </row>
    <row r="5426" spans="2:44" x14ac:dyDescent="0.3">
      <c r="B5426" s="32" t="s">
        <v>517</v>
      </c>
      <c r="C5426" s="1" t="s">
        <v>514</v>
      </c>
      <c r="D5426" s="1">
        <v>2018</v>
      </c>
      <c r="E5426" s="28">
        <v>10</v>
      </c>
      <c r="F5426" s="1" t="s">
        <v>180</v>
      </c>
      <c r="G5426" s="4">
        <v>43395</v>
      </c>
      <c r="H5426" s="12">
        <v>6594617</v>
      </c>
      <c r="I5426" s="12">
        <v>666322</v>
      </c>
      <c r="J5426" s="1" t="s">
        <v>186</v>
      </c>
      <c r="K5426" s="29">
        <v>3</v>
      </c>
      <c r="L5426" s="1" t="s">
        <v>337</v>
      </c>
      <c r="M5426" s="29">
        <v>6</v>
      </c>
      <c r="Q5426" s="1">
        <v>10.8</v>
      </c>
      <c r="R5426" s="1">
        <v>7.65</v>
      </c>
      <c r="S5426" s="1">
        <v>69.099999999999994</v>
      </c>
    </row>
    <row r="5427" spans="2:44" x14ac:dyDescent="0.3">
      <c r="B5427" s="32" t="s">
        <v>517</v>
      </c>
      <c r="C5427" s="1" t="s">
        <v>514</v>
      </c>
      <c r="D5427" s="1">
        <v>2018</v>
      </c>
      <c r="E5427" s="28">
        <v>10</v>
      </c>
      <c r="F5427" s="1" t="s">
        <v>180</v>
      </c>
      <c r="G5427" s="4">
        <v>43395</v>
      </c>
      <c r="H5427" s="12">
        <v>6594617</v>
      </c>
      <c r="I5427" s="12">
        <v>666322</v>
      </c>
      <c r="J5427" s="1" t="s">
        <v>186</v>
      </c>
      <c r="K5427" s="29">
        <v>3</v>
      </c>
      <c r="L5427" s="1" t="s">
        <v>337</v>
      </c>
      <c r="M5427" s="29">
        <v>7</v>
      </c>
      <c r="Q5427" s="1">
        <v>10.8</v>
      </c>
      <c r="R5427" s="1">
        <v>7.63</v>
      </c>
      <c r="S5427" s="1">
        <v>68.8</v>
      </c>
    </row>
    <row r="5428" spans="2:44" x14ac:dyDescent="0.3">
      <c r="B5428" s="32" t="s">
        <v>517</v>
      </c>
      <c r="C5428" s="1" t="s">
        <v>514</v>
      </c>
      <c r="D5428" s="1">
        <v>2018</v>
      </c>
      <c r="E5428" s="28">
        <v>10</v>
      </c>
      <c r="F5428" s="1" t="s">
        <v>180</v>
      </c>
      <c r="G5428" s="4">
        <v>43395</v>
      </c>
      <c r="H5428" s="12">
        <v>6594617</v>
      </c>
      <c r="I5428" s="12">
        <v>666322</v>
      </c>
      <c r="J5428" s="1" t="s">
        <v>186</v>
      </c>
      <c r="K5428" s="29">
        <v>3</v>
      </c>
      <c r="L5428" s="1" t="s">
        <v>337</v>
      </c>
      <c r="M5428" s="29">
        <v>8</v>
      </c>
      <c r="Q5428" s="1">
        <v>10.8</v>
      </c>
      <c r="R5428" s="1">
        <v>7.62</v>
      </c>
      <c r="S5428" s="1">
        <v>68.7</v>
      </c>
    </row>
    <row r="5429" spans="2:44" x14ac:dyDescent="0.3">
      <c r="B5429" s="32" t="s">
        <v>517</v>
      </c>
      <c r="C5429" s="1" t="s">
        <v>514</v>
      </c>
      <c r="D5429" s="1">
        <v>2018</v>
      </c>
      <c r="E5429" s="28">
        <v>10</v>
      </c>
      <c r="F5429" s="1" t="s">
        <v>180</v>
      </c>
      <c r="G5429" s="4">
        <v>43395</v>
      </c>
      <c r="H5429" s="12">
        <v>6594617</v>
      </c>
      <c r="I5429" s="12">
        <v>666322</v>
      </c>
      <c r="J5429" s="1" t="s">
        <v>186</v>
      </c>
      <c r="K5429" s="29">
        <v>3</v>
      </c>
      <c r="L5429" s="1" t="s">
        <v>337</v>
      </c>
      <c r="M5429" s="29">
        <v>8.5</v>
      </c>
      <c r="P5429" s="1">
        <v>2.5</v>
      </c>
      <c r="V5429" s="1">
        <v>2.5</v>
      </c>
      <c r="W5429" s="1">
        <v>140</v>
      </c>
      <c r="Z5429" s="1">
        <v>91</v>
      </c>
      <c r="AA5429" s="1">
        <v>2.6</v>
      </c>
      <c r="AD5429" s="1">
        <v>150</v>
      </c>
      <c r="AE5429" s="1">
        <v>8.1</v>
      </c>
      <c r="AK5429" s="1">
        <v>110</v>
      </c>
      <c r="AL5429" s="1">
        <v>900</v>
      </c>
      <c r="AN5429" s="20" t="s">
        <v>1298</v>
      </c>
      <c r="AO5429" s="20" t="s">
        <v>1298</v>
      </c>
      <c r="AP5429" s="20"/>
      <c r="AQ5429" s="20"/>
      <c r="AR5429" s="20" t="s">
        <v>1298</v>
      </c>
    </row>
    <row r="5430" spans="2:44" x14ac:dyDescent="0.3">
      <c r="B5430" s="32" t="s">
        <v>517</v>
      </c>
      <c r="C5430" s="1" t="s">
        <v>514</v>
      </c>
      <c r="D5430" s="1">
        <v>2018</v>
      </c>
      <c r="E5430" s="28">
        <v>10</v>
      </c>
      <c r="F5430" s="1" t="s">
        <v>180</v>
      </c>
      <c r="G5430" s="4">
        <v>43395</v>
      </c>
      <c r="H5430" s="12">
        <v>6594617</v>
      </c>
      <c r="I5430" s="12">
        <v>666322</v>
      </c>
      <c r="J5430" s="1" t="s">
        <v>186</v>
      </c>
      <c r="K5430" s="29">
        <v>3</v>
      </c>
      <c r="L5430" s="1" t="s">
        <v>337</v>
      </c>
      <c r="M5430" s="29">
        <v>9</v>
      </c>
      <c r="Q5430" s="1">
        <v>10.8</v>
      </c>
      <c r="R5430" s="1">
        <v>7.58</v>
      </c>
      <c r="S5430" s="1">
        <v>68.5</v>
      </c>
    </row>
    <row r="5431" spans="2:44" x14ac:dyDescent="0.3">
      <c r="B5431" s="32" t="s">
        <v>517</v>
      </c>
      <c r="C5431" s="1" t="s">
        <v>514</v>
      </c>
      <c r="D5431" s="1">
        <v>2018</v>
      </c>
      <c r="E5431" s="28">
        <v>10</v>
      </c>
      <c r="F5431" s="1" t="s">
        <v>180</v>
      </c>
      <c r="G5431" s="4">
        <v>43395</v>
      </c>
      <c r="H5431" s="12">
        <v>6594617</v>
      </c>
      <c r="I5431" s="12">
        <v>666322</v>
      </c>
      <c r="J5431" s="1" t="s">
        <v>186</v>
      </c>
      <c r="K5431" s="29">
        <v>3</v>
      </c>
      <c r="L5431" s="1" t="s">
        <v>337</v>
      </c>
      <c r="M5431" s="29">
        <v>9.5</v>
      </c>
      <c r="P5431" s="1">
        <v>2.5</v>
      </c>
      <c r="V5431" s="1">
        <v>2.5</v>
      </c>
      <c r="W5431" s="1">
        <v>140</v>
      </c>
      <c r="Z5431" s="1">
        <v>88</v>
      </c>
      <c r="AA5431" s="1">
        <v>3.1</v>
      </c>
      <c r="AD5431" s="1">
        <v>150</v>
      </c>
      <c r="AE5431" s="1">
        <v>8.1999999999999993</v>
      </c>
      <c r="AK5431" s="1">
        <v>110</v>
      </c>
      <c r="AL5431" s="1">
        <v>960</v>
      </c>
    </row>
    <row r="5432" spans="2:44" x14ac:dyDescent="0.3">
      <c r="B5432" s="32" t="s">
        <v>517</v>
      </c>
      <c r="C5432" s="1" t="s">
        <v>514</v>
      </c>
      <c r="D5432" s="1">
        <v>2018</v>
      </c>
      <c r="E5432" s="28">
        <v>10</v>
      </c>
      <c r="F5432" s="1" t="s">
        <v>180</v>
      </c>
      <c r="G5432" s="4">
        <v>43395</v>
      </c>
      <c r="H5432" s="12">
        <v>6594617</v>
      </c>
      <c r="I5432" s="12">
        <v>666322</v>
      </c>
      <c r="J5432" s="1" t="s">
        <v>186</v>
      </c>
      <c r="K5432" s="29">
        <v>3</v>
      </c>
      <c r="L5432" s="1" t="s">
        <v>337</v>
      </c>
      <c r="M5432" s="29">
        <v>10</v>
      </c>
      <c r="Q5432" s="1">
        <v>10.8</v>
      </c>
      <c r="R5432" s="1">
        <v>7.54</v>
      </c>
      <c r="S5432" s="1">
        <v>68.099999999999994</v>
      </c>
    </row>
    <row r="5433" spans="2:44" x14ac:dyDescent="0.3">
      <c r="B5433" s="32" t="s">
        <v>517</v>
      </c>
      <c r="C5433" s="1" t="s">
        <v>514</v>
      </c>
      <c r="D5433" s="1">
        <v>2018</v>
      </c>
      <c r="E5433" s="28">
        <v>11</v>
      </c>
      <c r="F5433" s="1" t="s">
        <v>180</v>
      </c>
      <c r="G5433" s="4">
        <v>43430</v>
      </c>
      <c r="H5433" s="12">
        <v>6594617</v>
      </c>
      <c r="I5433" s="12">
        <v>666322</v>
      </c>
      <c r="J5433" s="1" t="s">
        <v>186</v>
      </c>
      <c r="K5433" s="29">
        <v>3</v>
      </c>
      <c r="L5433" s="1" t="s">
        <v>337</v>
      </c>
      <c r="M5433" s="29">
        <v>0.5</v>
      </c>
      <c r="P5433" s="1">
        <v>4</v>
      </c>
      <c r="Q5433" s="1">
        <v>5.0999999999999996</v>
      </c>
      <c r="R5433" s="1">
        <v>10.199999999999999</v>
      </c>
      <c r="S5433" s="1">
        <v>80</v>
      </c>
      <c r="V5433" s="1">
        <v>2.4</v>
      </c>
      <c r="W5433" s="1">
        <v>20</v>
      </c>
      <c r="Z5433" s="1">
        <v>87</v>
      </c>
      <c r="AA5433" s="1">
        <v>1.5</v>
      </c>
      <c r="AB5433" s="1" t="s">
        <v>518</v>
      </c>
      <c r="AD5433" s="1">
        <v>390</v>
      </c>
      <c r="AE5433" s="1">
        <v>8</v>
      </c>
      <c r="AK5433" s="1">
        <v>110</v>
      </c>
      <c r="AL5433" s="1">
        <v>1000</v>
      </c>
    </row>
    <row r="5434" spans="2:44" x14ac:dyDescent="0.3">
      <c r="B5434" s="32" t="s">
        <v>517</v>
      </c>
      <c r="C5434" s="1" t="s">
        <v>514</v>
      </c>
      <c r="D5434" s="1">
        <v>2018</v>
      </c>
      <c r="E5434" s="28">
        <v>11</v>
      </c>
      <c r="F5434" s="1" t="s">
        <v>180</v>
      </c>
      <c r="G5434" s="4">
        <v>43430</v>
      </c>
      <c r="H5434" s="12">
        <v>6594617</v>
      </c>
      <c r="I5434" s="12">
        <v>666322</v>
      </c>
      <c r="J5434" s="1" t="s">
        <v>186</v>
      </c>
      <c r="K5434" s="29">
        <v>3</v>
      </c>
      <c r="L5434" s="1" t="s">
        <v>337</v>
      </c>
      <c r="M5434" s="29">
        <v>1</v>
      </c>
      <c r="Q5434" s="1">
        <v>5</v>
      </c>
      <c r="R5434" s="1">
        <v>10</v>
      </c>
      <c r="S5434" s="1">
        <v>78</v>
      </c>
    </row>
    <row r="5435" spans="2:44" x14ac:dyDescent="0.3">
      <c r="B5435" s="32" t="s">
        <v>517</v>
      </c>
      <c r="C5435" s="1" t="s">
        <v>514</v>
      </c>
      <c r="D5435" s="1">
        <v>2018</v>
      </c>
      <c r="E5435" s="28">
        <v>11</v>
      </c>
      <c r="F5435" s="1" t="s">
        <v>180</v>
      </c>
      <c r="G5435" s="4">
        <v>43430</v>
      </c>
      <c r="H5435" s="12">
        <v>6594617</v>
      </c>
      <c r="I5435" s="12">
        <v>666322</v>
      </c>
      <c r="J5435" s="1" t="s">
        <v>186</v>
      </c>
      <c r="K5435" s="29">
        <v>3</v>
      </c>
      <c r="L5435" s="1" t="s">
        <v>337</v>
      </c>
      <c r="M5435" s="29">
        <v>2</v>
      </c>
      <c r="Q5435" s="1">
        <v>5</v>
      </c>
      <c r="R5435" s="1">
        <v>9.9</v>
      </c>
      <c r="S5435" s="1">
        <v>78</v>
      </c>
    </row>
    <row r="5436" spans="2:44" x14ac:dyDescent="0.3">
      <c r="B5436" s="32" t="s">
        <v>517</v>
      </c>
      <c r="C5436" s="1" t="s">
        <v>514</v>
      </c>
      <c r="D5436" s="1">
        <v>2018</v>
      </c>
      <c r="E5436" s="28">
        <v>11</v>
      </c>
      <c r="F5436" s="1" t="s">
        <v>180</v>
      </c>
      <c r="G5436" s="4">
        <v>43430</v>
      </c>
      <c r="H5436" s="12">
        <v>6594617</v>
      </c>
      <c r="I5436" s="12">
        <v>666322</v>
      </c>
      <c r="J5436" s="1" t="s">
        <v>186</v>
      </c>
      <c r="K5436" s="29">
        <v>3</v>
      </c>
      <c r="L5436" s="1" t="s">
        <v>337</v>
      </c>
      <c r="M5436" s="29">
        <v>3</v>
      </c>
      <c r="Q5436" s="1">
        <v>5</v>
      </c>
      <c r="R5436" s="1">
        <v>9.8000000000000007</v>
      </c>
      <c r="S5436" s="1">
        <v>77</v>
      </c>
    </row>
    <row r="5437" spans="2:44" x14ac:dyDescent="0.3">
      <c r="B5437" s="32" t="s">
        <v>517</v>
      </c>
      <c r="C5437" s="1" t="s">
        <v>514</v>
      </c>
      <c r="D5437" s="1">
        <v>2018</v>
      </c>
      <c r="E5437" s="28">
        <v>11</v>
      </c>
      <c r="F5437" s="1" t="s">
        <v>180</v>
      </c>
      <c r="G5437" s="4">
        <v>43430</v>
      </c>
      <c r="H5437" s="12">
        <v>6594617</v>
      </c>
      <c r="I5437" s="12">
        <v>666322</v>
      </c>
      <c r="J5437" s="1" t="s">
        <v>186</v>
      </c>
      <c r="K5437" s="29">
        <v>3</v>
      </c>
      <c r="L5437" s="1" t="s">
        <v>337</v>
      </c>
      <c r="M5437" s="29">
        <v>4</v>
      </c>
      <c r="Q5437" s="1">
        <v>4.9000000000000004</v>
      </c>
      <c r="R5437" s="1">
        <v>9.8000000000000007</v>
      </c>
      <c r="S5437" s="1">
        <v>77</v>
      </c>
    </row>
    <row r="5438" spans="2:44" x14ac:dyDescent="0.3">
      <c r="B5438" s="32" t="s">
        <v>517</v>
      </c>
      <c r="C5438" s="1" t="s">
        <v>514</v>
      </c>
      <c r="D5438" s="1">
        <v>2018</v>
      </c>
      <c r="E5438" s="28">
        <v>11</v>
      </c>
      <c r="F5438" s="1" t="s">
        <v>180</v>
      </c>
      <c r="G5438" s="4">
        <v>43430</v>
      </c>
      <c r="H5438" s="12">
        <v>6594617</v>
      </c>
      <c r="I5438" s="12">
        <v>666322</v>
      </c>
      <c r="J5438" s="1" t="s">
        <v>186</v>
      </c>
      <c r="K5438" s="29">
        <v>3</v>
      </c>
      <c r="L5438" s="1" t="s">
        <v>337</v>
      </c>
      <c r="M5438" s="29">
        <v>5</v>
      </c>
      <c r="Q5438" s="1">
        <v>4.9000000000000004</v>
      </c>
      <c r="R5438" s="1">
        <v>9.8000000000000007</v>
      </c>
      <c r="S5438" s="1">
        <v>76</v>
      </c>
    </row>
    <row r="5439" spans="2:44" x14ac:dyDescent="0.3">
      <c r="B5439" s="32" t="s">
        <v>517</v>
      </c>
      <c r="C5439" s="1" t="s">
        <v>514</v>
      </c>
      <c r="D5439" s="1">
        <v>2018</v>
      </c>
      <c r="E5439" s="28">
        <v>11</v>
      </c>
      <c r="F5439" s="1" t="s">
        <v>180</v>
      </c>
      <c r="G5439" s="4">
        <v>43430</v>
      </c>
      <c r="H5439" s="12">
        <v>6594617</v>
      </c>
      <c r="I5439" s="12">
        <v>666322</v>
      </c>
      <c r="J5439" s="1" t="s">
        <v>186</v>
      </c>
      <c r="K5439" s="29">
        <v>3</v>
      </c>
      <c r="L5439" s="1" t="s">
        <v>337</v>
      </c>
      <c r="M5439" s="29">
        <v>6</v>
      </c>
      <c r="Q5439" s="1">
        <v>4.9000000000000004</v>
      </c>
      <c r="R5439" s="1">
        <v>9.6999999999999993</v>
      </c>
      <c r="S5439" s="1">
        <v>76</v>
      </c>
    </row>
    <row r="5440" spans="2:44" x14ac:dyDescent="0.3">
      <c r="B5440" s="32" t="s">
        <v>517</v>
      </c>
      <c r="C5440" s="1" t="s">
        <v>514</v>
      </c>
      <c r="D5440" s="1">
        <v>2018</v>
      </c>
      <c r="E5440" s="28">
        <v>11</v>
      </c>
      <c r="F5440" s="1" t="s">
        <v>180</v>
      </c>
      <c r="G5440" s="4">
        <v>43430</v>
      </c>
      <c r="H5440" s="12">
        <v>6594617</v>
      </c>
      <c r="I5440" s="12">
        <v>666322</v>
      </c>
      <c r="J5440" s="1" t="s">
        <v>186</v>
      </c>
      <c r="K5440" s="29">
        <v>3</v>
      </c>
      <c r="L5440" s="1" t="s">
        <v>337</v>
      </c>
      <c r="M5440" s="29">
        <v>7</v>
      </c>
      <c r="Q5440" s="1">
        <v>4.9000000000000004</v>
      </c>
      <c r="R5440" s="1">
        <v>9.6999999999999993</v>
      </c>
      <c r="S5440" s="1">
        <v>76</v>
      </c>
    </row>
    <row r="5441" spans="2:38" x14ac:dyDescent="0.3">
      <c r="B5441" s="32" t="s">
        <v>517</v>
      </c>
      <c r="C5441" s="1" t="s">
        <v>514</v>
      </c>
      <c r="D5441" s="1">
        <v>2018</v>
      </c>
      <c r="E5441" s="28">
        <v>11</v>
      </c>
      <c r="F5441" s="1" t="s">
        <v>180</v>
      </c>
      <c r="G5441" s="4">
        <v>43430</v>
      </c>
      <c r="H5441" s="12">
        <v>6594617</v>
      </c>
      <c r="I5441" s="12">
        <v>666322</v>
      </c>
      <c r="J5441" s="1" t="s">
        <v>186</v>
      </c>
      <c r="K5441" s="29">
        <v>3</v>
      </c>
      <c r="L5441" s="1" t="s">
        <v>337</v>
      </c>
      <c r="M5441" s="29">
        <v>8</v>
      </c>
      <c r="Q5441" s="1">
        <v>4.9000000000000004</v>
      </c>
      <c r="R5441" s="1">
        <v>9.6999999999999993</v>
      </c>
      <c r="S5441" s="1">
        <v>75</v>
      </c>
    </row>
    <row r="5442" spans="2:38" x14ac:dyDescent="0.3">
      <c r="B5442" s="32" t="s">
        <v>517</v>
      </c>
      <c r="C5442" s="1" t="s">
        <v>514</v>
      </c>
      <c r="D5442" s="1">
        <v>2018</v>
      </c>
      <c r="E5442" s="28">
        <v>11</v>
      </c>
      <c r="F5442" s="1" t="s">
        <v>180</v>
      </c>
      <c r="G5442" s="4">
        <v>43430</v>
      </c>
      <c r="H5442" s="12">
        <v>6594617</v>
      </c>
      <c r="I5442" s="12">
        <v>666322</v>
      </c>
      <c r="J5442" s="1" t="s">
        <v>186</v>
      </c>
      <c r="K5442" s="29">
        <v>3</v>
      </c>
      <c r="L5442" s="1" t="s">
        <v>337</v>
      </c>
      <c r="M5442" s="29">
        <v>9</v>
      </c>
      <c r="Q5442" s="1">
        <v>4.9000000000000004</v>
      </c>
      <c r="R5442" s="1">
        <v>9.6</v>
      </c>
      <c r="S5442" s="1">
        <v>75</v>
      </c>
    </row>
    <row r="5443" spans="2:38" x14ac:dyDescent="0.3">
      <c r="B5443" s="32" t="s">
        <v>517</v>
      </c>
      <c r="C5443" s="1" t="s">
        <v>514</v>
      </c>
      <c r="D5443" s="1">
        <v>2018</v>
      </c>
      <c r="E5443" s="28">
        <v>11</v>
      </c>
      <c r="F5443" s="1" t="s">
        <v>180</v>
      </c>
      <c r="G5443" s="4">
        <v>43430</v>
      </c>
      <c r="H5443" s="12">
        <v>6594617</v>
      </c>
      <c r="I5443" s="12">
        <v>666322</v>
      </c>
      <c r="J5443" s="1" t="s">
        <v>186</v>
      </c>
      <c r="K5443" s="29">
        <v>3</v>
      </c>
      <c r="L5443" s="1" t="s">
        <v>337</v>
      </c>
      <c r="M5443" s="29">
        <v>10</v>
      </c>
      <c r="Q5443" s="1">
        <v>4.9000000000000004</v>
      </c>
      <c r="R5443" s="1">
        <v>9.6</v>
      </c>
      <c r="S5443" s="1">
        <v>75</v>
      </c>
    </row>
    <row r="5444" spans="2:38" x14ac:dyDescent="0.3">
      <c r="B5444" s="32" t="s">
        <v>517</v>
      </c>
      <c r="C5444" s="1" t="s">
        <v>514</v>
      </c>
      <c r="D5444" s="1">
        <v>2018</v>
      </c>
      <c r="E5444" s="28">
        <v>11</v>
      </c>
      <c r="F5444" s="1" t="s">
        <v>180</v>
      </c>
      <c r="G5444" s="4">
        <v>43430</v>
      </c>
      <c r="H5444" s="12">
        <v>6594617</v>
      </c>
      <c r="I5444" s="12">
        <v>666322</v>
      </c>
      <c r="J5444" s="1" t="s">
        <v>186</v>
      </c>
      <c r="K5444" s="29">
        <v>3</v>
      </c>
      <c r="L5444" s="1" t="s">
        <v>337</v>
      </c>
      <c r="M5444" s="29">
        <v>10.5</v>
      </c>
      <c r="Q5444" s="1">
        <v>4.9000000000000004</v>
      </c>
      <c r="R5444" s="1">
        <v>9.6</v>
      </c>
      <c r="S5444" s="1">
        <v>75</v>
      </c>
    </row>
    <row r="5445" spans="2:38" x14ac:dyDescent="0.3">
      <c r="B5445" s="38" t="s">
        <v>517</v>
      </c>
      <c r="C5445" s="1" t="s">
        <v>514</v>
      </c>
      <c r="D5445" s="2">
        <f t="shared" ref="D5445:D5478" si="269">YEAR(G5445)</f>
        <v>2019</v>
      </c>
      <c r="E5445" s="28">
        <v>2</v>
      </c>
      <c r="F5445" s="1" t="s">
        <v>175</v>
      </c>
      <c r="G5445" s="4">
        <v>43524</v>
      </c>
      <c r="H5445" s="12">
        <v>6594617</v>
      </c>
      <c r="I5445" s="12">
        <v>666322</v>
      </c>
      <c r="J5445" s="1" t="s">
        <v>186</v>
      </c>
      <c r="K5445" s="29">
        <v>3</v>
      </c>
      <c r="L5445" s="29" t="s">
        <v>337</v>
      </c>
      <c r="M5445" s="29">
        <v>0.5</v>
      </c>
      <c r="P5445" s="1">
        <v>3</v>
      </c>
      <c r="Q5445" s="1">
        <v>1</v>
      </c>
      <c r="R5445" s="1">
        <v>9.6999999999999993</v>
      </c>
      <c r="S5445" s="1">
        <v>70</v>
      </c>
      <c r="V5445" s="1">
        <v>2.4</v>
      </c>
      <c r="W5445" s="1">
        <v>4.9000000000000004</v>
      </c>
      <c r="Z5445" s="1">
        <v>59</v>
      </c>
      <c r="AA5445" s="1">
        <v>1.3</v>
      </c>
      <c r="AB5445" s="1">
        <v>7.4</v>
      </c>
      <c r="AD5445" s="1">
        <v>440</v>
      </c>
      <c r="AE5445" s="1">
        <v>8</v>
      </c>
      <c r="AK5445" s="1">
        <v>93</v>
      </c>
      <c r="AL5445" s="1">
        <v>910</v>
      </c>
    </row>
    <row r="5446" spans="2:38" x14ac:dyDescent="0.3">
      <c r="B5446" s="38" t="s">
        <v>517</v>
      </c>
      <c r="C5446" s="1" t="s">
        <v>514</v>
      </c>
      <c r="D5446" s="2">
        <f t="shared" si="269"/>
        <v>2019</v>
      </c>
      <c r="E5446" s="28">
        <v>2</v>
      </c>
      <c r="F5446" s="1" t="s">
        <v>175</v>
      </c>
      <c r="G5446" s="4">
        <v>43524</v>
      </c>
      <c r="H5446" s="12">
        <v>6594617</v>
      </c>
      <c r="I5446" s="12">
        <v>666322</v>
      </c>
      <c r="J5446" s="1" t="s">
        <v>186</v>
      </c>
      <c r="K5446" s="29">
        <v>3</v>
      </c>
      <c r="L5446" s="29" t="s">
        <v>337</v>
      </c>
      <c r="M5446" s="29">
        <v>1</v>
      </c>
      <c r="Q5446" s="1">
        <v>2.9</v>
      </c>
      <c r="R5446" s="1">
        <v>10.5</v>
      </c>
      <c r="S5446" s="1">
        <v>79</v>
      </c>
    </row>
    <row r="5447" spans="2:38" x14ac:dyDescent="0.3">
      <c r="B5447" s="38" t="s">
        <v>517</v>
      </c>
      <c r="C5447" s="1" t="s">
        <v>514</v>
      </c>
      <c r="D5447" s="2">
        <f t="shared" si="269"/>
        <v>2019</v>
      </c>
      <c r="E5447" s="28">
        <v>2</v>
      </c>
      <c r="F5447" s="1" t="s">
        <v>175</v>
      </c>
      <c r="G5447" s="4">
        <v>43524</v>
      </c>
      <c r="H5447" s="12">
        <v>6594617</v>
      </c>
      <c r="I5447" s="12">
        <v>666322</v>
      </c>
      <c r="J5447" s="1" t="s">
        <v>186</v>
      </c>
      <c r="K5447" s="29">
        <v>3</v>
      </c>
      <c r="L5447" s="29" t="s">
        <v>337</v>
      </c>
      <c r="M5447" s="29">
        <v>2</v>
      </c>
      <c r="Q5447" s="1">
        <v>3.2</v>
      </c>
      <c r="R5447" s="1">
        <v>10.6</v>
      </c>
      <c r="S5447" s="1">
        <v>81</v>
      </c>
    </row>
    <row r="5448" spans="2:38" x14ac:dyDescent="0.3">
      <c r="B5448" s="38" t="s">
        <v>517</v>
      </c>
      <c r="C5448" s="1" t="s">
        <v>514</v>
      </c>
      <c r="D5448" s="2">
        <f t="shared" si="269"/>
        <v>2019</v>
      </c>
      <c r="E5448" s="28">
        <v>2</v>
      </c>
      <c r="F5448" s="1" t="s">
        <v>175</v>
      </c>
      <c r="G5448" s="4">
        <v>43524</v>
      </c>
      <c r="H5448" s="12">
        <v>6594617</v>
      </c>
      <c r="I5448" s="12">
        <v>666322</v>
      </c>
      <c r="J5448" s="1" t="s">
        <v>186</v>
      </c>
      <c r="K5448" s="29">
        <v>3</v>
      </c>
      <c r="L5448" s="29" t="s">
        <v>337</v>
      </c>
      <c r="M5448" s="29">
        <v>3</v>
      </c>
      <c r="Q5448" s="1">
        <v>3.2</v>
      </c>
      <c r="R5448" s="1">
        <v>8.4</v>
      </c>
      <c r="S5448" s="1">
        <v>64</v>
      </c>
    </row>
    <row r="5449" spans="2:38" x14ac:dyDescent="0.3">
      <c r="B5449" s="38" t="s">
        <v>517</v>
      </c>
      <c r="C5449" s="1" t="s">
        <v>514</v>
      </c>
      <c r="D5449" s="2">
        <f t="shared" si="269"/>
        <v>2019</v>
      </c>
      <c r="E5449" s="28">
        <v>2</v>
      </c>
      <c r="F5449" s="1" t="s">
        <v>175</v>
      </c>
      <c r="G5449" s="4">
        <v>43524</v>
      </c>
      <c r="H5449" s="12">
        <v>6594617</v>
      </c>
      <c r="I5449" s="12">
        <v>666322</v>
      </c>
      <c r="J5449" s="1" t="s">
        <v>186</v>
      </c>
      <c r="K5449" s="29">
        <v>3</v>
      </c>
      <c r="L5449" s="29" t="s">
        <v>337</v>
      </c>
      <c r="M5449" s="29">
        <v>4</v>
      </c>
      <c r="Q5449" s="1">
        <v>3</v>
      </c>
      <c r="R5449" s="1">
        <v>8.4</v>
      </c>
      <c r="S5449" s="1">
        <v>63</v>
      </c>
    </row>
    <row r="5450" spans="2:38" x14ac:dyDescent="0.3">
      <c r="B5450" s="38" t="s">
        <v>517</v>
      </c>
      <c r="C5450" s="1" t="s">
        <v>514</v>
      </c>
      <c r="D5450" s="2">
        <f t="shared" si="269"/>
        <v>2019</v>
      </c>
      <c r="E5450" s="28">
        <v>2</v>
      </c>
      <c r="F5450" s="1" t="s">
        <v>175</v>
      </c>
      <c r="G5450" s="4">
        <v>43524</v>
      </c>
      <c r="H5450" s="12">
        <v>6594617</v>
      </c>
      <c r="I5450" s="12">
        <v>666322</v>
      </c>
      <c r="J5450" s="1" t="s">
        <v>186</v>
      </c>
      <c r="K5450" s="29">
        <v>3</v>
      </c>
      <c r="L5450" s="29" t="s">
        <v>337</v>
      </c>
      <c r="M5450" s="29">
        <v>5</v>
      </c>
      <c r="Q5450" s="1">
        <v>2.9</v>
      </c>
      <c r="R5450" s="1">
        <v>8.1</v>
      </c>
      <c r="S5450" s="1">
        <v>61</v>
      </c>
    </row>
    <row r="5451" spans="2:38" x14ac:dyDescent="0.3">
      <c r="B5451" s="38" t="s">
        <v>517</v>
      </c>
      <c r="C5451" s="1" t="s">
        <v>514</v>
      </c>
      <c r="D5451" s="2">
        <f t="shared" si="269"/>
        <v>2019</v>
      </c>
      <c r="E5451" s="28">
        <v>2</v>
      </c>
      <c r="F5451" s="1" t="s">
        <v>175</v>
      </c>
      <c r="G5451" s="4">
        <v>43524</v>
      </c>
      <c r="H5451" s="12">
        <v>6594617</v>
      </c>
      <c r="I5451" s="12">
        <v>666322</v>
      </c>
      <c r="J5451" s="1" t="s">
        <v>186</v>
      </c>
      <c r="K5451" s="29">
        <v>3</v>
      </c>
      <c r="L5451" s="29" t="s">
        <v>337</v>
      </c>
      <c r="M5451" s="29">
        <v>6</v>
      </c>
      <c r="Q5451" s="1">
        <v>2.9</v>
      </c>
      <c r="R5451" s="1">
        <v>6.6</v>
      </c>
      <c r="S5451" s="1">
        <v>50</v>
      </c>
    </row>
    <row r="5452" spans="2:38" x14ac:dyDescent="0.3">
      <c r="B5452" s="38" t="s">
        <v>517</v>
      </c>
      <c r="C5452" s="1" t="s">
        <v>514</v>
      </c>
      <c r="D5452" s="2">
        <f t="shared" si="269"/>
        <v>2019</v>
      </c>
      <c r="E5452" s="28">
        <v>2</v>
      </c>
      <c r="F5452" s="1" t="s">
        <v>175</v>
      </c>
      <c r="G5452" s="4">
        <v>43524</v>
      </c>
      <c r="H5452" s="12">
        <v>6594617</v>
      </c>
      <c r="I5452" s="12">
        <v>666322</v>
      </c>
      <c r="J5452" s="1" t="s">
        <v>186</v>
      </c>
      <c r="K5452" s="29">
        <v>3</v>
      </c>
      <c r="L5452" s="29" t="s">
        <v>337</v>
      </c>
      <c r="M5452" s="29">
        <v>7</v>
      </c>
      <c r="Q5452" s="1">
        <v>2.9</v>
      </c>
      <c r="R5452" s="1">
        <v>6</v>
      </c>
      <c r="S5452" s="1">
        <v>45</v>
      </c>
    </row>
    <row r="5453" spans="2:38" x14ac:dyDescent="0.3">
      <c r="B5453" s="38" t="s">
        <v>517</v>
      </c>
      <c r="C5453" s="1" t="s">
        <v>514</v>
      </c>
      <c r="D5453" s="2">
        <f t="shared" si="269"/>
        <v>2019</v>
      </c>
      <c r="E5453" s="28">
        <v>2</v>
      </c>
      <c r="F5453" s="1" t="s">
        <v>175</v>
      </c>
      <c r="G5453" s="4">
        <v>43524</v>
      </c>
      <c r="H5453" s="12">
        <v>6594617</v>
      </c>
      <c r="I5453" s="12">
        <v>666322</v>
      </c>
      <c r="J5453" s="1" t="s">
        <v>186</v>
      </c>
      <c r="K5453" s="29">
        <v>3</v>
      </c>
      <c r="L5453" s="29" t="s">
        <v>337</v>
      </c>
      <c r="M5453" s="29">
        <v>8</v>
      </c>
      <c r="Q5453" s="1">
        <v>3.2</v>
      </c>
      <c r="R5453" s="1">
        <v>4.3</v>
      </c>
      <c r="S5453" s="1">
        <v>32</v>
      </c>
    </row>
    <row r="5454" spans="2:38" x14ac:dyDescent="0.3">
      <c r="B5454" s="38" t="s">
        <v>517</v>
      </c>
      <c r="C5454" s="1" t="s">
        <v>514</v>
      </c>
      <c r="D5454" s="2">
        <f t="shared" si="269"/>
        <v>2019</v>
      </c>
      <c r="E5454" s="28">
        <v>2</v>
      </c>
      <c r="F5454" s="1" t="s">
        <v>175</v>
      </c>
      <c r="G5454" s="4">
        <v>43524</v>
      </c>
      <c r="H5454" s="12">
        <v>6594617</v>
      </c>
      <c r="I5454" s="12">
        <v>666322</v>
      </c>
      <c r="J5454" s="1" t="s">
        <v>186</v>
      </c>
      <c r="K5454" s="29">
        <v>3</v>
      </c>
      <c r="L5454" s="29" t="s">
        <v>337</v>
      </c>
      <c r="M5454" s="29">
        <v>9</v>
      </c>
      <c r="Q5454" s="1">
        <v>3.1</v>
      </c>
      <c r="R5454" s="1">
        <v>3.5</v>
      </c>
      <c r="S5454" s="1">
        <v>27</v>
      </c>
    </row>
    <row r="5455" spans="2:38" x14ac:dyDescent="0.3">
      <c r="B5455" s="38" t="s">
        <v>517</v>
      </c>
      <c r="C5455" s="1" t="s">
        <v>514</v>
      </c>
      <c r="D5455" s="2">
        <f t="shared" si="269"/>
        <v>2019</v>
      </c>
      <c r="E5455" s="28">
        <v>2</v>
      </c>
      <c r="F5455" s="1" t="s">
        <v>175</v>
      </c>
      <c r="G5455" s="4">
        <v>43524</v>
      </c>
      <c r="H5455" s="12">
        <v>6594617</v>
      </c>
      <c r="I5455" s="12">
        <v>666322</v>
      </c>
      <c r="J5455" s="1" t="s">
        <v>186</v>
      </c>
      <c r="K5455" s="29">
        <v>3</v>
      </c>
      <c r="L5455" s="29" t="s">
        <v>337</v>
      </c>
      <c r="M5455" s="29">
        <v>10</v>
      </c>
      <c r="Q5455" s="1">
        <v>3</v>
      </c>
      <c r="R5455" s="1">
        <v>4.2</v>
      </c>
      <c r="S5455" s="1">
        <v>31</v>
      </c>
    </row>
    <row r="5456" spans="2:38" x14ac:dyDescent="0.3">
      <c r="B5456" s="38" t="s">
        <v>517</v>
      </c>
      <c r="C5456" s="1" t="s">
        <v>514</v>
      </c>
      <c r="D5456" s="1">
        <f t="shared" si="269"/>
        <v>2019</v>
      </c>
      <c r="E5456" s="28">
        <v>4</v>
      </c>
      <c r="F5456" s="1" t="s">
        <v>178</v>
      </c>
      <c r="G5456" s="4">
        <v>43578</v>
      </c>
      <c r="H5456" s="12">
        <v>6594617</v>
      </c>
      <c r="I5456" s="12">
        <v>666322</v>
      </c>
      <c r="J5456" s="1" t="s">
        <v>186</v>
      </c>
      <c r="K5456" s="29">
        <v>3</v>
      </c>
      <c r="L5456" s="29" t="s">
        <v>337</v>
      </c>
      <c r="M5456" s="29">
        <v>0.5</v>
      </c>
      <c r="P5456" s="1">
        <v>3</v>
      </c>
      <c r="Q5456" s="1">
        <v>7.4</v>
      </c>
      <c r="R5456" s="1">
        <v>12.2</v>
      </c>
      <c r="V5456" s="1">
        <v>2.4</v>
      </c>
      <c r="W5456" s="1">
        <v>21</v>
      </c>
      <c r="Z5456" s="1">
        <v>1.6</v>
      </c>
      <c r="AA5456" s="1">
        <v>2.7</v>
      </c>
      <c r="AD5456" s="1">
        <v>210</v>
      </c>
      <c r="AE5456" s="8">
        <v>8.3000000000000007</v>
      </c>
      <c r="AK5456" s="1">
        <v>48</v>
      </c>
      <c r="AL5456" s="1">
        <v>740</v>
      </c>
    </row>
    <row r="5457" spans="2:43" x14ac:dyDescent="0.3">
      <c r="B5457" s="38" t="s">
        <v>517</v>
      </c>
      <c r="C5457" s="1" t="s">
        <v>514</v>
      </c>
      <c r="D5457" s="1">
        <f t="shared" si="269"/>
        <v>2019</v>
      </c>
      <c r="E5457" s="28">
        <v>4</v>
      </c>
      <c r="F5457" s="1" t="s">
        <v>178</v>
      </c>
      <c r="G5457" s="4">
        <v>43578</v>
      </c>
      <c r="H5457" s="12">
        <v>6594617</v>
      </c>
      <c r="I5457" s="12">
        <v>666322</v>
      </c>
      <c r="J5457" s="1" t="s">
        <v>186</v>
      </c>
      <c r="K5457" s="29">
        <v>3</v>
      </c>
      <c r="L5457" s="29" t="s">
        <v>337</v>
      </c>
      <c r="M5457" s="29">
        <v>1</v>
      </c>
      <c r="Q5457" s="1">
        <v>7.6</v>
      </c>
    </row>
    <row r="5458" spans="2:43" x14ac:dyDescent="0.3">
      <c r="B5458" s="38" t="s">
        <v>517</v>
      </c>
      <c r="C5458" s="1" t="s">
        <v>514</v>
      </c>
      <c r="D5458" s="1">
        <f t="shared" si="269"/>
        <v>2019</v>
      </c>
      <c r="E5458" s="28">
        <v>4</v>
      </c>
      <c r="F5458" s="1" t="s">
        <v>178</v>
      </c>
      <c r="G5458" s="4">
        <v>43578</v>
      </c>
      <c r="H5458" s="12">
        <v>6594617</v>
      </c>
      <c r="I5458" s="12">
        <v>666322</v>
      </c>
      <c r="J5458" s="1" t="s">
        <v>186</v>
      </c>
      <c r="K5458" s="29">
        <v>3</v>
      </c>
      <c r="L5458" s="29" t="s">
        <v>337</v>
      </c>
      <c r="M5458" s="29">
        <v>2</v>
      </c>
      <c r="Q5458" s="1">
        <v>7.4</v>
      </c>
    </row>
    <row r="5459" spans="2:43" x14ac:dyDescent="0.3">
      <c r="B5459" s="38" t="s">
        <v>517</v>
      </c>
      <c r="C5459" s="1" t="s">
        <v>514</v>
      </c>
      <c r="D5459" s="1">
        <f t="shared" si="269"/>
        <v>2019</v>
      </c>
      <c r="E5459" s="28">
        <v>4</v>
      </c>
      <c r="F5459" s="1" t="s">
        <v>178</v>
      </c>
      <c r="G5459" s="4">
        <v>43578</v>
      </c>
      <c r="H5459" s="12">
        <v>6594617</v>
      </c>
      <c r="I5459" s="12">
        <v>666322</v>
      </c>
      <c r="J5459" s="1" t="s">
        <v>186</v>
      </c>
      <c r="K5459" s="29">
        <v>3</v>
      </c>
      <c r="L5459" s="29" t="s">
        <v>337</v>
      </c>
      <c r="M5459" s="29">
        <v>3</v>
      </c>
      <c r="Q5459" s="1">
        <v>7.4</v>
      </c>
    </row>
    <row r="5460" spans="2:43" x14ac:dyDescent="0.3">
      <c r="B5460" s="38" t="s">
        <v>517</v>
      </c>
      <c r="C5460" s="1" t="s">
        <v>514</v>
      </c>
      <c r="D5460" s="1">
        <f t="shared" si="269"/>
        <v>2019</v>
      </c>
      <c r="E5460" s="28">
        <v>4</v>
      </c>
      <c r="F5460" s="1" t="s">
        <v>178</v>
      </c>
      <c r="G5460" s="4">
        <v>43578</v>
      </c>
      <c r="H5460" s="12">
        <v>6594617</v>
      </c>
      <c r="I5460" s="12">
        <v>666322</v>
      </c>
      <c r="J5460" s="1" t="s">
        <v>186</v>
      </c>
      <c r="K5460" s="29">
        <v>3</v>
      </c>
      <c r="L5460" s="29" t="s">
        <v>337</v>
      </c>
      <c r="M5460" s="29">
        <v>4</v>
      </c>
      <c r="Q5460" s="1">
        <v>7.4</v>
      </c>
      <c r="R5460" s="1">
        <v>13</v>
      </c>
    </row>
    <row r="5461" spans="2:43" x14ac:dyDescent="0.3">
      <c r="B5461" s="38" t="s">
        <v>517</v>
      </c>
      <c r="C5461" s="1" t="s">
        <v>514</v>
      </c>
      <c r="D5461" s="1">
        <f t="shared" si="269"/>
        <v>2019</v>
      </c>
      <c r="E5461" s="28">
        <v>4</v>
      </c>
      <c r="F5461" s="1" t="s">
        <v>178</v>
      </c>
      <c r="G5461" s="4">
        <v>43578</v>
      </c>
      <c r="H5461" s="12">
        <v>6594617</v>
      </c>
      <c r="I5461" s="12">
        <v>666322</v>
      </c>
      <c r="J5461" s="1" t="s">
        <v>186</v>
      </c>
      <c r="K5461" s="29">
        <v>3</v>
      </c>
      <c r="L5461" s="29" t="s">
        <v>337</v>
      </c>
      <c r="M5461" s="29">
        <v>5</v>
      </c>
      <c r="Q5461" s="1">
        <v>6.7</v>
      </c>
    </row>
    <row r="5462" spans="2:43" x14ac:dyDescent="0.3">
      <c r="B5462" s="38" t="s">
        <v>517</v>
      </c>
      <c r="C5462" s="1" t="s">
        <v>514</v>
      </c>
      <c r="D5462" s="1">
        <f t="shared" si="269"/>
        <v>2019</v>
      </c>
      <c r="E5462" s="28">
        <v>4</v>
      </c>
      <c r="F5462" s="1" t="s">
        <v>178</v>
      </c>
      <c r="G5462" s="4">
        <v>43578</v>
      </c>
      <c r="H5462" s="12">
        <v>6594617</v>
      </c>
      <c r="I5462" s="12">
        <v>666322</v>
      </c>
      <c r="J5462" s="1" t="s">
        <v>186</v>
      </c>
      <c r="K5462" s="29">
        <v>3</v>
      </c>
      <c r="L5462" s="29" t="s">
        <v>337</v>
      </c>
      <c r="M5462" s="29">
        <v>6</v>
      </c>
      <c r="Q5462" s="1">
        <v>6.6</v>
      </c>
      <c r="R5462" s="1">
        <v>12.3</v>
      </c>
    </row>
    <row r="5463" spans="2:43" x14ac:dyDescent="0.3">
      <c r="B5463" s="38" t="s">
        <v>517</v>
      </c>
      <c r="C5463" s="1" t="s">
        <v>514</v>
      </c>
      <c r="D5463" s="1">
        <f t="shared" si="269"/>
        <v>2019</v>
      </c>
      <c r="E5463" s="28">
        <v>4</v>
      </c>
      <c r="F5463" s="1" t="s">
        <v>178</v>
      </c>
      <c r="G5463" s="4">
        <v>43578</v>
      </c>
      <c r="H5463" s="12">
        <v>6594617</v>
      </c>
      <c r="I5463" s="12">
        <v>666322</v>
      </c>
      <c r="J5463" s="1" t="s">
        <v>186</v>
      </c>
      <c r="K5463" s="29">
        <v>3</v>
      </c>
      <c r="L5463" s="29" t="s">
        <v>337</v>
      </c>
      <c r="M5463" s="29">
        <v>7</v>
      </c>
      <c r="Q5463" s="1">
        <v>6.5</v>
      </c>
    </row>
    <row r="5464" spans="2:43" x14ac:dyDescent="0.3">
      <c r="B5464" s="38" t="s">
        <v>517</v>
      </c>
      <c r="C5464" s="1" t="s">
        <v>514</v>
      </c>
      <c r="D5464" s="1">
        <f t="shared" si="269"/>
        <v>2019</v>
      </c>
      <c r="E5464" s="28">
        <v>4</v>
      </c>
      <c r="F5464" s="1" t="s">
        <v>178</v>
      </c>
      <c r="G5464" s="4">
        <v>43578</v>
      </c>
      <c r="H5464" s="12">
        <v>6594617</v>
      </c>
      <c r="I5464" s="12">
        <v>666322</v>
      </c>
      <c r="J5464" s="1" t="s">
        <v>186</v>
      </c>
      <c r="K5464" s="29">
        <v>3</v>
      </c>
      <c r="L5464" s="29" t="s">
        <v>337</v>
      </c>
      <c r="M5464" s="29">
        <v>8</v>
      </c>
      <c r="Q5464" s="1">
        <v>6.1</v>
      </c>
      <c r="R5464" s="1">
        <v>11.8</v>
      </c>
    </row>
    <row r="5465" spans="2:43" x14ac:dyDescent="0.3">
      <c r="B5465" s="38" t="s">
        <v>517</v>
      </c>
      <c r="C5465" s="1" t="s">
        <v>514</v>
      </c>
      <c r="D5465" s="1">
        <f t="shared" si="269"/>
        <v>2019</v>
      </c>
      <c r="E5465" s="28">
        <v>4</v>
      </c>
      <c r="F5465" s="1" t="s">
        <v>178</v>
      </c>
      <c r="G5465" s="4">
        <v>43578</v>
      </c>
      <c r="H5465" s="12">
        <v>6594617</v>
      </c>
      <c r="I5465" s="12">
        <v>666322</v>
      </c>
      <c r="J5465" s="1" t="s">
        <v>186</v>
      </c>
      <c r="K5465" s="29">
        <v>3</v>
      </c>
      <c r="L5465" s="29" t="s">
        <v>337</v>
      </c>
      <c r="M5465" s="29">
        <v>8.5</v>
      </c>
      <c r="P5465" s="1">
        <v>3</v>
      </c>
      <c r="Q5465" s="1">
        <v>6.7</v>
      </c>
      <c r="V5465" s="1">
        <v>2.4</v>
      </c>
      <c r="W5465" s="1">
        <v>28</v>
      </c>
      <c r="Z5465" s="1">
        <v>1.1000000000000001</v>
      </c>
      <c r="AA5465" s="1">
        <v>2.5</v>
      </c>
      <c r="AD5465" s="1">
        <v>220</v>
      </c>
      <c r="AE5465" s="1">
        <v>8.1999999999999993</v>
      </c>
      <c r="AK5465" s="1">
        <v>34</v>
      </c>
      <c r="AL5465" s="1">
        <v>740</v>
      </c>
      <c r="AM5465" s="20" t="s">
        <v>1298</v>
      </c>
      <c r="AN5465" s="20" t="s">
        <v>1298</v>
      </c>
      <c r="AO5465" s="20" t="s">
        <v>1298</v>
      </c>
      <c r="AP5465" s="20"/>
      <c r="AQ5465" s="20"/>
    </row>
    <row r="5466" spans="2:43" x14ac:dyDescent="0.3">
      <c r="B5466" s="38" t="s">
        <v>517</v>
      </c>
      <c r="C5466" s="1" t="s">
        <v>514</v>
      </c>
      <c r="D5466" s="1">
        <f t="shared" si="269"/>
        <v>2019</v>
      </c>
      <c r="E5466" s="28">
        <v>4</v>
      </c>
      <c r="F5466" s="1" t="s">
        <v>178</v>
      </c>
      <c r="G5466" s="4">
        <v>43578</v>
      </c>
      <c r="H5466" s="12">
        <v>6594617</v>
      </c>
      <c r="I5466" s="12">
        <v>666322</v>
      </c>
      <c r="J5466" s="1" t="s">
        <v>186</v>
      </c>
      <c r="K5466" s="29">
        <v>3</v>
      </c>
      <c r="L5466" s="29" t="s">
        <v>337</v>
      </c>
      <c r="M5466" s="29">
        <v>9.5</v>
      </c>
      <c r="Q5466" s="1">
        <v>6.8</v>
      </c>
      <c r="R5466" s="1">
        <v>11.7</v>
      </c>
    </row>
    <row r="5467" spans="2:43" x14ac:dyDescent="0.3">
      <c r="B5467" s="38" t="s">
        <v>517</v>
      </c>
      <c r="C5467" s="1" t="s">
        <v>514</v>
      </c>
      <c r="D5467" s="1">
        <f t="shared" si="269"/>
        <v>2019</v>
      </c>
      <c r="E5467" s="28">
        <v>4</v>
      </c>
      <c r="F5467" s="1" t="s">
        <v>178</v>
      </c>
      <c r="G5467" s="4">
        <v>43578</v>
      </c>
      <c r="H5467" s="12">
        <v>6594617</v>
      </c>
      <c r="I5467" s="12">
        <v>666322</v>
      </c>
      <c r="J5467" s="1" t="s">
        <v>186</v>
      </c>
      <c r="K5467" s="29">
        <v>3</v>
      </c>
      <c r="L5467" s="29" t="s">
        <v>337</v>
      </c>
      <c r="M5467" s="29">
        <v>10</v>
      </c>
      <c r="Q5467" s="1">
        <v>5.5</v>
      </c>
    </row>
    <row r="5468" spans="2:43" x14ac:dyDescent="0.3">
      <c r="B5468" s="38" t="s">
        <v>517</v>
      </c>
      <c r="C5468" s="1" t="s">
        <v>514</v>
      </c>
      <c r="D5468" s="1">
        <f t="shared" si="269"/>
        <v>2019</v>
      </c>
      <c r="E5468" s="28">
        <v>7</v>
      </c>
      <c r="F5468" s="1" t="s">
        <v>179</v>
      </c>
      <c r="G5468" s="4">
        <v>43675</v>
      </c>
      <c r="H5468" s="12">
        <v>6594617</v>
      </c>
      <c r="I5468" s="12">
        <v>666322</v>
      </c>
      <c r="J5468" s="1" t="s">
        <v>186</v>
      </c>
      <c r="K5468" s="29">
        <v>3</v>
      </c>
      <c r="L5468" s="29" t="s">
        <v>337</v>
      </c>
      <c r="M5468" s="29">
        <v>0.5</v>
      </c>
      <c r="P5468" s="1">
        <v>2</v>
      </c>
      <c r="Q5468" s="8">
        <v>24.8</v>
      </c>
      <c r="R5468" s="1">
        <v>12.4</v>
      </c>
      <c r="S5468" s="8">
        <v>150</v>
      </c>
      <c r="V5468" s="1">
        <v>2.5</v>
      </c>
      <c r="W5468" s="1">
        <v>4.3</v>
      </c>
      <c r="Z5468" s="1" t="s">
        <v>519</v>
      </c>
      <c r="AA5468" s="1">
        <v>3.5</v>
      </c>
      <c r="AB5468" s="1">
        <v>20</v>
      </c>
      <c r="AD5468" s="1">
        <v>2.7</v>
      </c>
      <c r="AE5468" s="8">
        <v>8.8000000000000007</v>
      </c>
      <c r="AK5468" s="1">
        <v>36</v>
      </c>
      <c r="AL5468" s="1">
        <v>620</v>
      </c>
    </row>
    <row r="5469" spans="2:43" x14ac:dyDescent="0.3">
      <c r="B5469" s="38" t="s">
        <v>517</v>
      </c>
      <c r="C5469" s="1" t="s">
        <v>514</v>
      </c>
      <c r="D5469" s="1">
        <f t="shared" si="269"/>
        <v>2019</v>
      </c>
      <c r="E5469" s="28">
        <v>7</v>
      </c>
      <c r="F5469" s="1" t="s">
        <v>179</v>
      </c>
      <c r="G5469" s="4">
        <v>43675</v>
      </c>
      <c r="H5469" s="12">
        <v>6594617</v>
      </c>
      <c r="I5469" s="12">
        <v>666322</v>
      </c>
      <c r="J5469" s="1" t="s">
        <v>186</v>
      </c>
      <c r="K5469" s="29">
        <v>3</v>
      </c>
      <c r="L5469" s="29" t="s">
        <v>337</v>
      </c>
      <c r="M5469" s="29">
        <v>1</v>
      </c>
      <c r="Q5469" s="8">
        <v>24.7</v>
      </c>
      <c r="R5469" s="1">
        <v>12.5</v>
      </c>
      <c r="S5469" s="8">
        <v>151</v>
      </c>
    </row>
    <row r="5470" spans="2:43" x14ac:dyDescent="0.3">
      <c r="B5470" s="38" t="s">
        <v>517</v>
      </c>
      <c r="C5470" s="1" t="s">
        <v>514</v>
      </c>
      <c r="D5470" s="1">
        <f t="shared" si="269"/>
        <v>2019</v>
      </c>
      <c r="E5470" s="28">
        <v>7</v>
      </c>
      <c r="F5470" s="1" t="s">
        <v>179</v>
      </c>
      <c r="G5470" s="4">
        <v>43675</v>
      </c>
      <c r="H5470" s="12">
        <v>6594617</v>
      </c>
      <c r="I5470" s="12">
        <v>666322</v>
      </c>
      <c r="J5470" s="1" t="s">
        <v>186</v>
      </c>
      <c r="K5470" s="29">
        <v>3</v>
      </c>
      <c r="L5470" s="29" t="s">
        <v>337</v>
      </c>
      <c r="M5470" s="29">
        <v>2</v>
      </c>
      <c r="Q5470" s="8">
        <v>24.6</v>
      </c>
      <c r="R5470" s="1">
        <v>12.7</v>
      </c>
      <c r="S5470" s="8">
        <v>153</v>
      </c>
    </row>
    <row r="5471" spans="2:43" x14ac:dyDescent="0.3">
      <c r="B5471" s="38" t="s">
        <v>517</v>
      </c>
      <c r="C5471" s="1" t="s">
        <v>514</v>
      </c>
      <c r="D5471" s="1">
        <f t="shared" si="269"/>
        <v>2019</v>
      </c>
      <c r="E5471" s="28">
        <v>7</v>
      </c>
      <c r="F5471" s="1" t="s">
        <v>179</v>
      </c>
      <c r="G5471" s="4">
        <v>43675</v>
      </c>
      <c r="H5471" s="12">
        <v>6594617</v>
      </c>
      <c r="I5471" s="12">
        <v>666322</v>
      </c>
      <c r="J5471" s="1" t="s">
        <v>186</v>
      </c>
      <c r="K5471" s="29">
        <v>3</v>
      </c>
      <c r="L5471" s="29" t="s">
        <v>337</v>
      </c>
      <c r="M5471" s="29">
        <v>3</v>
      </c>
      <c r="Q5471" s="8">
        <v>24.5</v>
      </c>
      <c r="R5471" s="1">
        <v>12.3</v>
      </c>
      <c r="S5471" s="8">
        <v>148</v>
      </c>
    </row>
    <row r="5472" spans="2:43" x14ac:dyDescent="0.3">
      <c r="B5472" s="38" t="s">
        <v>517</v>
      </c>
      <c r="C5472" s="1" t="s">
        <v>514</v>
      </c>
      <c r="D5472" s="1">
        <f t="shared" si="269"/>
        <v>2019</v>
      </c>
      <c r="E5472" s="28">
        <v>7</v>
      </c>
      <c r="F5472" s="1" t="s">
        <v>179</v>
      </c>
      <c r="G5472" s="4">
        <v>43675</v>
      </c>
      <c r="H5472" s="12">
        <v>6594617</v>
      </c>
      <c r="I5472" s="12">
        <v>666322</v>
      </c>
      <c r="J5472" s="1" t="s">
        <v>186</v>
      </c>
      <c r="K5472" s="29">
        <v>3</v>
      </c>
      <c r="L5472" s="29" t="s">
        <v>337</v>
      </c>
      <c r="M5472" s="29">
        <v>4</v>
      </c>
      <c r="Q5472" s="1">
        <v>19.8</v>
      </c>
      <c r="R5472" s="1">
        <v>8</v>
      </c>
      <c r="S5472" s="1">
        <v>90</v>
      </c>
    </row>
    <row r="5473" spans="2:43" x14ac:dyDescent="0.3">
      <c r="B5473" s="38" t="s">
        <v>517</v>
      </c>
      <c r="C5473" s="1" t="s">
        <v>514</v>
      </c>
      <c r="D5473" s="1">
        <f t="shared" si="269"/>
        <v>2019</v>
      </c>
      <c r="E5473" s="28">
        <v>7</v>
      </c>
      <c r="F5473" s="1" t="s">
        <v>179</v>
      </c>
      <c r="G5473" s="4">
        <v>43675</v>
      </c>
      <c r="H5473" s="12">
        <v>6594617</v>
      </c>
      <c r="I5473" s="12">
        <v>666322</v>
      </c>
      <c r="J5473" s="1" t="s">
        <v>186</v>
      </c>
      <c r="K5473" s="29">
        <v>3</v>
      </c>
      <c r="L5473" s="29" t="s">
        <v>337</v>
      </c>
      <c r="M5473" s="29">
        <v>5</v>
      </c>
      <c r="Q5473" s="1">
        <v>18.2</v>
      </c>
      <c r="R5473" s="1">
        <v>5.4</v>
      </c>
      <c r="S5473" s="1">
        <v>57</v>
      </c>
    </row>
    <row r="5474" spans="2:43" x14ac:dyDescent="0.3">
      <c r="B5474" s="38" t="s">
        <v>517</v>
      </c>
      <c r="C5474" s="1" t="s">
        <v>514</v>
      </c>
      <c r="D5474" s="1">
        <f t="shared" si="269"/>
        <v>2019</v>
      </c>
      <c r="E5474" s="28">
        <v>7</v>
      </c>
      <c r="F5474" s="1" t="s">
        <v>179</v>
      </c>
      <c r="G5474" s="4">
        <v>43675</v>
      </c>
      <c r="H5474" s="12">
        <v>6594617</v>
      </c>
      <c r="I5474" s="12">
        <v>666322</v>
      </c>
      <c r="J5474" s="1" t="s">
        <v>186</v>
      </c>
      <c r="K5474" s="29">
        <v>3</v>
      </c>
      <c r="L5474" s="29" t="s">
        <v>337</v>
      </c>
      <c r="M5474" s="29">
        <v>6</v>
      </c>
      <c r="Q5474" s="1">
        <v>17.8</v>
      </c>
      <c r="R5474" s="1">
        <v>4</v>
      </c>
      <c r="S5474" s="1">
        <v>42</v>
      </c>
    </row>
    <row r="5475" spans="2:43" x14ac:dyDescent="0.3">
      <c r="B5475" s="38" t="s">
        <v>517</v>
      </c>
      <c r="C5475" s="1" t="s">
        <v>514</v>
      </c>
      <c r="D5475" s="1">
        <f t="shared" si="269"/>
        <v>2019</v>
      </c>
      <c r="E5475" s="28">
        <v>7</v>
      </c>
      <c r="F5475" s="1" t="s">
        <v>179</v>
      </c>
      <c r="G5475" s="4">
        <v>43675</v>
      </c>
      <c r="H5475" s="12">
        <v>6594617</v>
      </c>
      <c r="I5475" s="12">
        <v>666322</v>
      </c>
      <c r="J5475" s="1" t="s">
        <v>186</v>
      </c>
      <c r="K5475" s="29">
        <v>3</v>
      </c>
      <c r="L5475" s="29" t="s">
        <v>337</v>
      </c>
      <c r="M5475" s="29">
        <v>7</v>
      </c>
      <c r="Q5475" s="1">
        <v>17.3</v>
      </c>
      <c r="R5475" s="1">
        <v>2.2999999999999998</v>
      </c>
      <c r="S5475" s="1">
        <v>24</v>
      </c>
    </row>
    <row r="5476" spans="2:43" x14ac:dyDescent="0.3">
      <c r="B5476" s="38" t="s">
        <v>517</v>
      </c>
      <c r="C5476" s="1" t="s">
        <v>514</v>
      </c>
      <c r="D5476" s="1">
        <f t="shared" si="269"/>
        <v>2019</v>
      </c>
      <c r="E5476" s="28">
        <v>7</v>
      </c>
      <c r="F5476" s="1" t="s">
        <v>179</v>
      </c>
      <c r="G5476" s="4">
        <v>43675</v>
      </c>
      <c r="H5476" s="12">
        <v>6594617</v>
      </c>
      <c r="I5476" s="12">
        <v>666322</v>
      </c>
      <c r="J5476" s="1" t="s">
        <v>186</v>
      </c>
      <c r="K5476" s="29">
        <v>3</v>
      </c>
      <c r="L5476" s="29" t="s">
        <v>337</v>
      </c>
      <c r="M5476" s="29">
        <v>8</v>
      </c>
      <c r="Q5476" s="1">
        <v>16.5</v>
      </c>
      <c r="R5476" s="1">
        <v>0.8</v>
      </c>
      <c r="S5476" s="1">
        <v>8</v>
      </c>
    </row>
    <row r="5477" spans="2:43" x14ac:dyDescent="0.3">
      <c r="B5477" s="38" t="s">
        <v>517</v>
      </c>
      <c r="C5477" s="1" t="s">
        <v>514</v>
      </c>
      <c r="D5477" s="1">
        <f t="shared" si="269"/>
        <v>2019</v>
      </c>
      <c r="E5477" s="28">
        <v>7</v>
      </c>
      <c r="F5477" s="1" t="s">
        <v>179</v>
      </c>
      <c r="G5477" s="4">
        <v>43675</v>
      </c>
      <c r="H5477" s="12">
        <v>6594617</v>
      </c>
      <c r="I5477" s="12">
        <v>666322</v>
      </c>
      <c r="J5477" s="1" t="s">
        <v>186</v>
      </c>
      <c r="K5477" s="29">
        <v>3</v>
      </c>
      <c r="L5477" s="29" t="s">
        <v>337</v>
      </c>
      <c r="M5477" s="29">
        <v>8.5</v>
      </c>
      <c r="P5477" s="1">
        <v>2</v>
      </c>
      <c r="Q5477" s="1">
        <v>17.399999999999999</v>
      </c>
      <c r="V5477" s="1">
        <v>2.5</v>
      </c>
      <c r="W5477" s="1">
        <v>63</v>
      </c>
      <c r="Z5477" s="1">
        <v>100</v>
      </c>
      <c r="AA5477" s="1">
        <v>3.7</v>
      </c>
      <c r="AD5477" s="1">
        <v>14</v>
      </c>
      <c r="AE5477" s="1">
        <v>8</v>
      </c>
      <c r="AK5477" s="1">
        <v>140</v>
      </c>
      <c r="AL5477" s="1">
        <v>670</v>
      </c>
      <c r="AM5477" s="20" t="s">
        <v>1298</v>
      </c>
      <c r="AN5477" s="20" t="s">
        <v>1298</v>
      </c>
      <c r="AO5477" s="20" t="s">
        <v>1298</v>
      </c>
      <c r="AP5477" s="20"/>
      <c r="AQ5477" s="20"/>
    </row>
    <row r="5478" spans="2:43" x14ac:dyDescent="0.3">
      <c r="B5478" s="38" t="s">
        <v>517</v>
      </c>
      <c r="C5478" s="1" t="s">
        <v>514</v>
      </c>
      <c r="D5478" s="1">
        <f t="shared" si="269"/>
        <v>2019</v>
      </c>
      <c r="E5478" s="28">
        <v>7</v>
      </c>
      <c r="F5478" s="1" t="s">
        <v>179</v>
      </c>
      <c r="G5478" s="4">
        <v>43675</v>
      </c>
      <c r="H5478" s="12">
        <v>6594617</v>
      </c>
      <c r="I5478" s="12">
        <v>666322</v>
      </c>
      <c r="J5478" s="1" t="s">
        <v>186</v>
      </c>
      <c r="K5478" s="29">
        <v>3</v>
      </c>
      <c r="L5478" s="29" t="s">
        <v>337</v>
      </c>
      <c r="M5478" s="29">
        <v>9</v>
      </c>
      <c r="Q5478" s="1">
        <v>15</v>
      </c>
      <c r="R5478" s="1">
        <v>0.2</v>
      </c>
      <c r="S5478" s="1">
        <v>2</v>
      </c>
    </row>
    <row r="5479" spans="2:43" x14ac:dyDescent="0.3">
      <c r="B5479" s="38" t="s">
        <v>517</v>
      </c>
      <c r="C5479" s="1" t="s">
        <v>514</v>
      </c>
      <c r="D5479" s="1">
        <f>YEAR(G5480)</f>
        <v>2019</v>
      </c>
      <c r="E5479" s="1">
        <v>7</v>
      </c>
      <c r="F5479" s="1" t="s">
        <v>179</v>
      </c>
      <c r="G5479" s="4">
        <v>43675</v>
      </c>
      <c r="H5479" s="12">
        <v>6594617</v>
      </c>
      <c r="I5479" s="12">
        <v>666322</v>
      </c>
      <c r="J5479" s="1" t="s">
        <v>186</v>
      </c>
      <c r="K5479" s="29">
        <v>3</v>
      </c>
      <c r="L5479" s="29" t="s">
        <v>337</v>
      </c>
      <c r="M5479" s="29">
        <v>10</v>
      </c>
      <c r="P5479" s="1">
        <v>2</v>
      </c>
      <c r="Q5479" s="1">
        <v>11.7</v>
      </c>
      <c r="R5479" s="1">
        <v>0.1</v>
      </c>
      <c r="S5479" s="1">
        <v>1</v>
      </c>
      <c r="V5479" s="1">
        <v>2.7</v>
      </c>
      <c r="W5479" s="1">
        <v>680</v>
      </c>
      <c r="Z5479" s="8">
        <v>330</v>
      </c>
      <c r="AA5479" s="1">
        <v>5.2</v>
      </c>
      <c r="AD5479" s="1">
        <v>8.6</v>
      </c>
      <c r="AE5479" s="1">
        <v>8</v>
      </c>
      <c r="AK5479" s="8">
        <v>390</v>
      </c>
      <c r="AL5479" s="1">
        <v>1300</v>
      </c>
    </row>
    <row r="5480" spans="2:43" x14ac:dyDescent="0.3">
      <c r="B5480" s="38" t="s">
        <v>517</v>
      </c>
      <c r="C5480" s="1" t="s">
        <v>514</v>
      </c>
      <c r="D5480" s="1">
        <f t="shared" ref="D5480:D5531" si="270">YEAR(G5481)</f>
        <v>2019</v>
      </c>
      <c r="E5480" s="28">
        <v>8</v>
      </c>
      <c r="F5480" s="1" t="s">
        <v>179</v>
      </c>
      <c r="G5480" s="4">
        <v>43703</v>
      </c>
      <c r="H5480" s="12">
        <v>6594617</v>
      </c>
      <c r="I5480" s="12">
        <v>666322</v>
      </c>
      <c r="J5480" s="1" t="s">
        <v>186</v>
      </c>
      <c r="K5480" s="29">
        <v>3</v>
      </c>
      <c r="L5480" s="29" t="s">
        <v>337</v>
      </c>
      <c r="M5480" s="29">
        <v>0.5</v>
      </c>
      <c r="P5480" s="1">
        <v>1.5</v>
      </c>
      <c r="Q5480" s="1">
        <v>20.3</v>
      </c>
      <c r="R5480" s="1">
        <v>7.6</v>
      </c>
      <c r="S5480" s="1">
        <v>83</v>
      </c>
      <c r="V5480" s="1">
        <v>2.4</v>
      </c>
      <c r="W5480" s="1">
        <v>82</v>
      </c>
      <c r="Z5480" s="1">
        <v>49</v>
      </c>
      <c r="AA5480" s="1">
        <v>2.2000000000000002</v>
      </c>
      <c r="AB5480" s="1">
        <v>5.9</v>
      </c>
      <c r="AD5480" s="1">
        <v>17</v>
      </c>
      <c r="AE5480" s="1">
        <v>8.1</v>
      </c>
      <c r="AK5480" s="1">
        <v>70</v>
      </c>
      <c r="AL5480" s="1">
        <v>660</v>
      </c>
    </row>
    <row r="5481" spans="2:43" x14ac:dyDescent="0.3">
      <c r="B5481" s="38" t="s">
        <v>517</v>
      </c>
      <c r="C5481" s="1" t="s">
        <v>514</v>
      </c>
      <c r="D5481" s="1">
        <f t="shared" si="270"/>
        <v>2019</v>
      </c>
      <c r="E5481" s="28">
        <v>8</v>
      </c>
      <c r="F5481" s="1" t="s">
        <v>179</v>
      </c>
      <c r="G5481" s="4">
        <v>43703</v>
      </c>
      <c r="H5481" s="12">
        <v>6594617</v>
      </c>
      <c r="I5481" s="12">
        <v>666322</v>
      </c>
      <c r="J5481" s="1" t="s">
        <v>186</v>
      </c>
      <c r="K5481" s="29">
        <v>3</v>
      </c>
      <c r="L5481" s="29" t="s">
        <v>337</v>
      </c>
      <c r="M5481" s="29">
        <v>1</v>
      </c>
      <c r="Q5481" s="1">
        <v>19.3</v>
      </c>
      <c r="R5481" s="1">
        <v>7.4</v>
      </c>
      <c r="S5481" s="1">
        <v>80</v>
      </c>
    </row>
    <row r="5482" spans="2:43" x14ac:dyDescent="0.3">
      <c r="B5482" s="38" t="s">
        <v>517</v>
      </c>
      <c r="C5482" s="1" t="s">
        <v>514</v>
      </c>
      <c r="D5482" s="1">
        <f t="shared" si="270"/>
        <v>2019</v>
      </c>
      <c r="E5482" s="28">
        <v>8</v>
      </c>
      <c r="F5482" s="1" t="s">
        <v>179</v>
      </c>
      <c r="G5482" s="4">
        <v>43703</v>
      </c>
      <c r="H5482" s="12">
        <v>6594617</v>
      </c>
      <c r="I5482" s="12">
        <v>666322</v>
      </c>
      <c r="J5482" s="1" t="s">
        <v>186</v>
      </c>
      <c r="K5482" s="29">
        <v>3</v>
      </c>
      <c r="L5482" s="29" t="s">
        <v>337</v>
      </c>
      <c r="M5482" s="29">
        <v>2</v>
      </c>
      <c r="Q5482" s="1">
        <v>19.100000000000001</v>
      </c>
      <c r="R5482" s="1">
        <v>7.1</v>
      </c>
      <c r="S5482" s="1">
        <v>76</v>
      </c>
    </row>
    <row r="5483" spans="2:43" x14ac:dyDescent="0.3">
      <c r="B5483" s="38" t="s">
        <v>517</v>
      </c>
      <c r="C5483" s="1" t="s">
        <v>514</v>
      </c>
      <c r="D5483" s="1">
        <f t="shared" si="270"/>
        <v>2019</v>
      </c>
      <c r="E5483" s="28">
        <v>8</v>
      </c>
      <c r="F5483" s="1" t="s">
        <v>179</v>
      </c>
      <c r="G5483" s="4">
        <v>43703</v>
      </c>
      <c r="H5483" s="12">
        <v>6594617</v>
      </c>
      <c r="I5483" s="12">
        <v>666322</v>
      </c>
      <c r="J5483" s="1" t="s">
        <v>186</v>
      </c>
      <c r="K5483" s="29">
        <v>3</v>
      </c>
      <c r="L5483" s="29" t="s">
        <v>337</v>
      </c>
      <c r="M5483" s="29">
        <v>3</v>
      </c>
      <c r="Q5483" s="1">
        <v>19</v>
      </c>
      <c r="R5483" s="1">
        <v>6.8</v>
      </c>
      <c r="S5483" s="1">
        <v>73</v>
      </c>
    </row>
    <row r="5484" spans="2:43" x14ac:dyDescent="0.3">
      <c r="B5484" s="38" t="s">
        <v>517</v>
      </c>
      <c r="C5484" s="1" t="s">
        <v>514</v>
      </c>
      <c r="D5484" s="1">
        <f t="shared" si="270"/>
        <v>2019</v>
      </c>
      <c r="E5484" s="28">
        <v>8</v>
      </c>
      <c r="F5484" s="1" t="s">
        <v>179</v>
      </c>
      <c r="G5484" s="4">
        <v>43703</v>
      </c>
      <c r="H5484" s="12">
        <v>6594617</v>
      </c>
      <c r="I5484" s="12">
        <v>666322</v>
      </c>
      <c r="J5484" s="1" t="s">
        <v>186</v>
      </c>
      <c r="K5484" s="29">
        <v>3</v>
      </c>
      <c r="L5484" s="29" t="s">
        <v>337</v>
      </c>
      <c r="M5484" s="29">
        <v>4</v>
      </c>
      <c r="Q5484" s="1">
        <v>18.899999999999999</v>
      </c>
      <c r="R5484" s="1">
        <v>6.8</v>
      </c>
      <c r="S5484" s="1">
        <v>72</v>
      </c>
    </row>
    <row r="5485" spans="2:43" x14ac:dyDescent="0.3">
      <c r="B5485" s="38" t="s">
        <v>517</v>
      </c>
      <c r="C5485" s="1" t="s">
        <v>514</v>
      </c>
      <c r="D5485" s="1">
        <f t="shared" si="270"/>
        <v>2019</v>
      </c>
      <c r="E5485" s="28">
        <v>8</v>
      </c>
      <c r="F5485" s="1" t="s">
        <v>179</v>
      </c>
      <c r="G5485" s="4">
        <v>43703</v>
      </c>
      <c r="H5485" s="12">
        <v>6594617</v>
      </c>
      <c r="I5485" s="12">
        <v>666322</v>
      </c>
      <c r="J5485" s="1" t="s">
        <v>186</v>
      </c>
      <c r="K5485" s="29">
        <v>3</v>
      </c>
      <c r="L5485" s="29" t="s">
        <v>337</v>
      </c>
      <c r="M5485" s="29">
        <v>5</v>
      </c>
      <c r="Q5485" s="1">
        <v>18.8</v>
      </c>
      <c r="R5485" s="1">
        <v>6.6</v>
      </c>
      <c r="S5485" s="1">
        <v>70</v>
      </c>
    </row>
    <row r="5486" spans="2:43" x14ac:dyDescent="0.3">
      <c r="B5486" s="38" t="s">
        <v>517</v>
      </c>
      <c r="C5486" s="1" t="s">
        <v>514</v>
      </c>
      <c r="D5486" s="1">
        <f t="shared" si="270"/>
        <v>2019</v>
      </c>
      <c r="E5486" s="28">
        <v>8</v>
      </c>
      <c r="F5486" s="1" t="s">
        <v>179</v>
      </c>
      <c r="G5486" s="4">
        <v>43703</v>
      </c>
      <c r="H5486" s="12">
        <v>6594617</v>
      </c>
      <c r="I5486" s="12">
        <v>666322</v>
      </c>
      <c r="J5486" s="1" t="s">
        <v>186</v>
      </c>
      <c r="K5486" s="29">
        <v>3</v>
      </c>
      <c r="L5486" s="29" t="s">
        <v>337</v>
      </c>
      <c r="M5486" s="29">
        <v>6</v>
      </c>
      <c r="Q5486" s="1">
        <v>18.600000000000001</v>
      </c>
      <c r="R5486" s="1">
        <v>6.4</v>
      </c>
      <c r="S5486" s="1">
        <v>68</v>
      </c>
    </row>
    <row r="5487" spans="2:43" x14ac:dyDescent="0.3">
      <c r="B5487" s="38" t="s">
        <v>517</v>
      </c>
      <c r="C5487" s="1" t="s">
        <v>514</v>
      </c>
      <c r="D5487" s="1">
        <f t="shared" si="270"/>
        <v>2019</v>
      </c>
      <c r="E5487" s="28">
        <v>8</v>
      </c>
      <c r="F5487" s="1" t="s">
        <v>179</v>
      </c>
      <c r="G5487" s="4">
        <v>43703</v>
      </c>
      <c r="H5487" s="12">
        <v>6594617</v>
      </c>
      <c r="I5487" s="12">
        <v>666322</v>
      </c>
      <c r="J5487" s="1" t="s">
        <v>186</v>
      </c>
      <c r="K5487" s="29">
        <v>3</v>
      </c>
      <c r="L5487" s="29" t="s">
        <v>337</v>
      </c>
      <c r="M5487" s="29">
        <v>7</v>
      </c>
      <c r="Q5487" s="1">
        <v>18.399999999999999</v>
      </c>
      <c r="R5487" s="1">
        <v>5.7</v>
      </c>
      <c r="S5487" s="1">
        <v>60</v>
      </c>
    </row>
    <row r="5488" spans="2:43" x14ac:dyDescent="0.3">
      <c r="B5488" s="38" t="s">
        <v>517</v>
      </c>
      <c r="C5488" s="1" t="s">
        <v>514</v>
      </c>
      <c r="D5488" s="1">
        <f t="shared" si="270"/>
        <v>2019</v>
      </c>
      <c r="E5488" s="28">
        <v>8</v>
      </c>
      <c r="F5488" s="1" t="s">
        <v>179</v>
      </c>
      <c r="G5488" s="4">
        <v>43703</v>
      </c>
      <c r="H5488" s="12">
        <v>6594617</v>
      </c>
      <c r="I5488" s="12">
        <v>666322</v>
      </c>
      <c r="J5488" s="1" t="s">
        <v>186</v>
      </c>
      <c r="K5488" s="29">
        <v>3</v>
      </c>
      <c r="L5488" s="29" t="s">
        <v>337</v>
      </c>
      <c r="M5488" s="29">
        <v>8</v>
      </c>
      <c r="Q5488" s="1">
        <v>17.399999999999999</v>
      </c>
      <c r="R5488" s="1">
        <v>3.6</v>
      </c>
      <c r="S5488" s="1">
        <v>37</v>
      </c>
    </row>
    <row r="5489" spans="2:43" x14ac:dyDescent="0.3">
      <c r="B5489" s="38" t="s">
        <v>517</v>
      </c>
      <c r="C5489" s="1" t="s">
        <v>514</v>
      </c>
      <c r="D5489" s="1">
        <f t="shared" si="270"/>
        <v>2019</v>
      </c>
      <c r="E5489" s="28">
        <v>8</v>
      </c>
      <c r="F5489" s="1" t="s">
        <v>179</v>
      </c>
      <c r="G5489" s="4">
        <v>43703</v>
      </c>
      <c r="H5489" s="12">
        <v>6594617</v>
      </c>
      <c r="I5489" s="12">
        <v>666322</v>
      </c>
      <c r="J5489" s="1" t="s">
        <v>186</v>
      </c>
      <c r="K5489" s="29">
        <v>3</v>
      </c>
      <c r="L5489" s="29" t="s">
        <v>337</v>
      </c>
      <c r="M5489" s="29">
        <v>8.5</v>
      </c>
      <c r="P5489" s="1">
        <v>1.5</v>
      </c>
      <c r="Q5489" s="1">
        <v>19.600000000000001</v>
      </c>
      <c r="V5489" s="1">
        <v>2.4</v>
      </c>
      <c r="W5489" s="1">
        <v>110</v>
      </c>
      <c r="Z5489" s="1">
        <v>57</v>
      </c>
      <c r="AA5489" s="1">
        <v>3.2</v>
      </c>
      <c r="AD5489" s="1">
        <v>27</v>
      </c>
      <c r="AE5489" s="1">
        <v>8.1</v>
      </c>
      <c r="AK5489" s="1">
        <v>77</v>
      </c>
      <c r="AL5489" s="1">
        <v>660</v>
      </c>
      <c r="AM5489" s="20" t="s">
        <v>1298</v>
      </c>
      <c r="AN5489" s="20" t="s">
        <v>1298</v>
      </c>
      <c r="AO5489" s="20" t="s">
        <v>1298</v>
      </c>
      <c r="AP5489" s="20"/>
      <c r="AQ5489" s="20"/>
    </row>
    <row r="5490" spans="2:43" x14ac:dyDescent="0.3">
      <c r="B5490" s="38" t="s">
        <v>517</v>
      </c>
      <c r="C5490" s="1" t="s">
        <v>514</v>
      </c>
      <c r="D5490" s="1">
        <f t="shared" si="270"/>
        <v>2019</v>
      </c>
      <c r="E5490" s="28">
        <v>8</v>
      </c>
      <c r="F5490" s="1" t="s">
        <v>179</v>
      </c>
      <c r="G5490" s="4">
        <v>43703</v>
      </c>
      <c r="H5490" s="12">
        <v>6594617</v>
      </c>
      <c r="I5490" s="12">
        <v>666322</v>
      </c>
      <c r="J5490" s="1" t="s">
        <v>186</v>
      </c>
      <c r="K5490" s="29">
        <v>3</v>
      </c>
      <c r="L5490" s="29" t="s">
        <v>337</v>
      </c>
      <c r="M5490" s="29">
        <v>9</v>
      </c>
      <c r="Q5490" s="1">
        <v>14.8</v>
      </c>
      <c r="R5490" s="1">
        <v>0.2</v>
      </c>
      <c r="S5490" s="1">
        <v>2</v>
      </c>
    </row>
    <row r="5491" spans="2:43" x14ac:dyDescent="0.3">
      <c r="B5491" s="38" t="s">
        <v>517</v>
      </c>
      <c r="C5491" s="1" t="s">
        <v>514</v>
      </c>
      <c r="D5491" s="1">
        <f t="shared" si="270"/>
        <v>2019</v>
      </c>
      <c r="E5491" s="28">
        <v>8</v>
      </c>
      <c r="F5491" s="1" t="s">
        <v>179</v>
      </c>
      <c r="G5491" s="4">
        <v>43703</v>
      </c>
      <c r="H5491" s="12">
        <v>6594617</v>
      </c>
      <c r="I5491" s="12">
        <v>666322</v>
      </c>
      <c r="J5491" s="1" t="s">
        <v>186</v>
      </c>
      <c r="K5491" s="29">
        <v>3</v>
      </c>
      <c r="L5491" s="29" t="s">
        <v>337</v>
      </c>
      <c r="M5491" s="29">
        <v>10</v>
      </c>
      <c r="P5491" s="1">
        <v>1.5</v>
      </c>
      <c r="Q5491" s="1">
        <v>14.2</v>
      </c>
      <c r="R5491" s="1">
        <v>0.2</v>
      </c>
      <c r="S5491" s="1">
        <v>2</v>
      </c>
      <c r="V5491" s="1">
        <v>2.9</v>
      </c>
      <c r="W5491" s="1">
        <v>1000</v>
      </c>
      <c r="Z5491" s="8">
        <v>490</v>
      </c>
      <c r="AA5491" s="1">
        <v>7.4</v>
      </c>
      <c r="AD5491" s="1">
        <v>6.9</v>
      </c>
      <c r="AE5491" s="1">
        <v>7.9</v>
      </c>
      <c r="AK5491" s="8">
        <v>530</v>
      </c>
      <c r="AL5491" s="1">
        <v>1500</v>
      </c>
    </row>
    <row r="5492" spans="2:43" x14ac:dyDescent="0.3">
      <c r="B5492" s="38" t="s">
        <v>517</v>
      </c>
      <c r="C5492" s="1" t="s">
        <v>514</v>
      </c>
      <c r="D5492" s="1">
        <f t="shared" si="270"/>
        <v>2019</v>
      </c>
      <c r="E5492" s="28">
        <v>9</v>
      </c>
      <c r="F5492" s="1" t="s">
        <v>179</v>
      </c>
      <c r="G5492" s="4">
        <v>43731</v>
      </c>
      <c r="H5492" s="12">
        <v>6594617</v>
      </c>
      <c r="I5492" s="12">
        <v>666322</v>
      </c>
      <c r="J5492" s="1" t="s">
        <v>186</v>
      </c>
      <c r="K5492" s="29">
        <v>3</v>
      </c>
      <c r="L5492" s="29" t="s">
        <v>337</v>
      </c>
      <c r="M5492" s="29">
        <v>0.5</v>
      </c>
      <c r="P5492" s="1">
        <v>1.5</v>
      </c>
      <c r="Q5492" s="1">
        <v>14.9</v>
      </c>
      <c r="R5492" s="1">
        <v>8.1999999999999993</v>
      </c>
      <c r="S5492" s="1">
        <v>80</v>
      </c>
      <c r="V5492" s="1">
        <v>2.4</v>
      </c>
      <c r="W5492" s="1">
        <v>110</v>
      </c>
      <c r="Z5492" s="1">
        <v>93</v>
      </c>
      <c r="AA5492" s="1">
        <v>3.1</v>
      </c>
      <c r="AB5492" s="1">
        <v>16</v>
      </c>
      <c r="AD5492" s="1">
        <v>68</v>
      </c>
      <c r="AE5492" s="1">
        <v>8</v>
      </c>
      <c r="AK5492" s="1">
        <v>140</v>
      </c>
      <c r="AL5492" s="1">
        <v>760</v>
      </c>
    </row>
    <row r="5493" spans="2:43" x14ac:dyDescent="0.3">
      <c r="B5493" s="38" t="s">
        <v>517</v>
      </c>
      <c r="C5493" s="1" t="s">
        <v>514</v>
      </c>
      <c r="D5493" s="1">
        <f t="shared" si="270"/>
        <v>2019</v>
      </c>
      <c r="E5493" s="28">
        <v>9</v>
      </c>
      <c r="F5493" s="1" t="s">
        <v>179</v>
      </c>
      <c r="G5493" s="4">
        <v>43731</v>
      </c>
      <c r="H5493" s="12">
        <v>6594617</v>
      </c>
      <c r="I5493" s="12">
        <v>666322</v>
      </c>
      <c r="J5493" s="1" t="s">
        <v>186</v>
      </c>
      <c r="K5493" s="29">
        <v>3</v>
      </c>
      <c r="L5493" s="29" t="s">
        <v>337</v>
      </c>
      <c r="M5493" s="29">
        <v>1</v>
      </c>
      <c r="Q5493" s="1">
        <v>14.7</v>
      </c>
      <c r="R5493" s="1">
        <v>8.1</v>
      </c>
      <c r="S5493" s="1">
        <v>79</v>
      </c>
    </row>
    <row r="5494" spans="2:43" x14ac:dyDescent="0.3">
      <c r="B5494" s="38" t="s">
        <v>517</v>
      </c>
      <c r="C5494" s="1" t="s">
        <v>514</v>
      </c>
      <c r="D5494" s="1">
        <f t="shared" si="270"/>
        <v>2019</v>
      </c>
      <c r="E5494" s="28">
        <v>9</v>
      </c>
      <c r="F5494" s="1" t="s">
        <v>179</v>
      </c>
      <c r="G5494" s="4">
        <v>43731</v>
      </c>
      <c r="H5494" s="12">
        <v>6594617</v>
      </c>
      <c r="I5494" s="12">
        <v>666322</v>
      </c>
      <c r="J5494" s="1" t="s">
        <v>186</v>
      </c>
      <c r="K5494" s="29">
        <v>3</v>
      </c>
      <c r="L5494" s="29" t="s">
        <v>337</v>
      </c>
      <c r="M5494" s="29">
        <v>2</v>
      </c>
      <c r="Q5494" s="1">
        <v>14.6</v>
      </c>
      <c r="R5494" s="1">
        <v>8</v>
      </c>
      <c r="S5494" s="1">
        <v>78</v>
      </c>
    </row>
    <row r="5495" spans="2:43" x14ac:dyDescent="0.3">
      <c r="B5495" s="38" t="s">
        <v>517</v>
      </c>
      <c r="C5495" s="1" t="s">
        <v>514</v>
      </c>
      <c r="D5495" s="1">
        <f t="shared" si="270"/>
        <v>2019</v>
      </c>
      <c r="E5495" s="28">
        <v>9</v>
      </c>
      <c r="F5495" s="1" t="s">
        <v>179</v>
      </c>
      <c r="G5495" s="4">
        <v>43731</v>
      </c>
      <c r="H5495" s="12">
        <v>6594617</v>
      </c>
      <c r="I5495" s="12">
        <v>666322</v>
      </c>
      <c r="J5495" s="1" t="s">
        <v>186</v>
      </c>
      <c r="K5495" s="29">
        <v>3</v>
      </c>
      <c r="L5495" s="29" t="s">
        <v>337</v>
      </c>
      <c r="M5495" s="29">
        <v>3</v>
      </c>
      <c r="Q5495" s="1">
        <v>14.5</v>
      </c>
      <c r="R5495" s="1">
        <v>7.8</v>
      </c>
      <c r="S5495" s="1">
        <v>76</v>
      </c>
    </row>
    <row r="5496" spans="2:43" x14ac:dyDescent="0.3">
      <c r="B5496" s="38" t="s">
        <v>517</v>
      </c>
      <c r="C5496" s="1" t="s">
        <v>514</v>
      </c>
      <c r="D5496" s="1">
        <f t="shared" si="270"/>
        <v>2019</v>
      </c>
      <c r="E5496" s="28">
        <v>9</v>
      </c>
      <c r="F5496" s="1" t="s">
        <v>179</v>
      </c>
      <c r="G5496" s="4">
        <v>43731</v>
      </c>
      <c r="H5496" s="12">
        <v>6594617</v>
      </c>
      <c r="I5496" s="12">
        <v>666322</v>
      </c>
      <c r="J5496" s="1" t="s">
        <v>186</v>
      </c>
      <c r="K5496" s="29">
        <v>3</v>
      </c>
      <c r="L5496" s="29" t="s">
        <v>337</v>
      </c>
      <c r="M5496" s="29">
        <v>4</v>
      </c>
      <c r="Q5496" s="1">
        <v>14.4</v>
      </c>
      <c r="R5496" s="1">
        <v>7.5</v>
      </c>
      <c r="S5496" s="1">
        <v>73</v>
      </c>
    </row>
    <row r="5497" spans="2:43" x14ac:dyDescent="0.3">
      <c r="B5497" s="38" t="s">
        <v>517</v>
      </c>
      <c r="C5497" s="1" t="s">
        <v>514</v>
      </c>
      <c r="D5497" s="1">
        <f t="shared" si="270"/>
        <v>2019</v>
      </c>
      <c r="E5497" s="28">
        <v>9</v>
      </c>
      <c r="F5497" s="1" t="s">
        <v>179</v>
      </c>
      <c r="G5497" s="4">
        <v>43731</v>
      </c>
      <c r="H5497" s="12">
        <v>6594617</v>
      </c>
      <c r="I5497" s="12">
        <v>666322</v>
      </c>
      <c r="J5497" s="1" t="s">
        <v>186</v>
      </c>
      <c r="K5497" s="29">
        <v>3</v>
      </c>
      <c r="L5497" s="29" t="s">
        <v>337</v>
      </c>
      <c r="M5497" s="29">
        <v>5</v>
      </c>
      <c r="Q5497" s="1">
        <v>14.3</v>
      </c>
      <c r="R5497" s="1">
        <v>7.5</v>
      </c>
      <c r="S5497" s="1">
        <v>73</v>
      </c>
    </row>
    <row r="5498" spans="2:43" x14ac:dyDescent="0.3">
      <c r="B5498" s="38" t="s">
        <v>517</v>
      </c>
      <c r="C5498" s="1" t="s">
        <v>514</v>
      </c>
      <c r="D5498" s="1">
        <f t="shared" si="270"/>
        <v>2019</v>
      </c>
      <c r="E5498" s="28">
        <v>9</v>
      </c>
      <c r="F5498" s="1" t="s">
        <v>179</v>
      </c>
      <c r="G5498" s="4">
        <v>43731</v>
      </c>
      <c r="H5498" s="12">
        <v>6594617</v>
      </c>
      <c r="I5498" s="12">
        <v>666322</v>
      </c>
      <c r="J5498" s="1" t="s">
        <v>186</v>
      </c>
      <c r="K5498" s="29">
        <v>3</v>
      </c>
      <c r="L5498" s="29" t="s">
        <v>337</v>
      </c>
      <c r="M5498" s="29">
        <v>6</v>
      </c>
      <c r="Q5498" s="1">
        <v>14.3</v>
      </c>
      <c r="R5498" s="1">
        <v>7.6</v>
      </c>
      <c r="S5498" s="1">
        <v>73</v>
      </c>
    </row>
    <row r="5499" spans="2:43" x14ac:dyDescent="0.3">
      <c r="B5499" s="38" t="s">
        <v>517</v>
      </c>
      <c r="C5499" s="1" t="s">
        <v>514</v>
      </c>
      <c r="D5499" s="1">
        <f t="shared" si="270"/>
        <v>2019</v>
      </c>
      <c r="E5499" s="28">
        <v>9</v>
      </c>
      <c r="F5499" s="1" t="s">
        <v>179</v>
      </c>
      <c r="G5499" s="4">
        <v>43731</v>
      </c>
      <c r="H5499" s="12">
        <v>6594617</v>
      </c>
      <c r="I5499" s="12">
        <v>666322</v>
      </c>
      <c r="J5499" s="1" t="s">
        <v>186</v>
      </c>
      <c r="K5499" s="29">
        <v>3</v>
      </c>
      <c r="L5499" s="29" t="s">
        <v>337</v>
      </c>
      <c r="M5499" s="29">
        <v>7</v>
      </c>
      <c r="Q5499" s="1">
        <v>14.3</v>
      </c>
      <c r="R5499" s="1">
        <v>7.6</v>
      </c>
      <c r="S5499" s="1">
        <v>74</v>
      </c>
    </row>
    <row r="5500" spans="2:43" x14ac:dyDescent="0.3">
      <c r="B5500" s="38" t="s">
        <v>517</v>
      </c>
      <c r="C5500" s="1" t="s">
        <v>514</v>
      </c>
      <c r="D5500" s="1">
        <f t="shared" si="270"/>
        <v>2019</v>
      </c>
      <c r="E5500" s="28">
        <v>9</v>
      </c>
      <c r="F5500" s="1" t="s">
        <v>179</v>
      </c>
      <c r="G5500" s="4">
        <v>43731</v>
      </c>
      <c r="H5500" s="12">
        <v>6594617</v>
      </c>
      <c r="I5500" s="12">
        <v>666322</v>
      </c>
      <c r="J5500" s="1" t="s">
        <v>186</v>
      </c>
      <c r="K5500" s="29">
        <v>3</v>
      </c>
      <c r="L5500" s="29" t="s">
        <v>337</v>
      </c>
      <c r="M5500" s="29">
        <v>8</v>
      </c>
      <c r="Q5500" s="1">
        <v>14.2</v>
      </c>
      <c r="R5500" s="1">
        <v>7.6</v>
      </c>
      <c r="S5500" s="1">
        <v>73</v>
      </c>
    </row>
    <row r="5501" spans="2:43" x14ac:dyDescent="0.3">
      <c r="B5501" s="38" t="s">
        <v>517</v>
      </c>
      <c r="C5501" s="1" t="s">
        <v>514</v>
      </c>
      <c r="D5501" s="1">
        <f t="shared" si="270"/>
        <v>2019</v>
      </c>
      <c r="E5501" s="28">
        <v>9</v>
      </c>
      <c r="F5501" s="1" t="s">
        <v>179</v>
      </c>
      <c r="G5501" s="4">
        <v>43731</v>
      </c>
      <c r="H5501" s="12">
        <v>6594617</v>
      </c>
      <c r="I5501" s="12">
        <v>666322</v>
      </c>
      <c r="J5501" s="1" t="s">
        <v>186</v>
      </c>
      <c r="K5501" s="29">
        <v>3</v>
      </c>
      <c r="L5501" s="29" t="s">
        <v>337</v>
      </c>
      <c r="M5501" s="29">
        <v>9</v>
      </c>
      <c r="Q5501" s="1">
        <v>13.9</v>
      </c>
      <c r="R5501" s="1">
        <v>6.8</v>
      </c>
      <c r="S5501" s="1">
        <v>65</v>
      </c>
    </row>
    <row r="5502" spans="2:43" x14ac:dyDescent="0.3">
      <c r="B5502" s="38" t="s">
        <v>517</v>
      </c>
      <c r="C5502" s="1" t="s">
        <v>514</v>
      </c>
      <c r="D5502" s="1">
        <f t="shared" si="270"/>
        <v>2019</v>
      </c>
      <c r="E5502" s="28">
        <v>9</v>
      </c>
      <c r="F5502" s="1" t="s">
        <v>179</v>
      </c>
      <c r="G5502" s="4">
        <v>43731</v>
      </c>
      <c r="H5502" s="12">
        <v>6594617</v>
      </c>
      <c r="I5502" s="12">
        <v>666322</v>
      </c>
      <c r="J5502" s="1" t="s">
        <v>186</v>
      </c>
      <c r="K5502" s="29">
        <v>3</v>
      </c>
      <c r="L5502" s="29" t="s">
        <v>337</v>
      </c>
      <c r="M5502" s="29">
        <v>9.6999999999999993</v>
      </c>
      <c r="P5502" s="1">
        <v>1.5</v>
      </c>
      <c r="Q5502" s="1">
        <v>13.8</v>
      </c>
      <c r="V5502" s="1">
        <v>2.4</v>
      </c>
      <c r="W5502" s="1">
        <v>140</v>
      </c>
      <c r="Z5502" s="1">
        <v>83</v>
      </c>
      <c r="AA5502" s="1">
        <v>6.6</v>
      </c>
      <c r="AD5502" s="1">
        <v>61</v>
      </c>
      <c r="AE5502" s="1">
        <v>8</v>
      </c>
      <c r="AK5502" s="1">
        <v>130</v>
      </c>
      <c r="AL5502" s="1">
        <v>790</v>
      </c>
      <c r="AM5502" s="20" t="s">
        <v>1298</v>
      </c>
      <c r="AN5502" s="20" t="s">
        <v>1298</v>
      </c>
      <c r="AO5502" s="20" t="s">
        <v>1298</v>
      </c>
      <c r="AP5502" s="20"/>
      <c r="AQ5502" s="20"/>
    </row>
    <row r="5503" spans="2:43" x14ac:dyDescent="0.3">
      <c r="B5503" s="38" t="s">
        <v>517</v>
      </c>
      <c r="C5503" s="1" t="s">
        <v>514</v>
      </c>
      <c r="D5503" s="1">
        <f t="shared" si="270"/>
        <v>2019</v>
      </c>
      <c r="E5503" s="28">
        <v>9</v>
      </c>
      <c r="F5503" s="1" t="s">
        <v>179</v>
      </c>
      <c r="G5503" s="4">
        <v>43731</v>
      </c>
      <c r="H5503" s="12">
        <v>6594617</v>
      </c>
      <c r="I5503" s="12">
        <v>666322</v>
      </c>
      <c r="J5503" s="1" t="s">
        <v>186</v>
      </c>
      <c r="K5503" s="29">
        <v>3</v>
      </c>
      <c r="L5503" s="29" t="s">
        <v>337</v>
      </c>
      <c r="M5503" s="29">
        <v>10</v>
      </c>
      <c r="Q5503" s="1">
        <v>13.8</v>
      </c>
      <c r="R5503" s="1">
        <v>6.5</v>
      </c>
      <c r="S5503" s="1">
        <v>62</v>
      </c>
    </row>
    <row r="5504" spans="2:43" x14ac:dyDescent="0.3">
      <c r="B5504" s="38" t="s">
        <v>517</v>
      </c>
      <c r="C5504" s="1" t="s">
        <v>514</v>
      </c>
      <c r="D5504" s="1">
        <f t="shared" si="270"/>
        <v>2019</v>
      </c>
      <c r="E5504" s="28">
        <v>9</v>
      </c>
      <c r="F5504" s="1" t="s">
        <v>179</v>
      </c>
      <c r="G5504" s="4">
        <v>43731</v>
      </c>
      <c r="H5504" s="12">
        <v>6594617</v>
      </c>
      <c r="I5504" s="12">
        <v>666322</v>
      </c>
      <c r="J5504" s="1" t="s">
        <v>186</v>
      </c>
      <c r="K5504" s="29">
        <v>3</v>
      </c>
      <c r="L5504" s="29" t="s">
        <v>337</v>
      </c>
      <c r="M5504" s="29">
        <v>11</v>
      </c>
      <c r="Q5504" s="1">
        <v>13.7</v>
      </c>
      <c r="R5504" s="1">
        <v>5.8</v>
      </c>
      <c r="S5504" s="1">
        <v>55</v>
      </c>
    </row>
    <row r="5505" spans="2:43" x14ac:dyDescent="0.3">
      <c r="B5505" s="38" t="s">
        <v>517</v>
      </c>
      <c r="C5505" s="1" t="s">
        <v>514</v>
      </c>
      <c r="D5505" s="1">
        <f t="shared" si="270"/>
        <v>2019</v>
      </c>
      <c r="E5505" s="28">
        <v>9</v>
      </c>
      <c r="F5505" s="1" t="s">
        <v>179</v>
      </c>
      <c r="G5505" s="4">
        <v>43731</v>
      </c>
      <c r="H5505" s="12">
        <v>6594617</v>
      </c>
      <c r="I5505" s="12">
        <v>666322</v>
      </c>
      <c r="J5505" s="1" t="s">
        <v>186</v>
      </c>
      <c r="K5505" s="29">
        <v>3</v>
      </c>
      <c r="L5505" s="29" t="s">
        <v>337</v>
      </c>
      <c r="M5505" s="29">
        <v>11.2</v>
      </c>
      <c r="P5505" s="1">
        <v>1.5</v>
      </c>
      <c r="Q5505" s="1">
        <v>13.7</v>
      </c>
      <c r="V5505" s="1">
        <v>2.4</v>
      </c>
      <c r="W5505" s="1">
        <v>130</v>
      </c>
      <c r="Z5505" s="1">
        <v>69</v>
      </c>
      <c r="AA5505" s="1">
        <v>7.3</v>
      </c>
      <c r="AD5505" s="1">
        <v>58</v>
      </c>
      <c r="AE5505" s="1">
        <v>8</v>
      </c>
      <c r="AK5505" s="1">
        <v>110</v>
      </c>
      <c r="AL5505" s="1">
        <v>720</v>
      </c>
    </row>
    <row r="5506" spans="2:43" x14ac:dyDescent="0.3">
      <c r="B5506" s="38" t="s">
        <v>517</v>
      </c>
      <c r="C5506" s="1" t="s">
        <v>514</v>
      </c>
      <c r="D5506" s="1">
        <f t="shared" si="270"/>
        <v>2019</v>
      </c>
      <c r="E5506" s="28">
        <v>10</v>
      </c>
      <c r="F5506" s="1" t="s">
        <v>180</v>
      </c>
      <c r="G5506" s="4">
        <v>43741</v>
      </c>
      <c r="H5506" s="12">
        <v>6594617</v>
      </c>
      <c r="I5506" s="12">
        <v>666322</v>
      </c>
      <c r="J5506" s="1" t="s">
        <v>186</v>
      </c>
      <c r="K5506" s="29">
        <v>3</v>
      </c>
      <c r="L5506" s="29" t="s">
        <v>337</v>
      </c>
      <c r="M5506" s="29">
        <v>0.5</v>
      </c>
      <c r="P5506" s="1">
        <v>3</v>
      </c>
      <c r="Q5506" s="1">
        <v>8.3000000000000007</v>
      </c>
      <c r="V5506" s="1">
        <v>2.4</v>
      </c>
      <c r="W5506" s="1">
        <v>160</v>
      </c>
      <c r="Z5506" s="1">
        <v>84</v>
      </c>
      <c r="AA5506" s="1">
        <v>2.1</v>
      </c>
      <c r="AB5506" s="1">
        <v>3.3</v>
      </c>
      <c r="AD5506" s="1">
        <v>140</v>
      </c>
      <c r="AE5506" s="1">
        <v>8.1</v>
      </c>
      <c r="AK5506" s="1">
        <v>110</v>
      </c>
      <c r="AL5506" s="1">
        <v>800</v>
      </c>
    </row>
    <row r="5507" spans="2:43" x14ac:dyDescent="0.3">
      <c r="B5507" s="38" t="s">
        <v>517</v>
      </c>
      <c r="C5507" s="1" t="s">
        <v>514</v>
      </c>
      <c r="D5507" s="1">
        <f t="shared" si="270"/>
        <v>2019</v>
      </c>
      <c r="E5507" s="28">
        <v>10</v>
      </c>
      <c r="F5507" s="1" t="s">
        <v>180</v>
      </c>
      <c r="G5507" s="4">
        <v>43766</v>
      </c>
      <c r="H5507" s="12">
        <v>6594617</v>
      </c>
      <c r="I5507" s="12">
        <v>666322</v>
      </c>
      <c r="J5507" s="1" t="s">
        <v>186</v>
      </c>
      <c r="K5507" s="29">
        <v>3</v>
      </c>
      <c r="L5507" s="29" t="s">
        <v>337</v>
      </c>
      <c r="M5507" s="29">
        <v>0.5</v>
      </c>
      <c r="Q5507" s="1">
        <v>9.1</v>
      </c>
      <c r="R5507" s="1">
        <v>8.3000000000000007</v>
      </c>
      <c r="S5507" s="1">
        <v>79</v>
      </c>
    </row>
    <row r="5508" spans="2:43" x14ac:dyDescent="0.3">
      <c r="B5508" s="38" t="s">
        <v>517</v>
      </c>
      <c r="C5508" s="1" t="s">
        <v>514</v>
      </c>
      <c r="D5508" s="1">
        <f t="shared" si="270"/>
        <v>2019</v>
      </c>
      <c r="E5508" s="28">
        <v>10</v>
      </c>
      <c r="F5508" s="1" t="s">
        <v>180</v>
      </c>
      <c r="G5508" s="4">
        <v>43766</v>
      </c>
      <c r="H5508" s="12">
        <v>6594617</v>
      </c>
      <c r="I5508" s="12">
        <v>666322</v>
      </c>
      <c r="J5508" s="1" t="s">
        <v>186</v>
      </c>
      <c r="K5508" s="29">
        <v>3</v>
      </c>
      <c r="L5508" s="29" t="s">
        <v>337</v>
      </c>
      <c r="M5508" s="29">
        <v>1</v>
      </c>
      <c r="Q5508" s="1">
        <v>9.1</v>
      </c>
      <c r="R5508" s="1">
        <v>9</v>
      </c>
      <c r="S5508" s="1">
        <v>78</v>
      </c>
    </row>
    <row r="5509" spans="2:43" x14ac:dyDescent="0.3">
      <c r="B5509" s="38" t="s">
        <v>517</v>
      </c>
      <c r="C5509" s="1" t="s">
        <v>514</v>
      </c>
      <c r="D5509" s="1">
        <f t="shared" si="270"/>
        <v>2019</v>
      </c>
      <c r="E5509" s="28">
        <v>10</v>
      </c>
      <c r="F5509" s="1" t="s">
        <v>180</v>
      </c>
      <c r="G5509" s="4">
        <v>43766</v>
      </c>
      <c r="H5509" s="12">
        <v>6594617</v>
      </c>
      <c r="I5509" s="12">
        <v>666322</v>
      </c>
      <c r="J5509" s="1" t="s">
        <v>186</v>
      </c>
      <c r="K5509" s="29">
        <v>3</v>
      </c>
      <c r="L5509" s="29" t="s">
        <v>337</v>
      </c>
      <c r="M5509" s="29">
        <v>2</v>
      </c>
      <c r="Q5509" s="1">
        <v>9.1999999999999993</v>
      </c>
      <c r="R5509" s="1">
        <v>8.8000000000000007</v>
      </c>
      <c r="S5509" s="1">
        <v>77</v>
      </c>
    </row>
    <row r="5510" spans="2:43" x14ac:dyDescent="0.3">
      <c r="B5510" s="38" t="s">
        <v>517</v>
      </c>
      <c r="C5510" s="1" t="s">
        <v>514</v>
      </c>
      <c r="D5510" s="1">
        <f t="shared" si="270"/>
        <v>2019</v>
      </c>
      <c r="E5510" s="28">
        <v>10</v>
      </c>
      <c r="F5510" s="1" t="s">
        <v>180</v>
      </c>
      <c r="G5510" s="4">
        <v>43766</v>
      </c>
      <c r="H5510" s="12">
        <v>6594617</v>
      </c>
      <c r="I5510" s="12">
        <v>666322</v>
      </c>
      <c r="J5510" s="1" t="s">
        <v>186</v>
      </c>
      <c r="K5510" s="29">
        <v>3</v>
      </c>
      <c r="L5510" s="29" t="s">
        <v>337</v>
      </c>
      <c r="M5510" s="29">
        <v>3</v>
      </c>
      <c r="Q5510" s="1">
        <v>9.1999999999999993</v>
      </c>
      <c r="R5510" s="1">
        <v>8.8000000000000007</v>
      </c>
      <c r="S5510" s="1">
        <v>76</v>
      </c>
    </row>
    <row r="5511" spans="2:43" x14ac:dyDescent="0.3">
      <c r="B5511" s="38" t="s">
        <v>517</v>
      </c>
      <c r="C5511" s="1" t="s">
        <v>514</v>
      </c>
      <c r="D5511" s="1">
        <f t="shared" si="270"/>
        <v>2019</v>
      </c>
      <c r="E5511" s="28">
        <v>10</v>
      </c>
      <c r="F5511" s="1" t="s">
        <v>180</v>
      </c>
      <c r="G5511" s="4">
        <v>43766</v>
      </c>
      <c r="H5511" s="12">
        <v>6594617</v>
      </c>
      <c r="I5511" s="12">
        <v>666322</v>
      </c>
      <c r="J5511" s="1" t="s">
        <v>186</v>
      </c>
      <c r="K5511" s="29">
        <v>3</v>
      </c>
      <c r="L5511" s="29" t="s">
        <v>337</v>
      </c>
      <c r="M5511" s="29">
        <v>4</v>
      </c>
      <c r="Q5511" s="1">
        <v>9.1999999999999993</v>
      </c>
      <c r="R5511" s="1">
        <v>8.6999999999999993</v>
      </c>
      <c r="S5511" s="1">
        <v>76</v>
      </c>
    </row>
    <row r="5512" spans="2:43" x14ac:dyDescent="0.3">
      <c r="B5512" s="38" t="s">
        <v>517</v>
      </c>
      <c r="C5512" s="1" t="s">
        <v>514</v>
      </c>
      <c r="D5512" s="1">
        <f t="shared" si="270"/>
        <v>2019</v>
      </c>
      <c r="E5512" s="28">
        <v>10</v>
      </c>
      <c r="F5512" s="1" t="s">
        <v>180</v>
      </c>
      <c r="G5512" s="4">
        <v>43766</v>
      </c>
      <c r="H5512" s="12">
        <v>6594617</v>
      </c>
      <c r="I5512" s="12">
        <v>666322</v>
      </c>
      <c r="J5512" s="1" t="s">
        <v>186</v>
      </c>
      <c r="K5512" s="29">
        <v>3</v>
      </c>
      <c r="L5512" s="29" t="s">
        <v>337</v>
      </c>
      <c r="M5512" s="29">
        <v>5</v>
      </c>
      <c r="Q5512" s="1">
        <v>9.1999999999999993</v>
      </c>
      <c r="R5512" s="1">
        <v>8.6999999999999993</v>
      </c>
      <c r="S5512" s="1">
        <v>76</v>
      </c>
    </row>
    <row r="5513" spans="2:43" x14ac:dyDescent="0.3">
      <c r="B5513" s="38" t="s">
        <v>517</v>
      </c>
      <c r="C5513" s="1" t="s">
        <v>514</v>
      </c>
      <c r="D5513" s="1">
        <f t="shared" si="270"/>
        <v>2019</v>
      </c>
      <c r="E5513" s="28">
        <v>10</v>
      </c>
      <c r="F5513" s="1" t="s">
        <v>180</v>
      </c>
      <c r="G5513" s="4">
        <v>43766</v>
      </c>
      <c r="H5513" s="12">
        <v>6594617</v>
      </c>
      <c r="I5513" s="12">
        <v>666322</v>
      </c>
      <c r="J5513" s="1" t="s">
        <v>186</v>
      </c>
      <c r="K5513" s="29">
        <v>3</v>
      </c>
      <c r="L5513" s="29" t="s">
        <v>337</v>
      </c>
      <c r="M5513" s="29">
        <v>6</v>
      </c>
      <c r="Q5513" s="1">
        <v>9.1</v>
      </c>
      <c r="R5513" s="1">
        <v>8.8000000000000007</v>
      </c>
      <c r="S5513" s="1">
        <v>76</v>
      </c>
    </row>
    <row r="5514" spans="2:43" x14ac:dyDescent="0.3">
      <c r="B5514" s="38" t="s">
        <v>517</v>
      </c>
      <c r="C5514" s="1" t="s">
        <v>514</v>
      </c>
      <c r="D5514" s="1">
        <f t="shared" si="270"/>
        <v>2019</v>
      </c>
      <c r="E5514" s="28">
        <v>10</v>
      </c>
      <c r="F5514" s="1" t="s">
        <v>180</v>
      </c>
      <c r="G5514" s="4">
        <v>43766</v>
      </c>
      <c r="H5514" s="12">
        <v>6594617</v>
      </c>
      <c r="I5514" s="12">
        <v>666322</v>
      </c>
      <c r="J5514" s="1" t="s">
        <v>186</v>
      </c>
      <c r="K5514" s="29">
        <v>3</v>
      </c>
      <c r="L5514" s="29" t="s">
        <v>337</v>
      </c>
      <c r="M5514" s="29">
        <v>7</v>
      </c>
      <c r="Q5514" s="1">
        <v>9.1</v>
      </c>
      <c r="R5514" s="1">
        <v>8.6999999999999993</v>
      </c>
      <c r="S5514" s="1">
        <v>75</v>
      </c>
    </row>
    <row r="5515" spans="2:43" x14ac:dyDescent="0.3">
      <c r="B5515" s="38" t="s">
        <v>517</v>
      </c>
      <c r="C5515" s="1" t="s">
        <v>514</v>
      </c>
      <c r="D5515" s="1">
        <f t="shared" si="270"/>
        <v>2019</v>
      </c>
      <c r="E5515" s="28">
        <v>10</v>
      </c>
      <c r="F5515" s="1" t="s">
        <v>180</v>
      </c>
      <c r="G5515" s="4">
        <v>43766</v>
      </c>
      <c r="H5515" s="12">
        <v>6594617</v>
      </c>
      <c r="I5515" s="12">
        <v>666322</v>
      </c>
      <c r="J5515" s="1" t="s">
        <v>186</v>
      </c>
      <c r="K5515" s="29">
        <v>3</v>
      </c>
      <c r="L5515" s="29" t="s">
        <v>337</v>
      </c>
      <c r="M5515" s="29">
        <v>8</v>
      </c>
      <c r="Q5515" s="1">
        <v>9.1</v>
      </c>
      <c r="R5515" s="1">
        <v>8.6</v>
      </c>
      <c r="S5515" s="1">
        <v>75</v>
      </c>
    </row>
    <row r="5516" spans="2:43" x14ac:dyDescent="0.3">
      <c r="B5516" s="38" t="s">
        <v>517</v>
      </c>
      <c r="C5516" s="1" t="s">
        <v>514</v>
      </c>
      <c r="D5516" s="1">
        <f t="shared" si="270"/>
        <v>2019</v>
      </c>
      <c r="E5516" s="28">
        <v>10</v>
      </c>
      <c r="F5516" s="1" t="s">
        <v>180</v>
      </c>
      <c r="G5516" s="4">
        <v>43741</v>
      </c>
      <c r="H5516" s="12">
        <v>6594617</v>
      </c>
      <c r="I5516" s="12">
        <v>666322</v>
      </c>
      <c r="J5516" s="1" t="s">
        <v>186</v>
      </c>
      <c r="K5516" s="29">
        <v>3</v>
      </c>
      <c r="L5516" s="29" t="s">
        <v>337</v>
      </c>
      <c r="M5516" s="29">
        <v>9</v>
      </c>
      <c r="P5516" s="1">
        <v>3</v>
      </c>
      <c r="Q5516" s="1">
        <v>8.1999999999999993</v>
      </c>
      <c r="V5516" s="1">
        <v>2.4</v>
      </c>
      <c r="W5516" s="1">
        <v>160</v>
      </c>
      <c r="Z5516" s="1">
        <v>84</v>
      </c>
      <c r="AA5516" s="1">
        <v>2.1</v>
      </c>
      <c r="AD5516" s="1">
        <v>140</v>
      </c>
      <c r="AE5516" s="1">
        <v>8</v>
      </c>
      <c r="AK5516" s="1">
        <v>110</v>
      </c>
      <c r="AL5516" s="1">
        <v>780</v>
      </c>
      <c r="AM5516" s="20" t="s">
        <v>1298</v>
      </c>
      <c r="AN5516" s="20" t="s">
        <v>1298</v>
      </c>
      <c r="AO5516" s="20" t="s">
        <v>1298</v>
      </c>
      <c r="AP5516" s="20"/>
      <c r="AQ5516" s="20"/>
    </row>
    <row r="5517" spans="2:43" x14ac:dyDescent="0.3">
      <c r="B5517" s="38" t="s">
        <v>517</v>
      </c>
      <c r="C5517" s="1" t="s">
        <v>514</v>
      </c>
      <c r="D5517" s="1">
        <f t="shared" si="270"/>
        <v>2019</v>
      </c>
      <c r="E5517" s="28">
        <v>10</v>
      </c>
      <c r="F5517" s="1" t="s">
        <v>180</v>
      </c>
      <c r="G5517" s="4">
        <v>43766</v>
      </c>
      <c r="H5517" s="12">
        <v>6594617</v>
      </c>
      <c r="I5517" s="12">
        <v>666322</v>
      </c>
      <c r="J5517" s="1" t="s">
        <v>186</v>
      </c>
      <c r="K5517" s="29">
        <v>3</v>
      </c>
      <c r="L5517" s="29" t="s">
        <v>337</v>
      </c>
      <c r="M5517" s="29">
        <v>9</v>
      </c>
      <c r="Q5517" s="1">
        <v>9.1</v>
      </c>
      <c r="R5517" s="1">
        <v>8.6</v>
      </c>
      <c r="S5517" s="1">
        <v>74</v>
      </c>
    </row>
    <row r="5518" spans="2:43" x14ac:dyDescent="0.3">
      <c r="B5518" s="38" t="s">
        <v>517</v>
      </c>
      <c r="C5518" s="1" t="s">
        <v>514</v>
      </c>
      <c r="D5518" s="1">
        <f t="shared" si="270"/>
        <v>2019</v>
      </c>
      <c r="E5518" s="28">
        <v>10</v>
      </c>
      <c r="F5518" s="1" t="s">
        <v>180</v>
      </c>
      <c r="G5518" s="4">
        <v>43766</v>
      </c>
      <c r="H5518" s="12">
        <v>6594617</v>
      </c>
      <c r="I5518" s="12">
        <v>666322</v>
      </c>
      <c r="J5518" s="1" t="s">
        <v>186</v>
      </c>
      <c r="K5518" s="29">
        <v>3</v>
      </c>
      <c r="L5518" s="29" t="s">
        <v>337</v>
      </c>
      <c r="M5518" s="29">
        <v>10</v>
      </c>
      <c r="Q5518" s="1">
        <v>9.1</v>
      </c>
      <c r="R5518" s="1">
        <v>8.5</v>
      </c>
      <c r="S5518" s="1">
        <v>74</v>
      </c>
    </row>
    <row r="5519" spans="2:43" x14ac:dyDescent="0.3">
      <c r="B5519" s="38" t="s">
        <v>517</v>
      </c>
      <c r="C5519" s="1" t="s">
        <v>514</v>
      </c>
      <c r="D5519" s="1">
        <f t="shared" si="270"/>
        <v>2019</v>
      </c>
      <c r="E5519" s="28">
        <v>10</v>
      </c>
      <c r="F5519" s="1" t="s">
        <v>180</v>
      </c>
      <c r="G5519" s="4">
        <v>43741</v>
      </c>
      <c r="H5519" s="12">
        <v>6594617</v>
      </c>
      <c r="I5519" s="12">
        <v>666322</v>
      </c>
      <c r="J5519" s="1" t="s">
        <v>186</v>
      </c>
      <c r="K5519" s="29">
        <v>3</v>
      </c>
      <c r="L5519" s="29" t="s">
        <v>337</v>
      </c>
      <c r="M5519" s="29">
        <v>10.5</v>
      </c>
      <c r="P5519" s="1">
        <v>3</v>
      </c>
      <c r="Q5519" s="1">
        <v>8</v>
      </c>
      <c r="V5519" s="1">
        <v>2.4</v>
      </c>
      <c r="W5519" s="1">
        <v>160</v>
      </c>
      <c r="Z5519" s="1">
        <v>84</v>
      </c>
      <c r="AA5519" s="1">
        <v>2.2000000000000002</v>
      </c>
      <c r="AD5519" s="1">
        <v>140</v>
      </c>
      <c r="AE5519" s="1">
        <v>8.1</v>
      </c>
      <c r="AK5519" s="1">
        <v>110</v>
      </c>
      <c r="AL5519" s="1">
        <v>800</v>
      </c>
    </row>
    <row r="5520" spans="2:43" x14ac:dyDescent="0.3">
      <c r="B5520" s="38" t="s">
        <v>517</v>
      </c>
      <c r="C5520" s="1" t="s">
        <v>514</v>
      </c>
      <c r="D5520" s="1">
        <f t="shared" si="270"/>
        <v>2019</v>
      </c>
      <c r="E5520" s="28">
        <v>10</v>
      </c>
      <c r="F5520" s="1" t="s">
        <v>180</v>
      </c>
      <c r="G5520" s="4">
        <v>43766</v>
      </c>
      <c r="H5520" s="12">
        <v>6594617</v>
      </c>
      <c r="I5520" s="12">
        <v>666322</v>
      </c>
      <c r="J5520" s="1" t="s">
        <v>186</v>
      </c>
      <c r="K5520" s="29">
        <v>3</v>
      </c>
      <c r="L5520" s="29" t="s">
        <v>337</v>
      </c>
      <c r="M5520" s="29">
        <v>11</v>
      </c>
      <c r="Q5520" s="1">
        <v>9.1</v>
      </c>
      <c r="R5520" s="1">
        <v>0.8</v>
      </c>
      <c r="S5520" s="1">
        <v>10</v>
      </c>
    </row>
    <row r="5521" spans="2:43" x14ac:dyDescent="0.3">
      <c r="B5521" s="38" t="s">
        <v>517</v>
      </c>
      <c r="C5521" s="1" t="s">
        <v>514</v>
      </c>
      <c r="D5521" s="1">
        <f t="shared" si="270"/>
        <v>2019</v>
      </c>
      <c r="E5521" s="28">
        <v>11</v>
      </c>
      <c r="F5521" s="1" t="s">
        <v>180</v>
      </c>
      <c r="G5521" s="4">
        <v>43794</v>
      </c>
      <c r="H5521" s="12">
        <v>6594617</v>
      </c>
      <c r="I5521" s="12">
        <v>666322</v>
      </c>
      <c r="J5521" s="1" t="s">
        <v>186</v>
      </c>
      <c r="K5521" s="29">
        <v>3</v>
      </c>
      <c r="L5521" s="29" t="s">
        <v>337</v>
      </c>
      <c r="M5521" s="29">
        <v>0.5</v>
      </c>
      <c r="P5521" s="1">
        <v>4</v>
      </c>
      <c r="Q5521" s="1">
        <v>4.9000000000000004</v>
      </c>
      <c r="R5521" s="1">
        <v>10.6</v>
      </c>
      <c r="S5521" s="1">
        <v>82</v>
      </c>
      <c r="V5521" s="1">
        <v>2.4</v>
      </c>
      <c r="W5521" s="1">
        <v>100</v>
      </c>
      <c r="Z5521" s="1">
        <v>84</v>
      </c>
      <c r="AA5521" s="1">
        <v>1.4</v>
      </c>
      <c r="AB5521" s="1" t="s">
        <v>520</v>
      </c>
      <c r="AD5521" s="1">
        <v>240</v>
      </c>
      <c r="AE5521" s="1">
        <v>8.1</v>
      </c>
      <c r="AK5521" s="1">
        <v>100</v>
      </c>
      <c r="AL5521" s="1">
        <v>850</v>
      </c>
    </row>
    <row r="5522" spans="2:43" x14ac:dyDescent="0.3">
      <c r="B5522" s="38" t="s">
        <v>517</v>
      </c>
      <c r="C5522" s="1" t="s">
        <v>514</v>
      </c>
      <c r="D5522" s="1">
        <f t="shared" si="270"/>
        <v>2019</v>
      </c>
      <c r="E5522" s="28">
        <v>11</v>
      </c>
      <c r="F5522" s="1" t="s">
        <v>180</v>
      </c>
      <c r="G5522" s="4">
        <v>43794</v>
      </c>
      <c r="H5522" s="12">
        <v>6594617</v>
      </c>
      <c r="I5522" s="12">
        <v>666322</v>
      </c>
      <c r="J5522" s="1" t="s">
        <v>186</v>
      </c>
      <c r="K5522" s="29">
        <v>3</v>
      </c>
      <c r="L5522" s="29" t="s">
        <v>337</v>
      </c>
      <c r="M5522" s="29">
        <v>1</v>
      </c>
      <c r="Q5522" s="1">
        <v>4.9000000000000004</v>
      </c>
      <c r="R5522" s="1">
        <v>10.5</v>
      </c>
      <c r="S5522" s="1">
        <v>82</v>
      </c>
    </row>
    <row r="5523" spans="2:43" x14ac:dyDescent="0.3">
      <c r="B5523" s="38" t="s">
        <v>517</v>
      </c>
      <c r="C5523" s="1" t="s">
        <v>514</v>
      </c>
      <c r="D5523" s="1">
        <f t="shared" si="270"/>
        <v>2019</v>
      </c>
      <c r="E5523" s="28">
        <v>11</v>
      </c>
      <c r="F5523" s="1" t="s">
        <v>180</v>
      </c>
      <c r="G5523" s="4">
        <v>43794</v>
      </c>
      <c r="H5523" s="12">
        <v>6594617</v>
      </c>
      <c r="I5523" s="12">
        <v>666322</v>
      </c>
      <c r="J5523" s="1" t="s">
        <v>186</v>
      </c>
      <c r="K5523" s="29">
        <v>3</v>
      </c>
      <c r="L5523" s="29" t="s">
        <v>337</v>
      </c>
      <c r="M5523" s="29">
        <v>2</v>
      </c>
      <c r="Q5523" s="1">
        <v>4.9000000000000004</v>
      </c>
      <c r="R5523" s="1">
        <v>10.5</v>
      </c>
      <c r="S5523" s="1">
        <v>81</v>
      </c>
    </row>
    <row r="5524" spans="2:43" x14ac:dyDescent="0.3">
      <c r="B5524" s="38" t="s">
        <v>517</v>
      </c>
      <c r="C5524" s="1" t="s">
        <v>514</v>
      </c>
      <c r="D5524" s="1">
        <f t="shared" si="270"/>
        <v>2019</v>
      </c>
      <c r="E5524" s="28">
        <v>11</v>
      </c>
      <c r="F5524" s="1" t="s">
        <v>180</v>
      </c>
      <c r="G5524" s="4">
        <v>43794</v>
      </c>
      <c r="H5524" s="12">
        <v>6594617</v>
      </c>
      <c r="I5524" s="12">
        <v>666322</v>
      </c>
      <c r="J5524" s="1" t="s">
        <v>186</v>
      </c>
      <c r="K5524" s="29">
        <v>3</v>
      </c>
      <c r="L5524" s="29" t="s">
        <v>337</v>
      </c>
      <c r="M5524" s="29">
        <v>3</v>
      </c>
      <c r="Q5524" s="1">
        <v>4.9000000000000004</v>
      </c>
      <c r="R5524" s="1">
        <v>10.4</v>
      </c>
      <c r="S5524" s="1">
        <v>81</v>
      </c>
    </row>
    <row r="5525" spans="2:43" x14ac:dyDescent="0.3">
      <c r="B5525" s="38" t="s">
        <v>517</v>
      </c>
      <c r="C5525" s="1" t="s">
        <v>514</v>
      </c>
      <c r="D5525" s="1">
        <f t="shared" si="270"/>
        <v>2019</v>
      </c>
      <c r="E5525" s="28">
        <v>11</v>
      </c>
      <c r="F5525" s="1" t="s">
        <v>180</v>
      </c>
      <c r="G5525" s="4">
        <v>43794</v>
      </c>
      <c r="H5525" s="12">
        <v>6594617</v>
      </c>
      <c r="I5525" s="12">
        <v>666322</v>
      </c>
      <c r="J5525" s="1" t="s">
        <v>186</v>
      </c>
      <c r="K5525" s="29">
        <v>3</v>
      </c>
      <c r="L5525" s="29" t="s">
        <v>337</v>
      </c>
      <c r="M5525" s="29">
        <v>4</v>
      </c>
      <c r="Q5525" s="1">
        <v>4.9000000000000004</v>
      </c>
      <c r="R5525" s="1">
        <v>10.4</v>
      </c>
      <c r="S5525" s="1">
        <v>81</v>
      </c>
    </row>
    <row r="5526" spans="2:43" x14ac:dyDescent="0.3">
      <c r="B5526" s="38" t="s">
        <v>517</v>
      </c>
      <c r="C5526" s="1" t="s">
        <v>514</v>
      </c>
      <c r="D5526" s="1">
        <f t="shared" si="270"/>
        <v>2019</v>
      </c>
      <c r="E5526" s="28">
        <v>11</v>
      </c>
      <c r="F5526" s="1" t="s">
        <v>180</v>
      </c>
      <c r="G5526" s="4">
        <v>43794</v>
      </c>
      <c r="H5526" s="12">
        <v>6594617</v>
      </c>
      <c r="I5526" s="12">
        <v>666322</v>
      </c>
      <c r="J5526" s="1" t="s">
        <v>186</v>
      </c>
      <c r="K5526" s="29">
        <v>3</v>
      </c>
      <c r="L5526" s="29" t="s">
        <v>337</v>
      </c>
      <c r="M5526" s="29">
        <v>5</v>
      </c>
      <c r="Q5526" s="1">
        <v>4.9000000000000004</v>
      </c>
      <c r="R5526" s="1">
        <v>10.3</v>
      </c>
      <c r="S5526" s="1">
        <v>80</v>
      </c>
    </row>
    <row r="5527" spans="2:43" x14ac:dyDescent="0.3">
      <c r="B5527" s="38" t="s">
        <v>517</v>
      </c>
      <c r="C5527" s="1" t="s">
        <v>514</v>
      </c>
      <c r="D5527" s="1">
        <f t="shared" si="270"/>
        <v>2019</v>
      </c>
      <c r="E5527" s="28">
        <v>11</v>
      </c>
      <c r="F5527" s="1" t="s">
        <v>180</v>
      </c>
      <c r="G5527" s="4">
        <v>43794</v>
      </c>
      <c r="H5527" s="12">
        <v>6594617</v>
      </c>
      <c r="I5527" s="12">
        <v>666322</v>
      </c>
      <c r="J5527" s="1" t="s">
        <v>186</v>
      </c>
      <c r="K5527" s="29">
        <v>3</v>
      </c>
      <c r="L5527" s="29" t="s">
        <v>337</v>
      </c>
      <c r="M5527" s="29">
        <v>6</v>
      </c>
      <c r="Q5527" s="1">
        <v>4.9000000000000004</v>
      </c>
      <c r="R5527" s="1">
        <v>10.199999999999999</v>
      </c>
      <c r="S5527" s="1">
        <v>79</v>
      </c>
    </row>
    <row r="5528" spans="2:43" x14ac:dyDescent="0.3">
      <c r="B5528" s="38" t="s">
        <v>517</v>
      </c>
      <c r="C5528" s="1" t="s">
        <v>514</v>
      </c>
      <c r="D5528" s="1">
        <f t="shared" si="270"/>
        <v>2019</v>
      </c>
      <c r="E5528" s="28">
        <v>11</v>
      </c>
      <c r="F5528" s="1" t="s">
        <v>180</v>
      </c>
      <c r="G5528" s="4">
        <v>43794</v>
      </c>
      <c r="H5528" s="12">
        <v>6594617</v>
      </c>
      <c r="I5528" s="12">
        <v>666322</v>
      </c>
      <c r="J5528" s="1" t="s">
        <v>186</v>
      </c>
      <c r="K5528" s="29">
        <v>3</v>
      </c>
      <c r="L5528" s="29" t="s">
        <v>337</v>
      </c>
      <c r="M5528" s="29">
        <v>7</v>
      </c>
      <c r="Q5528" s="1">
        <v>4.9000000000000004</v>
      </c>
      <c r="R5528" s="1">
        <v>10</v>
      </c>
      <c r="S5528" s="1">
        <v>78</v>
      </c>
    </row>
    <row r="5529" spans="2:43" x14ac:dyDescent="0.3">
      <c r="B5529" s="38" t="s">
        <v>517</v>
      </c>
      <c r="C5529" s="1" t="s">
        <v>514</v>
      </c>
      <c r="D5529" s="1">
        <f t="shared" si="270"/>
        <v>2019</v>
      </c>
      <c r="E5529" s="28">
        <v>11</v>
      </c>
      <c r="F5529" s="1" t="s">
        <v>180</v>
      </c>
      <c r="G5529" s="4">
        <v>43794</v>
      </c>
      <c r="H5529" s="12">
        <v>6594617</v>
      </c>
      <c r="I5529" s="12">
        <v>666322</v>
      </c>
      <c r="J5529" s="1" t="s">
        <v>186</v>
      </c>
      <c r="K5529" s="29">
        <v>3</v>
      </c>
      <c r="L5529" s="29" t="s">
        <v>337</v>
      </c>
      <c r="M5529" s="29">
        <v>8</v>
      </c>
      <c r="Q5529" s="1">
        <v>4.9000000000000004</v>
      </c>
      <c r="R5529" s="1">
        <v>7.9</v>
      </c>
      <c r="S5529" s="1">
        <v>61</v>
      </c>
    </row>
    <row r="5530" spans="2:43" x14ac:dyDescent="0.3">
      <c r="B5530" s="38" t="s">
        <v>517</v>
      </c>
      <c r="C5530" s="1" t="s">
        <v>514</v>
      </c>
      <c r="D5530" s="1">
        <f t="shared" si="270"/>
        <v>2019</v>
      </c>
      <c r="E5530" s="28">
        <v>11</v>
      </c>
      <c r="F5530" s="1" t="s">
        <v>180</v>
      </c>
      <c r="G5530" s="4">
        <v>43794</v>
      </c>
      <c r="H5530" s="12">
        <v>6594617</v>
      </c>
      <c r="I5530" s="12">
        <v>666322</v>
      </c>
      <c r="J5530" s="1" t="s">
        <v>186</v>
      </c>
      <c r="K5530" s="29">
        <v>3</v>
      </c>
      <c r="L5530" s="29" t="s">
        <v>337</v>
      </c>
      <c r="M5530" s="29">
        <v>9</v>
      </c>
      <c r="Q5530" s="1">
        <v>4.9000000000000004</v>
      </c>
      <c r="R5530" s="1">
        <v>2.8</v>
      </c>
      <c r="S5530" s="1">
        <v>22</v>
      </c>
    </row>
    <row r="5531" spans="2:43" x14ac:dyDescent="0.3">
      <c r="B5531" s="38" t="s">
        <v>517</v>
      </c>
      <c r="C5531" s="1" t="s">
        <v>514</v>
      </c>
      <c r="D5531" s="1">
        <f t="shared" si="270"/>
        <v>2019</v>
      </c>
      <c r="E5531" s="28">
        <v>11</v>
      </c>
      <c r="F5531" s="1" t="s">
        <v>180</v>
      </c>
      <c r="G5531" s="4">
        <v>43794</v>
      </c>
      <c r="H5531" s="12">
        <v>6594617</v>
      </c>
      <c r="I5531" s="12">
        <v>666322</v>
      </c>
      <c r="J5531" s="1" t="s">
        <v>186</v>
      </c>
      <c r="K5531" s="29">
        <v>3</v>
      </c>
      <c r="L5531" s="29" t="s">
        <v>337</v>
      </c>
      <c r="M5531" s="29">
        <v>10</v>
      </c>
      <c r="Q5531" s="1">
        <v>4.9000000000000004</v>
      </c>
      <c r="R5531" s="1">
        <v>0.2</v>
      </c>
      <c r="S5531" s="1">
        <v>2</v>
      </c>
    </row>
    <row r="5532" spans="2:43" x14ac:dyDescent="0.3">
      <c r="B5532" s="38" t="s">
        <v>517</v>
      </c>
      <c r="C5532" s="1" t="s">
        <v>514</v>
      </c>
      <c r="D5532" s="1">
        <v>2019</v>
      </c>
      <c r="E5532" s="28">
        <v>11</v>
      </c>
      <c r="F5532" s="1" t="s">
        <v>180</v>
      </c>
      <c r="G5532" s="4">
        <v>43794</v>
      </c>
      <c r="H5532" s="12">
        <v>6594617</v>
      </c>
      <c r="I5532" s="12">
        <v>666322</v>
      </c>
      <c r="J5532" s="1" t="s">
        <v>186</v>
      </c>
      <c r="K5532" s="29">
        <v>3</v>
      </c>
      <c r="L5532" s="29" t="s">
        <v>337</v>
      </c>
      <c r="M5532" s="29">
        <v>11</v>
      </c>
      <c r="Q5532" s="1">
        <v>5.0999999999999996</v>
      </c>
      <c r="R5532" s="1">
        <v>0.5</v>
      </c>
      <c r="S5532" s="1">
        <v>4</v>
      </c>
    </row>
    <row r="5533" spans="2:43" x14ac:dyDescent="0.3">
      <c r="B5533" s="27" t="s">
        <v>521</v>
      </c>
      <c r="C5533" s="1" t="s">
        <v>514</v>
      </c>
      <c r="D5533" s="1">
        <v>2020</v>
      </c>
      <c r="E5533" s="28">
        <v>2</v>
      </c>
      <c r="F5533" s="1" t="s">
        <v>175</v>
      </c>
      <c r="G5533" s="4">
        <v>43878</v>
      </c>
      <c r="H5533" s="30"/>
      <c r="I5533" s="28"/>
      <c r="J5533" s="1" t="s">
        <v>186</v>
      </c>
      <c r="K5533" s="1" t="s">
        <v>213</v>
      </c>
      <c r="L5533" s="1" t="str">
        <f t="shared" ref="L5533:L5573" si="271">CONCATENATE(J5533," ",K5533)</f>
        <v>Norrviken 3</v>
      </c>
      <c r="M5533" s="29" t="s">
        <v>177</v>
      </c>
      <c r="P5533" s="1">
        <v>2.4</v>
      </c>
      <c r="Q5533" s="1">
        <v>2.8</v>
      </c>
      <c r="V5533" s="1">
        <v>2.4</v>
      </c>
      <c r="W5533" s="1">
        <v>14</v>
      </c>
      <c r="Z5533" s="1">
        <v>53</v>
      </c>
      <c r="AA5533" s="1">
        <v>2.9</v>
      </c>
      <c r="AB5533" s="1">
        <v>4.3</v>
      </c>
      <c r="AD5533" s="1">
        <v>690</v>
      </c>
      <c r="AE5533" s="1">
        <v>8.1</v>
      </c>
      <c r="AK5533" s="1">
        <v>65</v>
      </c>
      <c r="AL5533" s="1">
        <v>1200</v>
      </c>
    </row>
    <row r="5534" spans="2:43" x14ac:dyDescent="0.3">
      <c r="B5534" s="27" t="s">
        <v>521</v>
      </c>
      <c r="C5534" s="1" t="s">
        <v>514</v>
      </c>
      <c r="D5534" s="1">
        <v>2020</v>
      </c>
      <c r="E5534" s="28">
        <v>3</v>
      </c>
      <c r="F5534" s="1" t="s">
        <v>175</v>
      </c>
      <c r="G5534" s="4">
        <v>43895</v>
      </c>
      <c r="H5534" s="30"/>
      <c r="I5534" s="28"/>
      <c r="J5534" s="1" t="s">
        <v>186</v>
      </c>
      <c r="K5534" s="1" t="s">
        <v>213</v>
      </c>
      <c r="L5534" s="1" t="str">
        <f t="shared" si="271"/>
        <v>Norrviken 3</v>
      </c>
      <c r="M5534" s="29" t="s">
        <v>177</v>
      </c>
      <c r="V5534" s="1">
        <v>2.4</v>
      </c>
      <c r="W5534" s="1">
        <v>10</v>
      </c>
      <c r="Z5534" s="1">
        <v>36</v>
      </c>
      <c r="AA5534" s="1">
        <v>2.5</v>
      </c>
      <c r="AB5534" s="1">
        <v>9.1999999999999993</v>
      </c>
      <c r="AD5534" s="1">
        <v>720</v>
      </c>
      <c r="AE5534" s="1">
        <v>8.1</v>
      </c>
      <c r="AK5534" s="1">
        <v>63</v>
      </c>
      <c r="AL5534" s="1">
        <v>1200</v>
      </c>
    </row>
    <row r="5535" spans="2:43" x14ac:dyDescent="0.3">
      <c r="B5535" s="27" t="s">
        <v>521</v>
      </c>
      <c r="C5535" s="1" t="s">
        <v>514</v>
      </c>
      <c r="D5535" s="1">
        <v>2020</v>
      </c>
      <c r="E5535" s="28">
        <v>3</v>
      </c>
      <c r="G5535" s="4">
        <v>43895</v>
      </c>
      <c r="H5535" s="30"/>
      <c r="I5535" s="28"/>
      <c r="J5535" s="1" t="s">
        <v>186</v>
      </c>
      <c r="K5535" s="1" t="s">
        <v>213</v>
      </c>
      <c r="L5535" s="1" t="str">
        <f t="shared" si="271"/>
        <v>Norrviken 3</v>
      </c>
      <c r="M5535" s="29" t="s">
        <v>523</v>
      </c>
      <c r="V5535" s="1">
        <v>2.4</v>
      </c>
      <c r="W5535" s="1">
        <v>12</v>
      </c>
      <c r="Z5535" s="1">
        <v>37</v>
      </c>
      <c r="AA5535" s="1">
        <v>2.5</v>
      </c>
      <c r="AD5535" s="1">
        <v>730</v>
      </c>
      <c r="AE5535" s="1">
        <v>8.1999999999999993</v>
      </c>
      <c r="AK5535" s="1">
        <v>69</v>
      </c>
      <c r="AL5535" s="1">
        <v>1200</v>
      </c>
    </row>
    <row r="5536" spans="2:43" x14ac:dyDescent="0.3">
      <c r="B5536" s="27" t="s">
        <v>521</v>
      </c>
      <c r="C5536" s="1" t="s">
        <v>514</v>
      </c>
      <c r="D5536" s="1">
        <v>2020</v>
      </c>
      <c r="E5536" s="28">
        <v>3</v>
      </c>
      <c r="G5536" s="4">
        <v>43895</v>
      </c>
      <c r="H5536" s="30"/>
      <c r="I5536" s="28"/>
      <c r="J5536" s="1" t="s">
        <v>186</v>
      </c>
      <c r="K5536" s="1" t="s">
        <v>213</v>
      </c>
      <c r="L5536" s="1" t="str">
        <f t="shared" si="271"/>
        <v>Norrviken 3</v>
      </c>
      <c r="M5536" s="29" t="s">
        <v>522</v>
      </c>
      <c r="P5536" s="1">
        <v>2.7</v>
      </c>
      <c r="V5536" s="1">
        <v>2.4</v>
      </c>
      <c r="W5536" s="1">
        <v>8.6</v>
      </c>
      <c r="Z5536" s="1">
        <v>35</v>
      </c>
      <c r="AA5536" s="1">
        <v>2.5</v>
      </c>
      <c r="AD5536" s="1">
        <v>710</v>
      </c>
      <c r="AE5536" s="1">
        <v>8.1</v>
      </c>
      <c r="AK5536" s="1">
        <v>68</v>
      </c>
      <c r="AL5536" s="1">
        <v>1200</v>
      </c>
      <c r="AM5536" s="20" t="s">
        <v>1298</v>
      </c>
      <c r="AO5536" s="20" t="s">
        <v>1298</v>
      </c>
      <c r="AP5536" s="20" t="s">
        <v>1298</v>
      </c>
      <c r="AQ5536" s="20"/>
    </row>
    <row r="5537" spans="2:41" x14ac:dyDescent="0.3">
      <c r="B5537" s="27" t="s">
        <v>521</v>
      </c>
      <c r="C5537" s="1" t="s">
        <v>514</v>
      </c>
      <c r="D5537" s="1">
        <v>2020</v>
      </c>
      <c r="E5537" s="28">
        <v>4</v>
      </c>
      <c r="F5537" s="1" t="s">
        <v>178</v>
      </c>
      <c r="G5537" s="4">
        <v>43931</v>
      </c>
      <c r="H5537" s="30"/>
      <c r="I5537" s="28"/>
      <c r="J5537" s="1" t="s">
        <v>186</v>
      </c>
      <c r="K5537" s="1" t="s">
        <v>213</v>
      </c>
      <c r="L5537" s="1" t="str">
        <f t="shared" si="271"/>
        <v>Norrviken 3</v>
      </c>
      <c r="M5537" s="29" t="s">
        <v>523</v>
      </c>
      <c r="V5537" s="1">
        <v>2.4</v>
      </c>
      <c r="W5537" s="1">
        <v>16</v>
      </c>
      <c r="Z5537" s="1">
        <v>2.1</v>
      </c>
      <c r="AA5537" s="1">
        <v>4.0999999999999996</v>
      </c>
      <c r="AD5537" s="1">
        <v>400</v>
      </c>
      <c r="AE5537" s="1">
        <v>8.6</v>
      </c>
      <c r="AK5537" s="1">
        <v>31</v>
      </c>
      <c r="AL5537" s="1">
        <v>910</v>
      </c>
    </row>
    <row r="5538" spans="2:41" x14ac:dyDescent="0.3">
      <c r="B5538" s="27" t="s">
        <v>521</v>
      </c>
      <c r="C5538" s="1" t="s">
        <v>514</v>
      </c>
      <c r="D5538" s="1">
        <v>2020</v>
      </c>
      <c r="E5538" s="28">
        <v>4</v>
      </c>
      <c r="F5538" s="1" t="s">
        <v>178</v>
      </c>
      <c r="G5538" s="4">
        <v>43931</v>
      </c>
      <c r="H5538" s="30"/>
      <c r="I5538" s="28"/>
      <c r="J5538" s="1" t="s">
        <v>186</v>
      </c>
      <c r="K5538" s="1" t="s">
        <v>213</v>
      </c>
      <c r="L5538" s="1" t="str">
        <f t="shared" si="271"/>
        <v>Norrviken 3</v>
      </c>
      <c r="M5538" s="29" t="s">
        <v>522</v>
      </c>
      <c r="V5538" s="1">
        <v>2.4</v>
      </c>
      <c r="W5538" s="1">
        <v>14</v>
      </c>
      <c r="Z5538" s="1">
        <v>2.5</v>
      </c>
      <c r="AA5538" s="1">
        <v>4.7</v>
      </c>
      <c r="AD5538" s="1">
        <v>400</v>
      </c>
      <c r="AE5538" s="1">
        <v>8.6</v>
      </c>
      <c r="AK5538" s="1">
        <v>33</v>
      </c>
      <c r="AL5538" s="1">
        <v>970</v>
      </c>
      <c r="AM5538" s="20" t="s">
        <v>1298</v>
      </c>
      <c r="AN5538" s="20" t="s">
        <v>1298</v>
      </c>
      <c r="AO5538" s="20" t="s">
        <v>1298</v>
      </c>
    </row>
    <row r="5539" spans="2:41" x14ac:dyDescent="0.3">
      <c r="B5539" s="27" t="s">
        <v>521</v>
      </c>
      <c r="C5539" s="1" t="s">
        <v>514</v>
      </c>
      <c r="D5539" s="1">
        <v>2020</v>
      </c>
      <c r="E5539" s="28">
        <v>4</v>
      </c>
      <c r="F5539" s="1" t="s">
        <v>178</v>
      </c>
      <c r="G5539" s="4">
        <v>43931</v>
      </c>
      <c r="H5539" s="30"/>
      <c r="I5539" s="28"/>
      <c r="J5539" s="1" t="s">
        <v>186</v>
      </c>
      <c r="K5539" s="1" t="s">
        <v>213</v>
      </c>
      <c r="L5539" s="1" t="str">
        <f t="shared" si="271"/>
        <v>Norrviken 3</v>
      </c>
      <c r="M5539" s="29" t="s">
        <v>177</v>
      </c>
      <c r="V5539" s="1">
        <v>2.4</v>
      </c>
      <c r="W5539" s="1">
        <v>11</v>
      </c>
      <c r="Z5539" s="1">
        <v>2.6</v>
      </c>
      <c r="AA5539" s="1">
        <v>4</v>
      </c>
      <c r="AB5539" s="1">
        <v>29</v>
      </c>
      <c r="AD5539" s="1">
        <v>400</v>
      </c>
      <c r="AE5539" s="1">
        <v>8.6</v>
      </c>
      <c r="AK5539" s="1">
        <v>33</v>
      </c>
      <c r="AL5539" s="1">
        <v>920</v>
      </c>
    </row>
    <row r="5540" spans="2:41" x14ac:dyDescent="0.3">
      <c r="B5540" s="27" t="s">
        <v>521</v>
      </c>
      <c r="C5540" s="1" t="s">
        <v>514</v>
      </c>
      <c r="D5540" s="1">
        <v>2020</v>
      </c>
      <c r="E5540" s="28">
        <v>5</v>
      </c>
      <c r="F5540" s="1" t="s">
        <v>178</v>
      </c>
      <c r="G5540" s="4">
        <v>43966</v>
      </c>
      <c r="H5540" s="30"/>
      <c r="I5540" s="28"/>
      <c r="J5540" s="1" t="s">
        <v>186</v>
      </c>
      <c r="K5540" s="1" t="s">
        <v>213</v>
      </c>
      <c r="L5540" s="1" t="str">
        <f t="shared" si="271"/>
        <v>Norrviken 3</v>
      </c>
      <c r="M5540" s="29" t="s">
        <v>523</v>
      </c>
      <c r="V5540" s="1">
        <v>2.2999999999999998</v>
      </c>
      <c r="W5540" s="1">
        <v>28</v>
      </c>
      <c r="Z5540" s="1" t="s">
        <v>519</v>
      </c>
      <c r="AA5540" s="1">
        <v>4.7</v>
      </c>
      <c r="AD5540" s="1">
        <v>160</v>
      </c>
      <c r="AE5540" s="1">
        <v>8</v>
      </c>
      <c r="AK5540" s="1">
        <v>7</v>
      </c>
      <c r="AL5540" s="1">
        <v>680</v>
      </c>
    </row>
    <row r="5541" spans="2:41" x14ac:dyDescent="0.3">
      <c r="B5541" s="27" t="s">
        <v>521</v>
      </c>
      <c r="C5541" s="1" t="s">
        <v>514</v>
      </c>
      <c r="D5541" s="1">
        <v>2020</v>
      </c>
      <c r="E5541" s="28">
        <v>5</v>
      </c>
      <c r="F5541" s="1" t="s">
        <v>178</v>
      </c>
      <c r="G5541" s="4">
        <v>43966</v>
      </c>
      <c r="H5541" s="30"/>
      <c r="I5541" s="28"/>
      <c r="J5541" s="1" t="s">
        <v>186</v>
      </c>
      <c r="K5541" s="1" t="s">
        <v>213</v>
      </c>
      <c r="L5541" s="1" t="str">
        <f t="shared" si="271"/>
        <v>Norrviken 3</v>
      </c>
      <c r="M5541" s="29" t="s">
        <v>522</v>
      </c>
      <c r="V5541" s="1">
        <v>2.2999999999999998</v>
      </c>
      <c r="W5541" s="1">
        <v>23</v>
      </c>
      <c r="Z5541" s="1" t="s">
        <v>519</v>
      </c>
      <c r="AA5541" s="1">
        <v>3.9</v>
      </c>
      <c r="AD5541" s="1">
        <v>160</v>
      </c>
      <c r="AE5541" s="1">
        <v>8.1999999999999993</v>
      </c>
      <c r="AK5541" s="1">
        <v>6.5</v>
      </c>
      <c r="AL5541" s="1">
        <v>640</v>
      </c>
      <c r="AM5541" s="1">
        <v>32</v>
      </c>
      <c r="AN5541" s="1">
        <v>195</v>
      </c>
      <c r="AO5541" s="1">
        <v>163</v>
      </c>
    </row>
    <row r="5542" spans="2:41" x14ac:dyDescent="0.3">
      <c r="B5542" s="27" t="s">
        <v>521</v>
      </c>
      <c r="C5542" s="1" t="s">
        <v>514</v>
      </c>
      <c r="D5542" s="1">
        <v>2020</v>
      </c>
      <c r="E5542" s="28">
        <v>5</v>
      </c>
      <c r="F5542" s="1" t="s">
        <v>178</v>
      </c>
      <c r="G5542" s="4">
        <v>43966</v>
      </c>
      <c r="H5542" s="30"/>
      <c r="I5542" s="28"/>
      <c r="J5542" s="1" t="s">
        <v>186</v>
      </c>
      <c r="K5542" s="1" t="s">
        <v>213</v>
      </c>
      <c r="L5542" s="1" t="str">
        <f t="shared" si="271"/>
        <v>Norrviken 3</v>
      </c>
      <c r="M5542" s="29" t="s">
        <v>177</v>
      </c>
      <c r="P5542" s="1">
        <v>1.3</v>
      </c>
      <c r="V5542" s="1">
        <v>2.4</v>
      </c>
      <c r="W5542" s="1">
        <v>11</v>
      </c>
      <c r="Z5542" s="1" t="s">
        <v>519</v>
      </c>
      <c r="AA5542" s="1">
        <v>3.2</v>
      </c>
      <c r="AB5542" s="1">
        <v>11</v>
      </c>
      <c r="AD5542" s="1">
        <v>160</v>
      </c>
      <c r="AE5542" s="1">
        <v>8.3000000000000007</v>
      </c>
      <c r="AK5542" s="1">
        <v>6.4</v>
      </c>
      <c r="AL5542" s="1">
        <v>630</v>
      </c>
    </row>
    <row r="5543" spans="2:41" x14ac:dyDescent="0.3">
      <c r="B5543" s="27" t="s">
        <v>521</v>
      </c>
      <c r="C5543" s="1" t="s">
        <v>514</v>
      </c>
      <c r="D5543" s="1">
        <v>2020</v>
      </c>
      <c r="E5543" s="28">
        <v>6</v>
      </c>
      <c r="F5543" s="1" t="s">
        <v>179</v>
      </c>
      <c r="G5543" s="4">
        <v>43999</v>
      </c>
      <c r="H5543" s="30"/>
      <c r="I5543" s="28"/>
      <c r="J5543" s="1" t="s">
        <v>186</v>
      </c>
      <c r="K5543" s="1" t="s">
        <v>213</v>
      </c>
      <c r="L5543" s="1" t="str">
        <f t="shared" si="271"/>
        <v>Norrviken 3</v>
      </c>
      <c r="M5543" s="29" t="s">
        <v>523</v>
      </c>
      <c r="V5543" s="1">
        <v>2.4</v>
      </c>
      <c r="W5543" s="1">
        <v>280</v>
      </c>
      <c r="Z5543" s="1">
        <v>7.9</v>
      </c>
      <c r="AA5543" s="1">
        <v>2.1</v>
      </c>
      <c r="AD5543" s="1">
        <v>130</v>
      </c>
      <c r="AE5543" s="1">
        <v>7.6</v>
      </c>
      <c r="AK5543" s="1">
        <v>20</v>
      </c>
      <c r="AL5543" s="1">
        <v>940</v>
      </c>
    </row>
    <row r="5544" spans="2:41" x14ac:dyDescent="0.3">
      <c r="B5544" s="27" t="s">
        <v>521</v>
      </c>
      <c r="C5544" s="1" t="s">
        <v>514</v>
      </c>
      <c r="D5544" s="1">
        <v>2020</v>
      </c>
      <c r="E5544" s="28">
        <v>6</v>
      </c>
      <c r="F5544" s="1" t="s">
        <v>179</v>
      </c>
      <c r="G5544" s="4">
        <v>43999</v>
      </c>
      <c r="H5544" s="30"/>
      <c r="I5544" s="28"/>
      <c r="J5544" s="1" t="s">
        <v>186</v>
      </c>
      <c r="K5544" s="1" t="s">
        <v>213</v>
      </c>
      <c r="L5544" s="1" t="str">
        <f t="shared" si="271"/>
        <v>Norrviken 3</v>
      </c>
      <c r="M5544" s="29" t="s">
        <v>522</v>
      </c>
      <c r="V5544" s="1">
        <v>2.4</v>
      </c>
      <c r="W5544" s="1">
        <v>220</v>
      </c>
      <c r="Z5544" s="1">
        <v>3.4</v>
      </c>
      <c r="AA5544" s="1">
        <v>1.8</v>
      </c>
      <c r="AD5544" s="1">
        <v>120</v>
      </c>
      <c r="AE5544" s="1">
        <v>7.8</v>
      </c>
      <c r="AK5544" s="1">
        <v>19</v>
      </c>
      <c r="AL5544" s="1">
        <v>870</v>
      </c>
      <c r="AM5544" s="20" t="s">
        <v>1298</v>
      </c>
      <c r="AN5544" s="1">
        <v>12</v>
      </c>
      <c r="AO5544" s="20" t="s">
        <v>1298</v>
      </c>
    </row>
    <row r="5545" spans="2:41" x14ac:dyDescent="0.3">
      <c r="B5545" s="27" t="s">
        <v>521</v>
      </c>
      <c r="C5545" s="1" t="s">
        <v>514</v>
      </c>
      <c r="D5545" s="1">
        <v>2020</v>
      </c>
      <c r="E5545" s="28">
        <v>6</v>
      </c>
      <c r="F5545" s="1" t="s">
        <v>179</v>
      </c>
      <c r="G5545" s="4">
        <v>43999</v>
      </c>
      <c r="H5545" s="30"/>
      <c r="I5545" s="28"/>
      <c r="J5545" s="1" t="s">
        <v>186</v>
      </c>
      <c r="K5545" s="1" t="s">
        <v>213</v>
      </c>
      <c r="L5545" s="1" t="str">
        <f t="shared" si="271"/>
        <v>Norrviken 3</v>
      </c>
      <c r="M5545" s="29" t="s">
        <v>177</v>
      </c>
      <c r="P5545" s="1">
        <v>4.0999999999999996</v>
      </c>
      <c r="V5545" s="1">
        <v>2.4</v>
      </c>
      <c r="W5545" s="1">
        <v>34</v>
      </c>
      <c r="Z5545" s="1">
        <v>1</v>
      </c>
      <c r="AA5545" s="1">
        <v>1</v>
      </c>
      <c r="AB5545" s="1">
        <v>3</v>
      </c>
      <c r="AD5545" s="1">
        <v>96</v>
      </c>
      <c r="AE5545" s="1">
        <v>8.1999999999999993</v>
      </c>
      <c r="AK5545" s="1">
        <v>16</v>
      </c>
      <c r="AL5545" s="1">
        <v>660</v>
      </c>
    </row>
    <row r="5546" spans="2:41" x14ac:dyDescent="0.3">
      <c r="B5546" s="27" t="s">
        <v>521</v>
      </c>
      <c r="C5546" s="1" t="s">
        <v>514</v>
      </c>
      <c r="D5546" s="1">
        <v>2020</v>
      </c>
      <c r="E5546" s="28">
        <v>7</v>
      </c>
      <c r="F5546" s="1" t="s">
        <v>179</v>
      </c>
      <c r="G5546" s="4">
        <v>44035</v>
      </c>
      <c r="H5546" s="30"/>
      <c r="I5546" s="28"/>
      <c r="J5546" s="1" t="s">
        <v>186</v>
      </c>
      <c r="K5546" s="1" t="s">
        <v>213</v>
      </c>
      <c r="L5546" s="1" t="str">
        <f t="shared" si="271"/>
        <v>Norrviken 3</v>
      </c>
      <c r="M5546" s="29" t="s">
        <v>523</v>
      </c>
      <c r="V5546" s="1">
        <v>2.6</v>
      </c>
      <c r="W5546" s="1">
        <v>900</v>
      </c>
      <c r="Z5546" s="1">
        <v>2.6</v>
      </c>
      <c r="AA5546" s="1">
        <v>3.9</v>
      </c>
      <c r="AD5546" s="1">
        <v>17</v>
      </c>
      <c r="AE5546" s="1">
        <v>7.5</v>
      </c>
      <c r="AK5546" s="1">
        <v>27</v>
      </c>
      <c r="AL5546" s="1">
        <v>1400</v>
      </c>
    </row>
    <row r="5547" spans="2:41" x14ac:dyDescent="0.3">
      <c r="B5547" s="27" t="s">
        <v>521</v>
      </c>
      <c r="C5547" s="1" t="s">
        <v>514</v>
      </c>
      <c r="D5547" s="1">
        <v>2020</v>
      </c>
      <c r="E5547" s="28">
        <v>7</v>
      </c>
      <c r="F5547" s="1" t="s">
        <v>179</v>
      </c>
      <c r="G5547" s="4">
        <v>44035</v>
      </c>
      <c r="H5547" s="30"/>
      <c r="I5547" s="28"/>
      <c r="J5547" s="1" t="s">
        <v>186</v>
      </c>
      <c r="K5547" s="1" t="s">
        <v>213</v>
      </c>
      <c r="L5547" s="1" t="str">
        <f t="shared" si="271"/>
        <v>Norrviken 3</v>
      </c>
      <c r="M5547" s="29" t="s">
        <v>522</v>
      </c>
      <c r="V5547" s="1">
        <v>2.4</v>
      </c>
      <c r="W5547" s="1">
        <v>280</v>
      </c>
      <c r="Z5547" s="1">
        <v>1.2</v>
      </c>
      <c r="AA5547" s="1">
        <v>5.2</v>
      </c>
      <c r="AD5547" s="1">
        <v>130</v>
      </c>
      <c r="AE5547" s="1">
        <v>7.6</v>
      </c>
      <c r="AK5547" s="1">
        <v>24</v>
      </c>
      <c r="AL5547" s="1">
        <v>880</v>
      </c>
      <c r="AM5547" s="20" t="s">
        <v>1298</v>
      </c>
      <c r="AN5547" s="20" t="s">
        <v>1298</v>
      </c>
      <c r="AO5547" s="20" t="s">
        <v>1298</v>
      </c>
    </row>
    <row r="5548" spans="2:41" x14ac:dyDescent="0.3">
      <c r="B5548" s="27" t="s">
        <v>521</v>
      </c>
      <c r="C5548" s="1" t="s">
        <v>514</v>
      </c>
      <c r="D5548" s="1">
        <v>2020</v>
      </c>
      <c r="E5548" s="28">
        <v>7</v>
      </c>
      <c r="F5548" s="1" t="s">
        <v>179</v>
      </c>
      <c r="G5548" s="4">
        <v>44034</v>
      </c>
      <c r="H5548" s="30"/>
      <c r="I5548" s="28"/>
      <c r="J5548" s="1" t="s">
        <v>186</v>
      </c>
      <c r="K5548" s="1" t="s">
        <v>213</v>
      </c>
      <c r="L5548" s="1" t="str">
        <f t="shared" si="271"/>
        <v>Norrviken 3</v>
      </c>
      <c r="M5548" s="29" t="s">
        <v>177</v>
      </c>
      <c r="P5548" s="1">
        <v>2</v>
      </c>
      <c r="V5548" s="1">
        <v>2.2999999999999998</v>
      </c>
      <c r="W5548" s="1">
        <v>8.6</v>
      </c>
      <c r="Z5548" s="1" t="s">
        <v>519</v>
      </c>
      <c r="AA5548" s="1">
        <v>2.2999999999999998</v>
      </c>
      <c r="AB5548" s="1">
        <v>15</v>
      </c>
      <c r="AD5548" s="1">
        <v>2.8</v>
      </c>
      <c r="AE5548" s="1">
        <v>8.4</v>
      </c>
      <c r="AK5548" s="1">
        <v>24.1</v>
      </c>
      <c r="AL5548" s="1">
        <v>530</v>
      </c>
    </row>
    <row r="5549" spans="2:41" x14ac:dyDescent="0.3">
      <c r="B5549" s="27" t="s">
        <v>521</v>
      </c>
      <c r="C5549" s="1" t="s">
        <v>514</v>
      </c>
      <c r="D5549" s="1">
        <v>2020</v>
      </c>
      <c r="E5549" s="28">
        <v>8</v>
      </c>
      <c r="F5549" s="1" t="s">
        <v>179</v>
      </c>
      <c r="G5549" s="4">
        <v>44063</v>
      </c>
      <c r="H5549" s="30"/>
      <c r="I5549" s="28"/>
      <c r="J5549" s="1" t="s">
        <v>186</v>
      </c>
      <c r="K5549" s="1" t="s">
        <v>213</v>
      </c>
      <c r="L5549" s="1" t="str">
        <f t="shared" si="271"/>
        <v>Norrviken 3</v>
      </c>
      <c r="M5549" s="29" t="s">
        <v>523</v>
      </c>
      <c r="V5549" s="1">
        <v>2.5</v>
      </c>
      <c r="W5549" s="1">
        <v>490</v>
      </c>
      <c r="Z5549" s="1">
        <v>1.3</v>
      </c>
      <c r="AA5549" s="1">
        <v>7</v>
      </c>
      <c r="AD5549" s="1">
        <v>7.7</v>
      </c>
      <c r="AE5549" s="1">
        <v>7.8</v>
      </c>
      <c r="AK5549" s="1">
        <v>39</v>
      </c>
      <c r="AL5549" s="1">
        <v>1000</v>
      </c>
    </row>
    <row r="5550" spans="2:41" x14ac:dyDescent="0.3">
      <c r="B5550" s="27" t="s">
        <v>521</v>
      </c>
      <c r="C5550" s="1" t="s">
        <v>514</v>
      </c>
      <c r="D5550" s="1">
        <v>2020</v>
      </c>
      <c r="E5550" s="28">
        <v>8</v>
      </c>
      <c r="F5550" s="1" t="s">
        <v>179</v>
      </c>
      <c r="G5550" s="4">
        <v>44063</v>
      </c>
      <c r="H5550" s="30"/>
      <c r="I5550" s="28"/>
      <c r="J5550" s="1" t="s">
        <v>186</v>
      </c>
      <c r="K5550" s="1" t="s">
        <v>213</v>
      </c>
      <c r="L5550" s="1" t="str">
        <f t="shared" si="271"/>
        <v>Norrviken 3</v>
      </c>
      <c r="M5550" s="29" t="s">
        <v>522</v>
      </c>
      <c r="V5550" s="1">
        <v>2.4</v>
      </c>
      <c r="W5550" s="1">
        <v>210</v>
      </c>
      <c r="Z5550" s="1">
        <v>6.4</v>
      </c>
      <c r="AA5550" s="1">
        <v>7.2</v>
      </c>
      <c r="AD5550" s="1">
        <v>5.7</v>
      </c>
      <c r="AE5550" s="1">
        <v>7.9</v>
      </c>
      <c r="AK5550" s="1">
        <v>29</v>
      </c>
      <c r="AL5550" s="1">
        <v>730</v>
      </c>
      <c r="AM5550" s="20" t="s">
        <v>1298</v>
      </c>
      <c r="AN5550" s="20" t="s">
        <v>1298</v>
      </c>
      <c r="AO5550" s="20" t="s">
        <v>1298</v>
      </c>
    </row>
    <row r="5551" spans="2:41" x14ac:dyDescent="0.3">
      <c r="B5551" s="27" t="s">
        <v>521</v>
      </c>
      <c r="C5551" s="1" t="s">
        <v>514</v>
      </c>
      <c r="D5551" s="1">
        <v>2020</v>
      </c>
      <c r="E5551" s="28">
        <v>8</v>
      </c>
      <c r="F5551" s="1" t="s">
        <v>179</v>
      </c>
      <c r="G5551" s="4">
        <v>44063</v>
      </c>
      <c r="H5551" s="30"/>
      <c r="I5551" s="28"/>
      <c r="J5551" s="1" t="s">
        <v>186</v>
      </c>
      <c r="K5551" s="1" t="s">
        <v>213</v>
      </c>
      <c r="L5551" s="1" t="str">
        <f t="shared" si="271"/>
        <v>Norrviken 3</v>
      </c>
      <c r="M5551" s="29" t="s">
        <v>177</v>
      </c>
      <c r="P5551" s="1">
        <v>3.5</v>
      </c>
      <c r="V5551" s="1">
        <v>2.2999999999999998</v>
      </c>
      <c r="W5551" s="1">
        <v>5.0999999999999996</v>
      </c>
      <c r="Z5551" s="1">
        <v>1.3</v>
      </c>
      <c r="AA5551" s="1">
        <v>2.5</v>
      </c>
      <c r="AB5551" s="1">
        <v>19</v>
      </c>
      <c r="AD5551" s="1">
        <v>1.5</v>
      </c>
      <c r="AE5551" s="1">
        <v>8.3000000000000007</v>
      </c>
      <c r="AK5551" s="1">
        <v>18</v>
      </c>
      <c r="AL5551" s="1">
        <v>510</v>
      </c>
    </row>
    <row r="5552" spans="2:41" x14ac:dyDescent="0.3">
      <c r="B5552" s="27" t="s">
        <v>521</v>
      </c>
      <c r="C5552" s="1" t="s">
        <v>514</v>
      </c>
      <c r="D5552" s="1">
        <v>2020</v>
      </c>
      <c r="E5552" s="28">
        <v>9</v>
      </c>
      <c r="F5552" s="1" t="s">
        <v>179</v>
      </c>
      <c r="G5552" s="4">
        <v>44088</v>
      </c>
      <c r="H5552" s="30"/>
      <c r="I5552" s="28"/>
      <c r="J5552" s="1" t="s">
        <v>186</v>
      </c>
      <c r="K5552" s="1" t="s">
        <v>213</v>
      </c>
      <c r="L5552" s="1" t="str">
        <f t="shared" si="271"/>
        <v>Norrviken 3</v>
      </c>
      <c r="M5552" s="29" t="s">
        <v>523</v>
      </c>
      <c r="Q5552" s="1">
        <v>15</v>
      </c>
      <c r="V5552" s="1">
        <v>2.4</v>
      </c>
      <c r="W5552" s="1">
        <v>400</v>
      </c>
      <c r="Z5552" s="1">
        <v>2.5</v>
      </c>
      <c r="AA5552" s="1">
        <v>3.5</v>
      </c>
      <c r="AD5552" s="1">
        <v>22</v>
      </c>
      <c r="AE5552" s="1">
        <v>7.8</v>
      </c>
      <c r="AK5552" s="1">
        <v>26</v>
      </c>
      <c r="AL5552" s="1">
        <v>1100</v>
      </c>
    </row>
    <row r="5553" spans="2:43" x14ac:dyDescent="0.3">
      <c r="B5553" s="27" t="s">
        <v>521</v>
      </c>
      <c r="C5553" s="1" t="s">
        <v>514</v>
      </c>
      <c r="D5553" s="1">
        <v>2020</v>
      </c>
      <c r="E5553" s="28">
        <v>9</v>
      </c>
      <c r="F5553" s="1" t="s">
        <v>179</v>
      </c>
      <c r="G5553" s="4">
        <v>44088</v>
      </c>
      <c r="H5553" s="30"/>
      <c r="I5553" s="28"/>
      <c r="J5553" s="1" t="s">
        <v>186</v>
      </c>
      <c r="K5553" s="1" t="s">
        <v>213</v>
      </c>
      <c r="L5553" s="1" t="str">
        <f t="shared" si="271"/>
        <v>Norrviken 3</v>
      </c>
      <c r="M5553" s="29" t="s">
        <v>522</v>
      </c>
      <c r="Q5553" s="1">
        <v>16</v>
      </c>
      <c r="V5553" s="1">
        <v>2.2999999999999998</v>
      </c>
      <c r="W5553" s="1">
        <v>110</v>
      </c>
      <c r="Z5553" s="1">
        <v>8.4</v>
      </c>
      <c r="AA5553" s="1">
        <v>2.1</v>
      </c>
      <c r="AD5553" s="1">
        <v>23</v>
      </c>
      <c r="AE5553" s="1">
        <v>7.9</v>
      </c>
      <c r="AK5553" s="1">
        <v>14</v>
      </c>
      <c r="AL5553" s="1">
        <v>750</v>
      </c>
      <c r="AM5553" s="20" t="s">
        <v>1298</v>
      </c>
      <c r="AN5553" s="1" t="s">
        <v>1298</v>
      </c>
      <c r="AO5553" s="20" t="s">
        <v>1298</v>
      </c>
    </row>
    <row r="5554" spans="2:43" x14ac:dyDescent="0.3">
      <c r="B5554" s="27" t="s">
        <v>521</v>
      </c>
      <c r="C5554" s="1" t="s">
        <v>514</v>
      </c>
      <c r="D5554" s="1">
        <v>2020</v>
      </c>
      <c r="E5554" s="28">
        <v>9</v>
      </c>
      <c r="F5554" s="1" t="s">
        <v>179</v>
      </c>
      <c r="G5554" s="4">
        <v>44088</v>
      </c>
      <c r="H5554" s="30"/>
      <c r="I5554" s="28"/>
      <c r="J5554" s="1" t="s">
        <v>186</v>
      </c>
      <c r="K5554" s="1" t="s">
        <v>213</v>
      </c>
      <c r="L5554" s="1" t="str">
        <f t="shared" si="271"/>
        <v>Norrviken 3</v>
      </c>
      <c r="M5554" s="29" t="s">
        <v>177</v>
      </c>
      <c r="P5554" s="1">
        <v>2.6</v>
      </c>
      <c r="Q5554" s="1">
        <v>16.2</v>
      </c>
      <c r="V5554" s="1">
        <v>2.2999999999999998</v>
      </c>
      <c r="W5554" s="1">
        <v>120</v>
      </c>
      <c r="Z5554" s="1">
        <v>6.5</v>
      </c>
      <c r="AA5554" s="1">
        <v>2</v>
      </c>
      <c r="AB5554" s="1">
        <v>7.7</v>
      </c>
      <c r="AD5554" s="1">
        <v>17</v>
      </c>
      <c r="AE5554" s="1">
        <v>7.9</v>
      </c>
      <c r="AK5554" s="1">
        <v>14</v>
      </c>
      <c r="AL5554" s="1">
        <v>730</v>
      </c>
    </row>
    <row r="5555" spans="2:43" x14ac:dyDescent="0.3">
      <c r="B5555" s="27"/>
      <c r="D5555" s="1">
        <v>2020</v>
      </c>
      <c r="E5555" s="28">
        <v>11</v>
      </c>
      <c r="F5555" s="1" t="s">
        <v>180</v>
      </c>
      <c r="G5555" s="4">
        <v>44138</v>
      </c>
      <c r="H5555" s="30"/>
      <c r="I5555" s="28"/>
      <c r="J5555" s="1" t="s">
        <v>186</v>
      </c>
      <c r="K5555" s="1" t="s">
        <v>213</v>
      </c>
      <c r="L5555" s="1" t="str">
        <f t="shared" si="271"/>
        <v>Norrviken 3</v>
      </c>
      <c r="M5555" s="29" t="s">
        <v>177</v>
      </c>
      <c r="P5555" s="1">
        <v>3.5</v>
      </c>
      <c r="Q5555" s="1">
        <v>9.3000000000000007</v>
      </c>
      <c r="V5555" s="1">
        <v>2.2999999999999998</v>
      </c>
      <c r="W5555" s="1">
        <v>100</v>
      </c>
      <c r="Z5555" s="1">
        <v>15</v>
      </c>
      <c r="AA5555" s="1">
        <v>1.3</v>
      </c>
      <c r="AB5555" s="1" t="s">
        <v>524</v>
      </c>
      <c r="AD5555" s="1">
        <v>210</v>
      </c>
      <c r="AE5555" s="1">
        <v>8.1</v>
      </c>
      <c r="AK5555" s="1">
        <v>22</v>
      </c>
      <c r="AL5555" s="1">
        <v>840</v>
      </c>
    </row>
    <row r="5556" spans="2:43" x14ac:dyDescent="0.3">
      <c r="B5556" s="27"/>
      <c r="D5556" s="1">
        <v>2020</v>
      </c>
      <c r="E5556" s="28">
        <v>10</v>
      </c>
      <c r="F5556" s="1" t="s">
        <v>180</v>
      </c>
      <c r="G5556" s="4">
        <v>44111</v>
      </c>
      <c r="H5556" s="30"/>
      <c r="I5556" s="28"/>
      <c r="J5556" s="1" t="s">
        <v>186</v>
      </c>
      <c r="K5556" s="1" t="s">
        <v>213</v>
      </c>
      <c r="L5556" s="1" t="str">
        <f t="shared" si="271"/>
        <v>Norrviken 3</v>
      </c>
      <c r="M5556" s="29" t="s">
        <v>177</v>
      </c>
      <c r="P5556" s="1">
        <v>3</v>
      </c>
      <c r="Q5556" s="1">
        <v>14.7</v>
      </c>
      <c r="V5556" s="1">
        <v>2.2999999999999998</v>
      </c>
      <c r="W5556" s="1">
        <v>170</v>
      </c>
      <c r="Z5556" s="1">
        <v>12</v>
      </c>
      <c r="AA5556" s="1">
        <v>1.2</v>
      </c>
      <c r="AB5556" s="1">
        <v>5.2</v>
      </c>
      <c r="AD5556" s="1">
        <v>84</v>
      </c>
      <c r="AE5556" s="1">
        <v>7.9</v>
      </c>
      <c r="AK5556" s="1">
        <v>20</v>
      </c>
      <c r="AL5556" s="1">
        <v>800</v>
      </c>
    </row>
    <row r="5557" spans="2:43" x14ac:dyDescent="0.3">
      <c r="B5557" s="27"/>
      <c r="D5557" s="1">
        <v>2020</v>
      </c>
      <c r="E5557" s="28">
        <v>10</v>
      </c>
      <c r="F5557" s="1" t="s">
        <v>180</v>
      </c>
      <c r="G5557" s="4">
        <v>44111</v>
      </c>
      <c r="H5557" s="30"/>
      <c r="I5557" s="28"/>
      <c r="J5557" s="1" t="s">
        <v>186</v>
      </c>
      <c r="K5557" s="1" t="s">
        <v>213</v>
      </c>
      <c r="L5557" s="1" t="str">
        <f t="shared" si="271"/>
        <v>Norrviken 3</v>
      </c>
      <c r="M5557" s="29" t="s">
        <v>522</v>
      </c>
      <c r="Q5557" s="1">
        <v>14.3</v>
      </c>
      <c r="V5557" s="1">
        <v>2.4</v>
      </c>
      <c r="W5557" s="1">
        <v>160</v>
      </c>
      <c r="Z5557" s="1">
        <v>6.5</v>
      </c>
      <c r="AA5557" s="1">
        <v>1.4</v>
      </c>
      <c r="AD5557" s="1">
        <v>83</v>
      </c>
      <c r="AE5557" s="1">
        <v>7.9</v>
      </c>
      <c r="AK5557" s="1">
        <v>19</v>
      </c>
      <c r="AL5557" s="1">
        <v>820</v>
      </c>
      <c r="AM5557" s="20" t="s">
        <v>1298</v>
      </c>
      <c r="AN5557" s="20" t="s">
        <v>1298</v>
      </c>
      <c r="AO5557" s="20" t="s">
        <v>1298</v>
      </c>
    </row>
    <row r="5558" spans="2:43" x14ac:dyDescent="0.3">
      <c r="B5558" s="27"/>
      <c r="D5558" s="1">
        <v>2020</v>
      </c>
      <c r="E5558" s="28">
        <v>10</v>
      </c>
      <c r="F5558" s="1" t="s">
        <v>180</v>
      </c>
      <c r="G5558" s="4">
        <v>44111</v>
      </c>
      <c r="H5558" s="30"/>
      <c r="I5558" s="28"/>
      <c r="J5558" s="1" t="s">
        <v>186</v>
      </c>
      <c r="K5558" s="1" t="s">
        <v>213</v>
      </c>
      <c r="L5558" s="1" t="str">
        <f t="shared" si="271"/>
        <v>Norrviken 3</v>
      </c>
      <c r="M5558" s="29" t="s">
        <v>523</v>
      </c>
      <c r="Q5558" s="1">
        <v>14.3</v>
      </c>
      <c r="V5558" s="1">
        <v>2.4</v>
      </c>
      <c r="W5558" s="1">
        <v>180</v>
      </c>
      <c r="Z5558" s="1">
        <v>1.1000000000000001</v>
      </c>
      <c r="AA5558" s="1">
        <v>1.6</v>
      </c>
      <c r="AD5558" s="1">
        <v>84</v>
      </c>
      <c r="AE5558" s="1">
        <v>7.9</v>
      </c>
      <c r="AK5558" s="1">
        <v>20</v>
      </c>
      <c r="AL5558" s="1">
        <v>930</v>
      </c>
    </row>
    <row r="5559" spans="2:43" x14ac:dyDescent="0.3">
      <c r="B5559" s="27"/>
      <c r="D5559" s="2">
        <f t="shared" ref="D5559:D5573" si="272">YEAR(G5559)</f>
        <v>2021</v>
      </c>
      <c r="E5559" s="28">
        <v>2</v>
      </c>
      <c r="G5559" s="37">
        <v>44244</v>
      </c>
      <c r="H5559" s="30"/>
      <c r="I5559" s="28"/>
      <c r="J5559" s="1" t="s">
        <v>186</v>
      </c>
      <c r="K5559" s="1" t="s">
        <v>213</v>
      </c>
      <c r="L5559" s="1" t="str">
        <f t="shared" si="271"/>
        <v>Norrviken 3</v>
      </c>
      <c r="M5559" s="29" t="s">
        <v>177</v>
      </c>
      <c r="P5559" s="36">
        <v>5.5</v>
      </c>
      <c r="Q5559" s="36">
        <v>0.3</v>
      </c>
      <c r="V5559" s="36">
        <v>2.5</v>
      </c>
      <c r="W5559" s="36">
        <v>6.7</v>
      </c>
      <c r="Z5559" s="36">
        <v>27</v>
      </c>
      <c r="AA5559" s="36">
        <v>0.63</v>
      </c>
      <c r="AB5559" s="36" t="s">
        <v>525</v>
      </c>
      <c r="AD5559" s="36">
        <v>660</v>
      </c>
      <c r="AE5559" s="36">
        <v>7.9</v>
      </c>
      <c r="AK5559" s="36">
        <v>37</v>
      </c>
      <c r="AL5559" s="36">
        <v>1100</v>
      </c>
      <c r="AM5559" s="36"/>
      <c r="AN5559" s="36"/>
      <c r="AO5559" s="36"/>
      <c r="AP5559" s="36"/>
      <c r="AQ5559" s="36"/>
    </row>
    <row r="5560" spans="2:43" x14ac:dyDescent="0.3">
      <c r="B5560" s="27"/>
      <c r="D5560" s="2">
        <f t="shared" si="272"/>
        <v>2021</v>
      </c>
      <c r="E5560" s="28">
        <v>4</v>
      </c>
      <c r="G5560" s="37">
        <v>44301</v>
      </c>
      <c r="H5560" s="30"/>
      <c r="I5560" s="28"/>
      <c r="J5560" s="1" t="s">
        <v>186</v>
      </c>
      <c r="K5560" s="1" t="s">
        <v>213</v>
      </c>
      <c r="L5560" s="1" t="str">
        <f t="shared" si="271"/>
        <v>Norrviken 3</v>
      </c>
      <c r="M5560" s="29" t="s">
        <v>177</v>
      </c>
      <c r="P5560" s="34" t="s">
        <v>266</v>
      </c>
      <c r="Q5560" s="34" t="s">
        <v>266</v>
      </c>
      <c r="V5560" s="36">
        <v>2.5</v>
      </c>
      <c r="W5560" s="36">
        <v>11</v>
      </c>
      <c r="Z5560" s="36">
        <v>1.3</v>
      </c>
      <c r="AA5560" s="36">
        <v>1.5</v>
      </c>
      <c r="AB5560" s="36">
        <v>11</v>
      </c>
      <c r="AD5560" s="36">
        <v>380</v>
      </c>
      <c r="AE5560" s="36">
        <v>8.1999999999999993</v>
      </c>
      <c r="AK5560" s="36">
        <v>12</v>
      </c>
      <c r="AL5560" s="36">
        <v>950</v>
      </c>
      <c r="AM5560" s="36"/>
      <c r="AN5560" s="36"/>
      <c r="AO5560" s="36"/>
      <c r="AP5560" s="36"/>
      <c r="AQ5560" s="36"/>
    </row>
    <row r="5561" spans="2:43" x14ac:dyDescent="0.3">
      <c r="B5561" s="27"/>
      <c r="D5561" s="2">
        <f t="shared" si="272"/>
        <v>2021</v>
      </c>
      <c r="E5561" s="28">
        <v>4</v>
      </c>
      <c r="G5561" s="37">
        <v>44301</v>
      </c>
      <c r="H5561" s="30"/>
      <c r="I5561" s="28"/>
      <c r="J5561" s="1" t="s">
        <v>186</v>
      </c>
      <c r="K5561" s="1" t="s">
        <v>213</v>
      </c>
      <c r="L5561" s="1" t="str">
        <f t="shared" si="271"/>
        <v>Norrviken 3</v>
      </c>
      <c r="M5561" s="29" t="s">
        <v>522</v>
      </c>
      <c r="P5561" s="34" t="s">
        <v>266</v>
      </c>
      <c r="Q5561" s="34" t="s">
        <v>266</v>
      </c>
      <c r="V5561" s="36">
        <v>2.5</v>
      </c>
      <c r="W5561" s="36">
        <v>16</v>
      </c>
      <c r="Z5561" s="36">
        <v>1.1000000000000001</v>
      </c>
      <c r="AA5561" s="36">
        <v>1.5</v>
      </c>
      <c r="AB5561" s="34" t="s">
        <v>266</v>
      </c>
      <c r="AD5561" s="36">
        <v>380</v>
      </c>
      <c r="AE5561" s="36">
        <v>8.1999999999999993</v>
      </c>
      <c r="AK5561" s="36">
        <v>19</v>
      </c>
      <c r="AL5561" s="36">
        <v>960</v>
      </c>
      <c r="AM5561" s="36"/>
      <c r="AN5561" s="36" t="s">
        <v>1298</v>
      </c>
      <c r="AO5561" s="36" t="s">
        <v>1298</v>
      </c>
      <c r="AP5561" s="36" t="s">
        <v>1298</v>
      </c>
      <c r="AQ5561" s="36"/>
    </row>
    <row r="5562" spans="2:43" x14ac:dyDescent="0.3">
      <c r="B5562" s="27"/>
      <c r="D5562" s="2">
        <f t="shared" si="272"/>
        <v>2021</v>
      </c>
      <c r="E5562" s="28">
        <v>7</v>
      </c>
      <c r="G5562" s="37">
        <v>44389</v>
      </c>
      <c r="H5562" s="30"/>
      <c r="I5562" s="28"/>
      <c r="J5562" s="1" t="s">
        <v>186</v>
      </c>
      <c r="K5562" s="1" t="s">
        <v>213</v>
      </c>
      <c r="L5562" s="1" t="str">
        <f t="shared" si="271"/>
        <v>Norrviken 3</v>
      </c>
      <c r="M5562" s="29" t="s">
        <v>177</v>
      </c>
      <c r="P5562" s="36">
        <v>2.6</v>
      </c>
      <c r="Q5562" s="36">
        <v>23.7</v>
      </c>
      <c r="V5562" s="36">
        <v>2.5</v>
      </c>
      <c r="W5562" s="36">
        <v>9</v>
      </c>
      <c r="Z5562" s="36" t="s">
        <v>319</v>
      </c>
      <c r="AA5562" s="36">
        <v>1.3</v>
      </c>
      <c r="AB5562" s="36">
        <v>5.4</v>
      </c>
      <c r="AD5562" s="36" t="s">
        <v>319</v>
      </c>
      <c r="AE5562" s="36">
        <v>8.3000000000000007</v>
      </c>
      <c r="AK5562" s="36">
        <v>21</v>
      </c>
      <c r="AL5562" s="36">
        <v>590</v>
      </c>
      <c r="AM5562" s="36"/>
      <c r="AN5562" s="36"/>
      <c r="AO5562" s="36"/>
      <c r="AP5562" s="36"/>
      <c r="AQ5562" s="36"/>
    </row>
    <row r="5563" spans="2:43" x14ac:dyDescent="0.3">
      <c r="B5563" s="27"/>
      <c r="D5563" s="2">
        <f t="shared" si="272"/>
        <v>2021</v>
      </c>
      <c r="E5563" s="28">
        <v>7</v>
      </c>
      <c r="G5563" s="37">
        <v>44389</v>
      </c>
      <c r="H5563" s="30"/>
      <c r="I5563" s="28"/>
      <c r="J5563" s="1" t="s">
        <v>186</v>
      </c>
      <c r="K5563" s="1" t="s">
        <v>213</v>
      </c>
      <c r="L5563" s="1" t="str">
        <f t="shared" si="271"/>
        <v>Norrviken 3</v>
      </c>
      <c r="M5563" s="29" t="s">
        <v>522</v>
      </c>
      <c r="P5563" s="34" t="s">
        <v>266</v>
      </c>
      <c r="Q5563" s="36">
        <v>9.8000000000000007</v>
      </c>
      <c r="V5563" s="36">
        <v>2.4</v>
      </c>
      <c r="W5563" s="36">
        <v>360</v>
      </c>
      <c r="Z5563" s="36">
        <v>16</v>
      </c>
      <c r="AA5563" s="36">
        <v>7.6</v>
      </c>
      <c r="AB5563" s="34" t="s">
        <v>266</v>
      </c>
      <c r="AD5563" s="36">
        <v>150</v>
      </c>
      <c r="AE5563" s="36">
        <v>7.7</v>
      </c>
      <c r="AK5563" s="36">
        <v>34</v>
      </c>
      <c r="AL5563" s="36">
        <v>1100</v>
      </c>
      <c r="AM5563" s="36"/>
      <c r="AN5563" s="36" t="s">
        <v>1298</v>
      </c>
      <c r="AO5563" s="36" t="s">
        <v>1298</v>
      </c>
      <c r="AP5563" s="36" t="s">
        <v>1298</v>
      </c>
      <c r="AQ5563" s="36"/>
    </row>
    <row r="5564" spans="2:43" x14ac:dyDescent="0.3">
      <c r="B5564" s="27"/>
      <c r="D5564" s="2">
        <f t="shared" si="272"/>
        <v>2021</v>
      </c>
      <c r="E5564" s="28">
        <v>7</v>
      </c>
      <c r="G5564" s="37">
        <v>44389</v>
      </c>
      <c r="H5564" s="30"/>
      <c r="I5564" s="28"/>
      <c r="J5564" s="1" t="s">
        <v>186</v>
      </c>
      <c r="K5564" s="1" t="s">
        <v>213</v>
      </c>
      <c r="L5564" s="1" t="str">
        <f t="shared" si="271"/>
        <v>Norrviken 3</v>
      </c>
      <c r="M5564" s="29" t="s">
        <v>523</v>
      </c>
      <c r="P5564" s="34" t="s">
        <v>266</v>
      </c>
      <c r="Q5564" s="36">
        <v>10</v>
      </c>
      <c r="V5564" s="36">
        <v>2.5</v>
      </c>
      <c r="W5564" s="36">
        <v>14</v>
      </c>
      <c r="Z5564" s="36" t="s">
        <v>319</v>
      </c>
      <c r="AA5564" s="36">
        <v>3.1</v>
      </c>
      <c r="AB5564" s="34" t="s">
        <v>266</v>
      </c>
      <c r="AD5564" s="36">
        <v>1.8</v>
      </c>
      <c r="AE5564" s="36">
        <v>8.1</v>
      </c>
      <c r="AK5564" s="36">
        <v>18</v>
      </c>
      <c r="AL5564" s="36">
        <v>600</v>
      </c>
      <c r="AM5564" s="36"/>
      <c r="AN5564" s="36"/>
      <c r="AO5564" s="36"/>
      <c r="AP5564" s="36"/>
      <c r="AQ5564" s="36"/>
    </row>
    <row r="5565" spans="2:43" x14ac:dyDescent="0.3">
      <c r="B5565" s="27"/>
      <c r="D5565" s="2">
        <f t="shared" si="272"/>
        <v>2021</v>
      </c>
      <c r="E5565" s="28">
        <v>8</v>
      </c>
      <c r="G5565" s="37">
        <v>44419</v>
      </c>
      <c r="H5565" s="30"/>
      <c r="I5565" s="28"/>
      <c r="J5565" s="1" t="s">
        <v>186</v>
      </c>
      <c r="K5565" s="1" t="s">
        <v>213</v>
      </c>
      <c r="L5565" s="1" t="str">
        <f t="shared" si="271"/>
        <v>Norrviken 3</v>
      </c>
      <c r="M5565" s="29" t="s">
        <v>177</v>
      </c>
      <c r="P5565" s="35">
        <v>3.8</v>
      </c>
      <c r="Q5565" s="35">
        <v>21.3</v>
      </c>
      <c r="V5565" s="35">
        <v>2.6</v>
      </c>
      <c r="W5565" s="35">
        <v>11</v>
      </c>
      <c r="Z5565" s="35">
        <v>5.7</v>
      </c>
      <c r="AA5565" s="35">
        <v>0.95</v>
      </c>
      <c r="AB5565" s="35">
        <v>7.1</v>
      </c>
      <c r="AD5565" s="35">
        <v>1.6</v>
      </c>
      <c r="AE5565" s="35">
        <v>8.1999999999999993</v>
      </c>
      <c r="AK5565" s="35">
        <v>18</v>
      </c>
      <c r="AL5565" s="35">
        <v>580</v>
      </c>
      <c r="AM5565" s="35"/>
      <c r="AN5565" s="35"/>
      <c r="AO5565" s="35"/>
      <c r="AP5565" s="35"/>
      <c r="AQ5565" s="35"/>
    </row>
    <row r="5566" spans="2:43" x14ac:dyDescent="0.3">
      <c r="B5566" s="27"/>
      <c r="D5566" s="2">
        <f t="shared" si="272"/>
        <v>2021</v>
      </c>
      <c r="E5566" s="28">
        <v>8</v>
      </c>
      <c r="G5566" s="37">
        <v>44419</v>
      </c>
      <c r="H5566" s="30"/>
      <c r="I5566" s="28"/>
      <c r="J5566" s="1" t="s">
        <v>186</v>
      </c>
      <c r="K5566" s="1" t="s">
        <v>213</v>
      </c>
      <c r="L5566" s="1" t="str">
        <f t="shared" si="271"/>
        <v>Norrviken 3</v>
      </c>
      <c r="M5566" s="29" t="s">
        <v>522</v>
      </c>
      <c r="P5566" s="39" t="s">
        <v>266</v>
      </c>
      <c r="Q5566" s="35">
        <v>11</v>
      </c>
      <c r="V5566" s="35">
        <v>2.8</v>
      </c>
      <c r="W5566" s="35">
        <v>410</v>
      </c>
      <c r="Z5566" s="35">
        <v>38</v>
      </c>
      <c r="AA5566" s="35">
        <v>5.9</v>
      </c>
      <c r="AB5566" s="39" t="s">
        <v>266</v>
      </c>
      <c r="AD5566" s="35">
        <v>43</v>
      </c>
      <c r="AE5566" s="35">
        <v>7.8</v>
      </c>
      <c r="AK5566" s="35">
        <v>49</v>
      </c>
      <c r="AL5566" s="35">
        <v>940</v>
      </c>
      <c r="AM5566" s="35"/>
      <c r="AN5566" s="36" t="s">
        <v>1298</v>
      </c>
      <c r="AO5566" s="36" t="s">
        <v>1298</v>
      </c>
      <c r="AP5566" s="36" t="s">
        <v>1298</v>
      </c>
      <c r="AQ5566" s="36"/>
    </row>
    <row r="5567" spans="2:43" x14ac:dyDescent="0.3">
      <c r="B5567" s="27"/>
      <c r="D5567" s="2">
        <f t="shared" si="272"/>
        <v>2021</v>
      </c>
      <c r="E5567" s="28">
        <v>8</v>
      </c>
      <c r="G5567" s="37">
        <v>44419</v>
      </c>
      <c r="H5567" s="30"/>
      <c r="I5567" s="28"/>
      <c r="J5567" s="1" t="s">
        <v>186</v>
      </c>
      <c r="K5567" s="1" t="s">
        <v>213</v>
      </c>
      <c r="L5567" s="1" t="str">
        <f t="shared" si="271"/>
        <v>Norrviken 3</v>
      </c>
      <c r="M5567" s="29" t="s">
        <v>523</v>
      </c>
      <c r="P5567" s="39" t="s">
        <v>266</v>
      </c>
      <c r="Q5567" s="35">
        <v>10</v>
      </c>
      <c r="V5567" s="35">
        <v>3</v>
      </c>
      <c r="W5567" s="35">
        <v>700</v>
      </c>
      <c r="Z5567" s="35">
        <v>92</v>
      </c>
      <c r="AA5567" s="35">
        <v>3.3</v>
      </c>
      <c r="AB5567" s="39" t="s">
        <v>266</v>
      </c>
      <c r="AD5567" s="35">
        <v>10</v>
      </c>
      <c r="AE5567" s="35">
        <v>7.9</v>
      </c>
      <c r="AK5567" s="35">
        <v>100</v>
      </c>
      <c r="AL5567" s="35">
        <v>1200</v>
      </c>
      <c r="AM5567" s="35"/>
      <c r="AN5567" s="36"/>
      <c r="AO5567" s="36"/>
      <c r="AP5567" s="36"/>
      <c r="AQ5567" s="36"/>
    </row>
    <row r="5568" spans="2:43" x14ac:dyDescent="0.3">
      <c r="B5568" s="27"/>
      <c r="D5568" s="2">
        <f t="shared" si="272"/>
        <v>2021</v>
      </c>
      <c r="E5568" s="28">
        <v>9</v>
      </c>
      <c r="G5568" s="37">
        <v>44454</v>
      </c>
      <c r="H5568" s="30"/>
      <c r="I5568" s="28"/>
      <c r="J5568" s="1" t="s">
        <v>186</v>
      </c>
      <c r="K5568" s="1" t="s">
        <v>213</v>
      </c>
      <c r="L5568" s="1" t="str">
        <f t="shared" si="271"/>
        <v>Norrviken 3</v>
      </c>
      <c r="M5568" s="29" t="s">
        <v>177</v>
      </c>
      <c r="P5568" s="35">
        <v>3.2</v>
      </c>
      <c r="Q5568" s="35">
        <v>16.399999999999999</v>
      </c>
      <c r="V5568" s="35">
        <v>2.6</v>
      </c>
      <c r="W5568" s="35">
        <v>18</v>
      </c>
      <c r="Z5568" s="35">
        <v>1.6</v>
      </c>
      <c r="AA5568" s="35">
        <v>1.5</v>
      </c>
      <c r="AB5568" s="35">
        <v>6.4</v>
      </c>
      <c r="AD5568" s="35">
        <v>2.5</v>
      </c>
      <c r="AE5568" s="35">
        <v>8.3000000000000007</v>
      </c>
      <c r="AK5568" s="35">
        <v>16</v>
      </c>
      <c r="AL5568" s="35">
        <v>540</v>
      </c>
      <c r="AM5568" s="35"/>
      <c r="AN5568" s="36"/>
      <c r="AO5568" s="36"/>
      <c r="AP5568" s="36"/>
      <c r="AQ5568" s="36"/>
    </row>
    <row r="5569" spans="2:51" x14ac:dyDescent="0.3">
      <c r="B5569" s="27"/>
      <c r="D5569" s="2">
        <f t="shared" si="272"/>
        <v>2021</v>
      </c>
      <c r="E5569" s="28">
        <v>9</v>
      </c>
      <c r="G5569" s="37">
        <v>44454</v>
      </c>
      <c r="H5569" s="30"/>
      <c r="I5569" s="28"/>
      <c r="J5569" s="1" t="s">
        <v>186</v>
      </c>
      <c r="K5569" s="1" t="s">
        <v>213</v>
      </c>
      <c r="L5569" s="1" t="str">
        <f t="shared" si="271"/>
        <v>Norrviken 3</v>
      </c>
      <c r="M5569" s="29" t="s">
        <v>522</v>
      </c>
      <c r="P5569" s="39" t="s">
        <v>266</v>
      </c>
      <c r="Q5569" s="35">
        <v>14.9</v>
      </c>
      <c r="V5569" s="35">
        <v>2.6</v>
      </c>
      <c r="W5569" s="35">
        <v>210</v>
      </c>
      <c r="Z5569" s="35">
        <v>18</v>
      </c>
      <c r="AA5569" s="35">
        <v>5.6</v>
      </c>
      <c r="AB5569" s="39" t="s">
        <v>266</v>
      </c>
      <c r="AD5569" s="35">
        <v>18</v>
      </c>
      <c r="AE5569" s="35">
        <v>7.9</v>
      </c>
      <c r="AK5569" s="35">
        <v>41</v>
      </c>
      <c r="AL5569" s="35">
        <v>770</v>
      </c>
      <c r="AM5569" s="35"/>
      <c r="AN5569" s="36" t="s">
        <v>1298</v>
      </c>
      <c r="AO5569" s="36" t="s">
        <v>1298</v>
      </c>
      <c r="AP5569" s="36" t="s">
        <v>1298</v>
      </c>
      <c r="AQ5569" s="36"/>
    </row>
    <row r="5570" spans="2:51" x14ac:dyDescent="0.3">
      <c r="B5570" s="27"/>
      <c r="D5570" s="2">
        <f t="shared" si="272"/>
        <v>2021</v>
      </c>
      <c r="E5570" s="28">
        <v>9</v>
      </c>
      <c r="G5570" s="37">
        <v>44454</v>
      </c>
      <c r="H5570" s="30"/>
      <c r="I5570" s="28"/>
      <c r="J5570" s="1" t="s">
        <v>186</v>
      </c>
      <c r="K5570" s="1" t="s">
        <v>213</v>
      </c>
      <c r="L5570" s="1" t="str">
        <f t="shared" si="271"/>
        <v>Norrviken 3</v>
      </c>
      <c r="M5570" s="29" t="s">
        <v>523</v>
      </c>
      <c r="P5570" s="39" t="s">
        <v>266</v>
      </c>
      <c r="Q5570" s="35">
        <v>11.8</v>
      </c>
      <c r="V5570" s="35">
        <v>3.3</v>
      </c>
      <c r="W5570" s="35">
        <v>1300</v>
      </c>
      <c r="Z5570" s="35">
        <v>170</v>
      </c>
      <c r="AA5570" s="35">
        <v>6.7</v>
      </c>
      <c r="AB5570" s="39" t="s">
        <v>266</v>
      </c>
      <c r="AD5570" s="35">
        <v>4.2</v>
      </c>
      <c r="AE5570" s="35">
        <v>7.9</v>
      </c>
      <c r="AK5570" s="35">
        <v>210</v>
      </c>
      <c r="AL5570" s="35">
        <v>1600</v>
      </c>
      <c r="AM5570" s="35"/>
      <c r="AN5570" s="35"/>
      <c r="AO5570" s="35"/>
      <c r="AP5570" s="35"/>
      <c r="AQ5570" s="35"/>
    </row>
    <row r="5571" spans="2:51" x14ac:dyDescent="0.3">
      <c r="B5571" s="27"/>
      <c r="D5571" s="2">
        <f t="shared" si="272"/>
        <v>2021</v>
      </c>
      <c r="E5571" s="28">
        <v>10</v>
      </c>
      <c r="G5571" s="37">
        <v>44483</v>
      </c>
      <c r="H5571" s="30"/>
      <c r="I5571" s="28"/>
      <c r="J5571" s="1" t="s">
        <v>186</v>
      </c>
      <c r="K5571" s="1" t="s">
        <v>213</v>
      </c>
      <c r="L5571" s="1" t="str">
        <f t="shared" si="271"/>
        <v>Norrviken 3</v>
      </c>
      <c r="M5571" s="29" t="s">
        <v>177</v>
      </c>
      <c r="P5571" s="35">
        <v>3.5</v>
      </c>
      <c r="Q5571" s="35">
        <v>11.6</v>
      </c>
      <c r="V5571" s="35">
        <v>2.4</v>
      </c>
      <c r="W5571" s="35">
        <v>160</v>
      </c>
      <c r="Z5571" s="35">
        <v>20</v>
      </c>
      <c r="AA5571" s="35">
        <v>1.3</v>
      </c>
      <c r="AB5571" s="35">
        <v>4.8</v>
      </c>
      <c r="AD5571" s="35">
        <v>84</v>
      </c>
      <c r="AE5571" s="35">
        <v>8.1</v>
      </c>
      <c r="AK5571" s="35">
        <v>40</v>
      </c>
      <c r="AL5571" s="35">
        <v>720</v>
      </c>
      <c r="AM5571" s="35"/>
      <c r="AN5571" s="35"/>
      <c r="AO5571" s="35"/>
      <c r="AP5571" s="35"/>
      <c r="AQ5571" s="35"/>
    </row>
    <row r="5572" spans="2:51" x14ac:dyDescent="0.3">
      <c r="B5572" s="27"/>
      <c r="D5572" s="2">
        <f t="shared" si="272"/>
        <v>2021</v>
      </c>
      <c r="E5572" s="28">
        <v>10</v>
      </c>
      <c r="G5572" s="37">
        <v>44483</v>
      </c>
      <c r="H5572" s="30"/>
      <c r="I5572" s="28"/>
      <c r="J5572" s="1" t="s">
        <v>186</v>
      </c>
      <c r="K5572" s="1" t="s">
        <v>213</v>
      </c>
      <c r="L5572" s="1" t="str">
        <f t="shared" si="271"/>
        <v>Norrviken 3</v>
      </c>
      <c r="M5572" s="29" t="s">
        <v>522</v>
      </c>
      <c r="P5572" s="39" t="s">
        <v>266</v>
      </c>
      <c r="Q5572" s="35">
        <v>11.5</v>
      </c>
      <c r="V5572" s="35">
        <v>2.5</v>
      </c>
      <c r="W5572" s="35">
        <v>160</v>
      </c>
      <c r="Z5572" s="35">
        <v>19</v>
      </c>
      <c r="AA5572" s="35">
        <v>1.2</v>
      </c>
      <c r="AB5572" s="39" t="s">
        <v>266</v>
      </c>
      <c r="AD5572" s="35">
        <v>74</v>
      </c>
      <c r="AE5572" s="35">
        <v>8.1</v>
      </c>
      <c r="AK5572" s="35">
        <v>40</v>
      </c>
      <c r="AL5572" s="35">
        <v>740</v>
      </c>
      <c r="AM5572" s="35"/>
      <c r="AN5572" s="36" t="s">
        <v>1298</v>
      </c>
      <c r="AO5572" s="36" t="s">
        <v>1298</v>
      </c>
      <c r="AP5572" s="36" t="s">
        <v>1298</v>
      </c>
      <c r="AQ5572" s="36"/>
    </row>
    <row r="5573" spans="2:51" x14ac:dyDescent="0.3">
      <c r="B5573" s="27"/>
      <c r="D5573" s="2">
        <f t="shared" si="272"/>
        <v>2021</v>
      </c>
      <c r="E5573" s="28">
        <v>10</v>
      </c>
      <c r="G5573" s="37">
        <v>44483</v>
      </c>
      <c r="H5573" s="30"/>
      <c r="I5573" s="28"/>
      <c r="J5573" s="1" t="s">
        <v>186</v>
      </c>
      <c r="K5573" s="1" t="s">
        <v>213</v>
      </c>
      <c r="L5573" s="1" t="str">
        <f t="shared" si="271"/>
        <v>Norrviken 3</v>
      </c>
      <c r="M5573" s="29" t="s">
        <v>523</v>
      </c>
      <c r="P5573" s="39" t="s">
        <v>266</v>
      </c>
      <c r="Q5573" s="35">
        <v>11.5</v>
      </c>
      <c r="V5573" s="35">
        <v>2.4</v>
      </c>
      <c r="W5573" s="35">
        <v>160</v>
      </c>
      <c r="Z5573" s="35">
        <v>19</v>
      </c>
      <c r="AA5573" s="35">
        <v>1.9</v>
      </c>
      <c r="AB5573" s="39" t="s">
        <v>266</v>
      </c>
      <c r="AD5573" s="35">
        <v>74</v>
      </c>
      <c r="AE5573" s="35">
        <v>8</v>
      </c>
      <c r="AK5573" s="35">
        <v>36</v>
      </c>
      <c r="AL5573" s="35">
        <v>720</v>
      </c>
      <c r="AM5573" s="35"/>
      <c r="AN5573" s="35"/>
      <c r="AO5573" s="35"/>
      <c r="AP5573" s="35"/>
      <c r="AQ5573" s="35"/>
    </row>
    <row r="5574" spans="2:51" x14ac:dyDescent="0.3">
      <c r="B5574" s="39" t="s">
        <v>538</v>
      </c>
      <c r="D5574" s="1">
        <v>2018</v>
      </c>
      <c r="E5574" s="28">
        <v>1</v>
      </c>
      <c r="G5574" s="39" t="s">
        <v>526</v>
      </c>
      <c r="H5574" s="39" t="s">
        <v>540</v>
      </c>
      <c r="I5574" s="39" t="s">
        <v>541</v>
      </c>
      <c r="J5574" s="1" t="s">
        <v>539</v>
      </c>
      <c r="M5574" s="40" t="s">
        <v>542</v>
      </c>
      <c r="Q5574" s="34" t="s">
        <v>682</v>
      </c>
      <c r="V5574" s="34" t="s">
        <v>546</v>
      </c>
      <c r="W5574" s="34" t="s">
        <v>588</v>
      </c>
      <c r="Y5574" s="34" t="s">
        <v>1017</v>
      </c>
      <c r="Z5574" s="34" t="s">
        <v>623</v>
      </c>
      <c r="AA5574" s="34" t="s">
        <v>559</v>
      </c>
      <c r="AC5574" s="34" t="s">
        <v>570</v>
      </c>
      <c r="AD5574" s="34" t="s">
        <v>600</v>
      </c>
      <c r="AE5574" s="34" t="s">
        <v>612</v>
      </c>
      <c r="AI5574" s="34" t="s">
        <v>640</v>
      </c>
      <c r="AK5574" s="34" t="s">
        <v>662</v>
      </c>
      <c r="AL5574" s="34" t="s">
        <v>650</v>
      </c>
      <c r="AM5574" s="34"/>
      <c r="AN5574" s="34"/>
      <c r="AO5574" s="34"/>
      <c r="AP5574" s="34"/>
      <c r="AQ5574" s="34">
        <f>SUM(0.022*19)</f>
        <v>0.41799999999999998</v>
      </c>
      <c r="AR5574" s="34">
        <f>SUM(2.6*20)</f>
        <v>52</v>
      </c>
      <c r="AT5574" s="34">
        <f>SUM(0.13*39)</f>
        <v>5.07</v>
      </c>
      <c r="AU5574" s="34">
        <f>SUM(0.58*12.1525)</f>
        <v>7.048449999999999</v>
      </c>
      <c r="AV5574" s="34">
        <f>SUM(1.3*35.5)</f>
        <v>46.15</v>
      </c>
      <c r="AW5574" s="34">
        <f>SUM(1.3*23)</f>
        <v>29.900000000000002</v>
      </c>
      <c r="AX5574" s="34" t="s">
        <v>630</v>
      </c>
      <c r="AY5574" s="34" t="s">
        <v>562</v>
      </c>
    </row>
    <row r="5575" spans="2:51" x14ac:dyDescent="0.3">
      <c r="B5575" s="39" t="s">
        <v>538</v>
      </c>
      <c r="D5575" s="1">
        <v>2018</v>
      </c>
      <c r="E5575" s="28">
        <v>2</v>
      </c>
      <c r="G5575" s="39" t="s">
        <v>527</v>
      </c>
      <c r="H5575" s="39" t="s">
        <v>540</v>
      </c>
      <c r="I5575" s="39" t="s">
        <v>541</v>
      </c>
      <c r="J5575" s="1" t="s">
        <v>539</v>
      </c>
      <c r="M5575" s="40" t="s">
        <v>543</v>
      </c>
      <c r="Q5575" s="34" t="s">
        <v>566</v>
      </c>
      <c r="V5575" s="34" t="s">
        <v>547</v>
      </c>
      <c r="W5575" s="34" t="s">
        <v>589</v>
      </c>
      <c r="Y5575" s="34" t="s">
        <v>1283</v>
      </c>
      <c r="Z5575" s="34" t="s">
        <v>623</v>
      </c>
      <c r="AA5575" s="34" t="s">
        <v>626</v>
      </c>
      <c r="AC5575" s="34" t="s">
        <v>571</v>
      </c>
      <c r="AD5575" s="34" t="s">
        <v>601</v>
      </c>
      <c r="AE5575" s="34" t="s">
        <v>613</v>
      </c>
      <c r="AI5575" s="34" t="s">
        <v>640</v>
      </c>
      <c r="AK5575" s="34" t="s">
        <v>663</v>
      </c>
      <c r="AL5575" s="34" t="s">
        <v>651</v>
      </c>
      <c r="AM5575" s="34"/>
      <c r="AN5575" s="34"/>
      <c r="AO5575" s="34"/>
      <c r="AP5575" s="34"/>
      <c r="AQ5575" s="34">
        <f>SUM(0.021*19)</f>
        <v>0.39900000000000002</v>
      </c>
      <c r="AR5575" s="34">
        <f>SUM(2.5*20)</f>
        <v>50</v>
      </c>
      <c r="AT5575" s="34">
        <f>SUM(0.14*39)</f>
        <v>5.4600000000000009</v>
      </c>
      <c r="AU5575" s="34">
        <f>SUM(0.58*12.1525)</f>
        <v>7.048449999999999</v>
      </c>
      <c r="AV5575" s="34">
        <v>46.15</v>
      </c>
      <c r="AW5575" s="34">
        <v>29.9</v>
      </c>
      <c r="AX5575" s="34" t="s">
        <v>630</v>
      </c>
      <c r="AY5575" s="34" t="s">
        <v>562</v>
      </c>
    </row>
    <row r="5576" spans="2:51" x14ac:dyDescent="0.3">
      <c r="B5576" s="39" t="s">
        <v>538</v>
      </c>
      <c r="D5576" s="1">
        <v>2018</v>
      </c>
      <c r="E5576" s="28">
        <v>3</v>
      </c>
      <c r="G5576" s="39" t="s">
        <v>528</v>
      </c>
      <c r="H5576" s="39" t="s">
        <v>540</v>
      </c>
      <c r="I5576" s="39" t="s">
        <v>541</v>
      </c>
      <c r="J5576" s="1" t="s">
        <v>539</v>
      </c>
      <c r="M5576" s="40" t="s">
        <v>543</v>
      </c>
      <c r="Q5576" s="34" t="s">
        <v>683</v>
      </c>
      <c r="V5576" s="34" t="s">
        <v>548</v>
      </c>
      <c r="W5576" s="34" t="s">
        <v>590</v>
      </c>
      <c r="Y5576" s="34" t="s">
        <v>1236</v>
      </c>
      <c r="Z5576" s="34" t="s">
        <v>623</v>
      </c>
      <c r="AA5576" s="34" t="s">
        <v>674</v>
      </c>
      <c r="AC5576" s="34" t="s">
        <v>572</v>
      </c>
      <c r="AD5576" s="34" t="s">
        <v>602</v>
      </c>
      <c r="AE5576" s="34" t="s">
        <v>614</v>
      </c>
      <c r="AI5576" s="34" t="s">
        <v>640</v>
      </c>
      <c r="AK5576" s="34" t="s">
        <v>664</v>
      </c>
      <c r="AL5576" s="34" t="s">
        <v>652</v>
      </c>
      <c r="AM5576" s="34"/>
      <c r="AN5576" s="34"/>
      <c r="AO5576" s="34"/>
      <c r="AP5576" s="34"/>
      <c r="AQ5576" s="34">
        <f>SUM(0.02*19)</f>
        <v>0.38</v>
      </c>
      <c r="AR5576" s="34">
        <v>50</v>
      </c>
      <c r="AT5576" s="34">
        <v>5.07</v>
      </c>
      <c r="AU5576" s="34">
        <f>SUM(0.57*12.1525)</f>
        <v>6.9269249999999989</v>
      </c>
      <c r="AV5576" s="34">
        <f>SUM(1.4*35.5)</f>
        <v>49.699999999999996</v>
      </c>
      <c r="AW5576" s="34">
        <v>29.9</v>
      </c>
      <c r="AX5576" s="34" t="s">
        <v>630</v>
      </c>
      <c r="AY5576" s="34" t="s">
        <v>562</v>
      </c>
    </row>
    <row r="5577" spans="2:51" x14ac:dyDescent="0.3">
      <c r="B5577" s="39" t="s">
        <v>538</v>
      </c>
      <c r="D5577" s="1">
        <v>2018</v>
      </c>
      <c r="E5577" s="28">
        <v>4</v>
      </c>
      <c r="G5577" s="39" t="s">
        <v>529</v>
      </c>
      <c r="H5577" s="39" t="s">
        <v>540</v>
      </c>
      <c r="I5577" s="39" t="s">
        <v>541</v>
      </c>
      <c r="J5577" s="1" t="s">
        <v>539</v>
      </c>
      <c r="M5577" s="40" t="s">
        <v>544</v>
      </c>
      <c r="Q5577" s="34" t="s">
        <v>684</v>
      </c>
      <c r="V5577" s="34" t="s">
        <v>549</v>
      </c>
      <c r="W5577" s="34" t="s">
        <v>591</v>
      </c>
      <c r="Y5577" s="34" t="s">
        <v>1293</v>
      </c>
      <c r="Z5577" s="34" t="s">
        <v>623</v>
      </c>
      <c r="AA5577" s="34" t="s">
        <v>675</v>
      </c>
      <c r="AC5577" s="34" t="s">
        <v>573</v>
      </c>
      <c r="AD5577" s="34" t="s">
        <v>603</v>
      </c>
      <c r="AE5577" s="34" t="s">
        <v>615</v>
      </c>
      <c r="AI5577" s="34" t="s">
        <v>641</v>
      </c>
      <c r="AK5577" s="34" t="s">
        <v>665</v>
      </c>
      <c r="AL5577" s="34" t="s">
        <v>653</v>
      </c>
      <c r="AM5577" s="34"/>
      <c r="AN5577" s="34"/>
      <c r="AO5577" s="34"/>
      <c r="AP5577" s="34"/>
      <c r="AQ5577" s="34">
        <f>SUM(0.015*19)</f>
        <v>0.28499999999999998</v>
      </c>
      <c r="AR5577" s="34">
        <f>SUM(2.3*20)</f>
        <v>46</v>
      </c>
      <c r="AT5577" s="34">
        <f>SUM(0.12*39)</f>
        <v>4.68</v>
      </c>
      <c r="AU5577" s="34">
        <f>SUM(0.52*12.1525)</f>
        <v>6.3193000000000001</v>
      </c>
      <c r="AV5577" s="34">
        <f>SUM(1.1*35.5)</f>
        <v>39.050000000000004</v>
      </c>
      <c r="AW5577" s="34">
        <f>SUM(1.1*23)</f>
        <v>25.3</v>
      </c>
      <c r="AX5577" s="34" t="s">
        <v>631</v>
      </c>
      <c r="AY5577" s="34" t="s">
        <v>625</v>
      </c>
    </row>
    <row r="5578" spans="2:51" x14ac:dyDescent="0.3">
      <c r="B5578" s="39" t="s">
        <v>538</v>
      </c>
      <c r="D5578" s="1">
        <v>2018</v>
      </c>
      <c r="E5578" s="28">
        <v>5</v>
      </c>
      <c r="G5578" s="39" t="s">
        <v>530</v>
      </c>
      <c r="H5578" s="39" t="s">
        <v>540</v>
      </c>
      <c r="I5578" s="39" t="s">
        <v>541</v>
      </c>
      <c r="J5578" s="1" t="s">
        <v>539</v>
      </c>
      <c r="M5578" s="40" t="s">
        <v>545</v>
      </c>
      <c r="Q5578" s="34" t="s">
        <v>685</v>
      </c>
      <c r="V5578" s="34" t="s">
        <v>550</v>
      </c>
      <c r="W5578" s="34" t="s">
        <v>592</v>
      </c>
      <c r="Y5578" s="34" t="s">
        <v>1294</v>
      </c>
      <c r="Z5578" s="34" t="s">
        <v>623</v>
      </c>
      <c r="AA5578" s="34" t="s">
        <v>676</v>
      </c>
      <c r="AC5578" s="34" t="s">
        <v>570</v>
      </c>
      <c r="AD5578" s="34" t="s">
        <v>604</v>
      </c>
      <c r="AE5578" s="34" t="s">
        <v>616</v>
      </c>
      <c r="AI5578" s="34" t="s">
        <v>642</v>
      </c>
      <c r="AK5578" s="34" t="s">
        <v>666</v>
      </c>
      <c r="AL5578" s="34" t="s">
        <v>654</v>
      </c>
      <c r="AM5578" s="34"/>
      <c r="AN5578" s="34"/>
      <c r="AO5578" s="34"/>
      <c r="AP5578" s="34"/>
      <c r="AQ5578" s="34">
        <f>SUM(0.016*19)</f>
        <v>0.30399999999999999</v>
      </c>
      <c r="AR5578" s="34">
        <f>SUM(2.6*20)</f>
        <v>52</v>
      </c>
      <c r="AT5578" s="34">
        <f>SUM(0.15*39)</f>
        <v>5.85</v>
      </c>
      <c r="AU5578" s="34">
        <f>SUM(0.58*12.1525)</f>
        <v>7.048449999999999</v>
      </c>
      <c r="AV5578" s="34">
        <f>SUM(1.3*35.5)</f>
        <v>46.15</v>
      </c>
      <c r="AW5578" s="34">
        <v>29.9</v>
      </c>
      <c r="AX5578" s="34" t="s">
        <v>632</v>
      </c>
      <c r="AY5578" s="34" t="s">
        <v>625</v>
      </c>
    </row>
    <row r="5579" spans="2:51" x14ac:dyDescent="0.3">
      <c r="B5579" s="39" t="s">
        <v>538</v>
      </c>
      <c r="D5579" s="1">
        <v>2018</v>
      </c>
      <c r="E5579" s="28">
        <v>6</v>
      </c>
      <c r="G5579" s="39" t="s">
        <v>531</v>
      </c>
      <c r="H5579" s="39" t="s">
        <v>540</v>
      </c>
      <c r="I5579" s="39" t="s">
        <v>541</v>
      </c>
      <c r="J5579" s="1" t="s">
        <v>539</v>
      </c>
      <c r="M5579" s="40" t="s">
        <v>542</v>
      </c>
      <c r="Q5579" s="34" t="s">
        <v>686</v>
      </c>
      <c r="V5579" s="34" t="s">
        <v>551</v>
      </c>
      <c r="W5579" s="34" t="s">
        <v>593</v>
      </c>
      <c r="Y5579" s="34" t="s">
        <v>1295</v>
      </c>
      <c r="Z5579" s="34" t="s">
        <v>623</v>
      </c>
      <c r="AA5579" s="34" t="s">
        <v>677</v>
      </c>
      <c r="AC5579" s="34" t="s">
        <v>574</v>
      </c>
      <c r="AD5579" s="34" t="s">
        <v>605</v>
      </c>
      <c r="AE5579" s="34" t="s">
        <v>617</v>
      </c>
      <c r="AI5579" s="34" t="s">
        <v>643</v>
      </c>
      <c r="AK5579" s="34" t="s">
        <v>667</v>
      </c>
      <c r="AL5579" s="34" t="s">
        <v>655</v>
      </c>
      <c r="AM5579" s="34"/>
      <c r="AN5579" s="34"/>
      <c r="AO5579" s="34"/>
      <c r="AP5579" s="34"/>
      <c r="AQ5579" s="34">
        <f>SUM(0.018*19)</f>
        <v>0.34199999999999997</v>
      </c>
      <c r="AR5579" s="34">
        <v>50</v>
      </c>
      <c r="AT5579" s="34">
        <f>SUM(0.13*39)</f>
        <v>5.07</v>
      </c>
      <c r="AU5579" s="34">
        <f>SUM(0.54*12.1525)</f>
        <v>6.5623500000000003</v>
      </c>
      <c r="AV5579" s="34">
        <v>46.15</v>
      </c>
      <c r="AW5579" s="34">
        <v>29.9</v>
      </c>
      <c r="AX5579" s="34" t="s">
        <v>633</v>
      </c>
      <c r="AY5579" s="34" t="s">
        <v>626</v>
      </c>
    </row>
    <row r="5580" spans="2:51" x14ac:dyDescent="0.3">
      <c r="B5580" s="39" t="s">
        <v>538</v>
      </c>
      <c r="D5580" s="1">
        <v>2018</v>
      </c>
      <c r="E5580" s="28">
        <v>7</v>
      </c>
      <c r="G5580" s="39" t="s">
        <v>532</v>
      </c>
      <c r="H5580" s="39" t="s">
        <v>540</v>
      </c>
      <c r="I5580" s="39" t="s">
        <v>541</v>
      </c>
      <c r="J5580" s="1" t="s">
        <v>539</v>
      </c>
      <c r="M5580" s="40" t="s">
        <v>542</v>
      </c>
      <c r="Q5580" s="34" t="s">
        <v>687</v>
      </c>
      <c r="V5580" s="34" t="s">
        <v>547</v>
      </c>
      <c r="W5580" s="34" t="s">
        <v>594</v>
      </c>
      <c r="Y5580" s="34" t="s">
        <v>1293</v>
      </c>
      <c r="Z5580" s="34" t="s">
        <v>214</v>
      </c>
      <c r="AA5580" s="34" t="s">
        <v>678</v>
      </c>
      <c r="AC5580" s="34" t="s">
        <v>571</v>
      </c>
      <c r="AD5580" s="34" t="s">
        <v>606</v>
      </c>
      <c r="AE5580" s="34" t="s">
        <v>618</v>
      </c>
      <c r="AI5580" s="34" t="s">
        <v>644</v>
      </c>
      <c r="AK5580" s="34" t="s">
        <v>668</v>
      </c>
      <c r="AL5580" s="34" t="s">
        <v>656</v>
      </c>
      <c r="AM5580" s="34"/>
      <c r="AN5580" s="34"/>
      <c r="AO5580" s="34"/>
      <c r="AP5580" s="34"/>
      <c r="AQ5580" s="34">
        <f>SUM(0.019*19)</f>
        <v>0.36099999999999999</v>
      </c>
      <c r="AR5580" s="34">
        <v>50</v>
      </c>
      <c r="AT5580" s="34">
        <f>SUM(0.15*39)</f>
        <v>5.85</v>
      </c>
      <c r="AU5580" s="34">
        <f>SUM(0.61*12.1525)</f>
        <v>7.4130249999999993</v>
      </c>
      <c r="AV5580" s="34">
        <v>49.7</v>
      </c>
      <c r="AW5580" s="34">
        <f>SUM(1.4*23)</f>
        <v>32.199999999999996</v>
      </c>
      <c r="AX5580" s="34" t="s">
        <v>634</v>
      </c>
      <c r="AY5580" s="34" t="s">
        <v>627</v>
      </c>
    </row>
    <row r="5581" spans="2:51" x14ac:dyDescent="0.3">
      <c r="B5581" s="39" t="s">
        <v>538</v>
      </c>
      <c r="D5581" s="1">
        <v>2018</v>
      </c>
      <c r="E5581" s="28">
        <v>8</v>
      </c>
      <c r="G5581" s="39" t="s">
        <v>533</v>
      </c>
      <c r="H5581" s="39" t="s">
        <v>540</v>
      </c>
      <c r="I5581" s="39" t="s">
        <v>541</v>
      </c>
      <c r="J5581" s="1" t="s">
        <v>539</v>
      </c>
      <c r="M5581" s="40" t="s">
        <v>542</v>
      </c>
      <c r="Q5581" s="34" t="s">
        <v>688</v>
      </c>
      <c r="V5581" s="34" t="s">
        <v>552</v>
      </c>
      <c r="W5581" s="34" t="s">
        <v>595</v>
      </c>
      <c r="Y5581" s="34" t="s">
        <v>1285</v>
      </c>
      <c r="Z5581" s="34" t="s">
        <v>624</v>
      </c>
      <c r="AA5581" s="34" t="s">
        <v>632</v>
      </c>
      <c r="AC5581" s="34" t="s">
        <v>575</v>
      </c>
      <c r="AD5581" s="34" t="s">
        <v>607</v>
      </c>
      <c r="AE5581" s="34" t="s">
        <v>619</v>
      </c>
      <c r="AI5581" s="34" t="s">
        <v>645</v>
      </c>
      <c r="AK5581" s="34" t="s">
        <v>669</v>
      </c>
      <c r="AL5581" s="34" t="s">
        <v>657</v>
      </c>
      <c r="AM5581" s="34"/>
      <c r="AN5581" s="34"/>
      <c r="AO5581" s="34"/>
      <c r="AP5581" s="34"/>
      <c r="AQ5581" s="34">
        <f>SUM(0.017*19)</f>
        <v>0.32300000000000001</v>
      </c>
      <c r="AR5581" s="34">
        <v>50</v>
      </c>
      <c r="AT5581" s="34">
        <f>SUM(0.18*39)</f>
        <v>7.02</v>
      </c>
      <c r="AU5581" s="34">
        <f>SUM(0.67*12.1525)</f>
        <v>8.1421749999999999</v>
      </c>
      <c r="AV5581" s="34">
        <f>SUM(1.6*35.5)</f>
        <v>56.800000000000004</v>
      </c>
      <c r="AW5581" s="34">
        <f>SUM(1.5*23)</f>
        <v>34.5</v>
      </c>
      <c r="AX5581" s="34" t="s">
        <v>635</v>
      </c>
      <c r="AY5581" s="34" t="s">
        <v>627</v>
      </c>
    </row>
    <row r="5582" spans="2:51" x14ac:dyDescent="0.3">
      <c r="B5582" s="39" t="s">
        <v>538</v>
      </c>
      <c r="D5582" s="1">
        <v>2018</v>
      </c>
      <c r="E5582" s="28">
        <v>9</v>
      </c>
      <c r="G5582" s="39" t="s">
        <v>534</v>
      </c>
      <c r="H5582" s="39" t="s">
        <v>540</v>
      </c>
      <c r="I5582" s="39" t="s">
        <v>541</v>
      </c>
      <c r="J5582" s="1" t="s">
        <v>539</v>
      </c>
      <c r="M5582" s="40" t="s">
        <v>542</v>
      </c>
      <c r="Q5582" s="34" t="s">
        <v>689</v>
      </c>
      <c r="V5582" s="34" t="s">
        <v>553</v>
      </c>
      <c r="W5582" s="34" t="s">
        <v>596</v>
      </c>
      <c r="Y5582" s="34" t="s">
        <v>1296</v>
      </c>
      <c r="Z5582" s="34" t="s">
        <v>608</v>
      </c>
      <c r="AA5582" s="34" t="s">
        <v>679</v>
      </c>
      <c r="AC5582" s="34" t="s">
        <v>576</v>
      </c>
      <c r="AD5582" s="34" t="s">
        <v>608</v>
      </c>
      <c r="AE5582" s="34" t="s">
        <v>619</v>
      </c>
      <c r="AI5582" s="34" t="s">
        <v>646</v>
      </c>
      <c r="AK5582" s="34" t="s">
        <v>670</v>
      </c>
      <c r="AL5582" s="34" t="s">
        <v>658</v>
      </c>
      <c r="AM5582" s="34"/>
      <c r="AN5582" s="34"/>
      <c r="AO5582" s="34"/>
      <c r="AP5582" s="34"/>
      <c r="AQ5582" s="34">
        <f>SUM(0.026*19)</f>
        <v>0.49399999999999999</v>
      </c>
      <c r="AR5582" s="34">
        <f>SUM(3.5*20)</f>
        <v>70</v>
      </c>
      <c r="AT5582" s="34">
        <f>SUM(0.33*39)</f>
        <v>12.870000000000001</v>
      </c>
      <c r="AU5582" s="34">
        <f>SUM(0.88*12.1525)</f>
        <v>10.6942</v>
      </c>
      <c r="AV5582" s="34">
        <f>SUM(3.1*35.5)</f>
        <v>110.05</v>
      </c>
      <c r="AW5582" s="34">
        <f>SUM(2.9*23)</f>
        <v>66.7</v>
      </c>
      <c r="AX5582" s="34" t="s">
        <v>636</v>
      </c>
      <c r="AY5582" s="34" t="s">
        <v>229</v>
      </c>
    </row>
    <row r="5583" spans="2:51" x14ac:dyDescent="0.3">
      <c r="B5583" s="39" t="s">
        <v>538</v>
      </c>
      <c r="D5583" s="1">
        <v>2018</v>
      </c>
      <c r="E5583" s="28">
        <v>10</v>
      </c>
      <c r="G5583" s="39" t="s">
        <v>535</v>
      </c>
      <c r="H5583" s="39" t="s">
        <v>540</v>
      </c>
      <c r="I5583" s="39" t="s">
        <v>541</v>
      </c>
      <c r="J5583" s="1" t="s">
        <v>539</v>
      </c>
      <c r="M5583" s="40" t="s">
        <v>545</v>
      </c>
      <c r="Q5583" s="34" t="s">
        <v>690</v>
      </c>
      <c r="V5583" s="34" t="s">
        <v>554</v>
      </c>
      <c r="W5583" s="34" t="s">
        <v>597</v>
      </c>
      <c r="Y5583" s="34" t="s">
        <v>1293</v>
      </c>
      <c r="Z5583" s="34" t="s">
        <v>223</v>
      </c>
      <c r="AA5583" s="34" t="s">
        <v>676</v>
      </c>
      <c r="AC5583" s="34" t="s">
        <v>577</v>
      </c>
      <c r="AD5583" s="34" t="s">
        <v>609</v>
      </c>
      <c r="AE5583" s="34" t="s">
        <v>620</v>
      </c>
      <c r="AI5583" s="34" t="s">
        <v>647</v>
      </c>
      <c r="AK5583" s="34" t="s">
        <v>671</v>
      </c>
      <c r="AL5583" s="34" t="s">
        <v>659</v>
      </c>
      <c r="AM5583" s="34"/>
      <c r="AN5583" s="34"/>
      <c r="AO5583" s="34"/>
      <c r="AP5583" s="34"/>
      <c r="AQ5583" s="34">
        <f>SUM(0.021*19)</f>
        <v>0.39900000000000002</v>
      </c>
      <c r="AR5583" s="34">
        <f>SUM(2.9*20)</f>
        <v>58</v>
      </c>
      <c r="AT5583" s="34">
        <f>SUM(0.2*39)</f>
        <v>7.8000000000000007</v>
      </c>
      <c r="AU5583" s="34">
        <f>SUM(0.76*12.1525)</f>
        <v>9.2359000000000009</v>
      </c>
      <c r="AV5583" s="34">
        <f>SUM(1.7*35.5)</f>
        <v>60.35</v>
      </c>
      <c r="AW5583" s="34">
        <f>SUM(1.8*23)</f>
        <v>41.4</v>
      </c>
      <c r="AX5583" s="34" t="s">
        <v>637</v>
      </c>
      <c r="AY5583" s="34" t="s">
        <v>585</v>
      </c>
    </row>
    <row r="5584" spans="2:51" x14ac:dyDescent="0.3">
      <c r="B5584" s="39" t="s">
        <v>538</v>
      </c>
      <c r="D5584" s="1">
        <v>2018</v>
      </c>
      <c r="E5584" s="28">
        <v>11</v>
      </c>
      <c r="G5584" s="39" t="s">
        <v>536</v>
      </c>
      <c r="H5584" s="39" t="s">
        <v>540</v>
      </c>
      <c r="I5584" s="39" t="s">
        <v>541</v>
      </c>
      <c r="J5584" s="1" t="s">
        <v>539</v>
      </c>
      <c r="M5584" s="40" t="s">
        <v>545</v>
      </c>
      <c r="Q5584" s="34" t="s">
        <v>691</v>
      </c>
      <c r="V5584" s="34" t="s">
        <v>555</v>
      </c>
      <c r="W5584" s="34" t="s">
        <v>598</v>
      </c>
      <c r="Y5584" s="34" t="s">
        <v>1286</v>
      </c>
      <c r="Z5584" s="34" t="s">
        <v>214</v>
      </c>
      <c r="AA5584" s="34" t="s">
        <v>680</v>
      </c>
      <c r="AC5584" s="34" t="s">
        <v>578</v>
      </c>
      <c r="AD5584" s="34" t="s">
        <v>610</v>
      </c>
      <c r="AE5584" s="34" t="s">
        <v>621</v>
      </c>
      <c r="AI5584" s="34" t="s">
        <v>648</v>
      </c>
      <c r="AK5584" s="34" t="s">
        <v>672</v>
      </c>
      <c r="AL5584" s="34" t="s">
        <v>660</v>
      </c>
      <c r="AM5584" s="34"/>
      <c r="AN5584" s="34"/>
      <c r="AO5584" s="34"/>
      <c r="AP5584" s="34"/>
      <c r="AQ5584" s="34">
        <f>SUM(0.017*19)</f>
        <v>0.32300000000000001</v>
      </c>
      <c r="AR5584" s="34">
        <f>SUM(3.2*20)</f>
        <v>64</v>
      </c>
      <c r="AT5584" s="34">
        <f>SUM(0.19*39)</f>
        <v>7.41</v>
      </c>
      <c r="AU5584" s="34">
        <f>SUM(0.88*12.1525)</f>
        <v>10.6942</v>
      </c>
      <c r="AV5584" s="34">
        <v>56.8</v>
      </c>
      <c r="AW5584" s="34">
        <v>41.4</v>
      </c>
      <c r="AX5584" s="34" t="s">
        <v>638</v>
      </c>
      <c r="AY5584" s="34" t="s">
        <v>628</v>
      </c>
    </row>
    <row r="5585" spans="2:60" x14ac:dyDescent="0.3">
      <c r="B5585" s="39" t="s">
        <v>538</v>
      </c>
      <c r="D5585" s="1">
        <v>2018</v>
      </c>
      <c r="E5585" s="28">
        <v>12</v>
      </c>
      <c r="G5585" s="39" t="s">
        <v>537</v>
      </c>
      <c r="H5585" s="39" t="s">
        <v>540</v>
      </c>
      <c r="I5585" s="39" t="s">
        <v>541</v>
      </c>
      <c r="J5585" s="1" t="s">
        <v>539</v>
      </c>
      <c r="M5585" s="40" t="s">
        <v>544</v>
      </c>
      <c r="Q5585" s="34" t="s">
        <v>585</v>
      </c>
      <c r="V5585" s="34" t="s">
        <v>556</v>
      </c>
      <c r="W5585" s="34" t="s">
        <v>599</v>
      </c>
      <c r="Y5585" s="34" t="s">
        <v>1016</v>
      </c>
      <c r="Z5585" s="34" t="s">
        <v>214</v>
      </c>
      <c r="AA5585" s="34" t="s">
        <v>681</v>
      </c>
      <c r="AC5585" s="34" t="s">
        <v>579</v>
      </c>
      <c r="AD5585" s="34" t="s">
        <v>611</v>
      </c>
      <c r="AE5585" s="34" t="s">
        <v>622</v>
      </c>
      <c r="AI5585" s="34" t="s">
        <v>649</v>
      </c>
      <c r="AK5585" s="34" t="s">
        <v>673</v>
      </c>
      <c r="AL5585" s="34" t="s">
        <v>661</v>
      </c>
      <c r="AM5585" s="34"/>
      <c r="AN5585" s="34"/>
      <c r="AO5585" s="34"/>
      <c r="AP5585" s="34"/>
      <c r="AQ5585" s="34">
        <f>SUM(0.019*19)</f>
        <v>0.36099999999999999</v>
      </c>
      <c r="AR5585" s="34">
        <f>SUM(3.7*20)</f>
        <v>74</v>
      </c>
      <c r="AT5585" s="34">
        <f>SUM(0.17*39)</f>
        <v>6.6300000000000008</v>
      </c>
      <c r="AU5585" s="34">
        <f>SUM(1*12.1525)</f>
        <v>12.1525</v>
      </c>
      <c r="AV5585" s="34">
        <v>60.35</v>
      </c>
      <c r="AW5585" s="34">
        <f>SUM(1.9*23)</f>
        <v>43.699999999999996</v>
      </c>
      <c r="AX5585" s="34" t="s">
        <v>639</v>
      </c>
      <c r="AY5585" s="34" t="s">
        <v>629</v>
      </c>
    </row>
    <row r="5586" spans="2:60" x14ac:dyDescent="0.3">
      <c r="B5586" s="39" t="s">
        <v>538</v>
      </c>
      <c r="D5586" s="1">
        <v>2019</v>
      </c>
      <c r="E5586" s="28">
        <v>1</v>
      </c>
      <c r="G5586" s="39" t="s">
        <v>692</v>
      </c>
      <c r="H5586" s="39" t="s">
        <v>540</v>
      </c>
      <c r="I5586" s="39" t="s">
        <v>541</v>
      </c>
      <c r="J5586" s="1" t="s">
        <v>539</v>
      </c>
      <c r="M5586" s="40" t="s">
        <v>542</v>
      </c>
      <c r="Q5586" s="34" t="s">
        <v>827</v>
      </c>
      <c r="V5586" s="34" t="s">
        <v>712</v>
      </c>
      <c r="W5586" s="34" t="s">
        <v>702</v>
      </c>
      <c r="Y5586" s="34" t="s">
        <v>1096</v>
      </c>
      <c r="Z5586" s="34" t="s">
        <v>211</v>
      </c>
      <c r="AA5586" s="34" t="s">
        <v>780</v>
      </c>
      <c r="AC5586" s="34" t="s">
        <v>725</v>
      </c>
      <c r="AD5586" s="34" t="s">
        <v>755</v>
      </c>
      <c r="AE5586" s="34" t="s">
        <v>765</v>
      </c>
      <c r="AI5586" s="34" t="s">
        <v>789</v>
      </c>
      <c r="AK5586" s="34" t="s">
        <v>809</v>
      </c>
      <c r="AL5586" s="34" t="s">
        <v>798</v>
      </c>
      <c r="AM5586" s="34"/>
      <c r="AN5586" s="34"/>
      <c r="AO5586" s="34"/>
      <c r="AP5586" s="34"/>
      <c r="AQ5586" s="34">
        <f>SUM(0.02*19)</f>
        <v>0.38</v>
      </c>
      <c r="AR5586" s="34">
        <f>SUM(3.3*20)</f>
        <v>66</v>
      </c>
      <c r="AS5586" s="34">
        <v>0.12</v>
      </c>
      <c r="AT5586" s="34">
        <v>6.63</v>
      </c>
      <c r="AU5586" s="34">
        <f>SUM(0.8*12.1525)</f>
        <v>9.7220000000000013</v>
      </c>
      <c r="AV5586" s="34">
        <v>60.35</v>
      </c>
      <c r="AW5586" s="34">
        <f>SUM(1.7*23)</f>
        <v>39.1</v>
      </c>
      <c r="AX5586" s="34" t="s">
        <v>781</v>
      </c>
      <c r="AY5586" s="34" t="s">
        <v>723</v>
      </c>
      <c r="AZ5586" s="34" t="s">
        <v>701</v>
      </c>
      <c r="BH5586" s="34" t="s">
        <v>639</v>
      </c>
    </row>
    <row r="5587" spans="2:60" x14ac:dyDescent="0.3">
      <c r="B5587" s="39" t="s">
        <v>538</v>
      </c>
      <c r="D5587" s="1">
        <v>2019</v>
      </c>
      <c r="E5587" s="28">
        <v>2</v>
      </c>
      <c r="G5587" s="39" t="s">
        <v>693</v>
      </c>
      <c r="H5587" s="39" t="s">
        <v>540</v>
      </c>
      <c r="I5587" s="39" t="s">
        <v>541</v>
      </c>
      <c r="J5587" s="1" t="s">
        <v>539</v>
      </c>
      <c r="M5587" s="40" t="s">
        <v>545</v>
      </c>
      <c r="Q5587" s="34" t="s">
        <v>558</v>
      </c>
      <c r="V5587" s="34" t="s">
        <v>549</v>
      </c>
      <c r="W5587" s="34" t="s">
        <v>745</v>
      </c>
      <c r="Y5587" s="34" t="s">
        <v>1290</v>
      </c>
      <c r="Z5587" s="34" t="s">
        <v>220</v>
      </c>
      <c r="AA5587" s="34" t="s">
        <v>681</v>
      </c>
      <c r="AC5587" s="34" t="s">
        <v>726</v>
      </c>
      <c r="AD5587" s="34" t="s">
        <v>756</v>
      </c>
      <c r="AE5587" s="34" t="s">
        <v>766</v>
      </c>
      <c r="AI5587" s="34" t="s">
        <v>640</v>
      </c>
      <c r="AK5587" s="34" t="s">
        <v>810</v>
      </c>
      <c r="AL5587" s="34" t="s">
        <v>799</v>
      </c>
      <c r="AM5587" s="34"/>
      <c r="AN5587" s="34"/>
      <c r="AO5587" s="34"/>
      <c r="AP5587" s="34"/>
      <c r="AQ5587" s="34">
        <f>SUM(0.021*19)</f>
        <v>0.39900000000000002</v>
      </c>
      <c r="AR5587" s="34">
        <f>SUM(3.4*20)</f>
        <v>68</v>
      </c>
      <c r="AS5587" s="34">
        <v>0.28999999999999998</v>
      </c>
      <c r="AT5587" s="34">
        <f>SUM(0.15*39)</f>
        <v>5.85</v>
      </c>
      <c r="AU5587" s="34">
        <v>9.7219999999999995</v>
      </c>
      <c r="AV5587" s="34">
        <f>SUM(1.5*35.5)</f>
        <v>53.25</v>
      </c>
      <c r="AW5587" s="34">
        <f>SUM(1.6*23)</f>
        <v>36.800000000000004</v>
      </c>
      <c r="AX5587" s="34" t="s">
        <v>782</v>
      </c>
      <c r="AY5587" s="34" t="s">
        <v>775</v>
      </c>
      <c r="AZ5587" s="34" t="s">
        <v>702</v>
      </c>
      <c r="BH5587" s="34" t="s">
        <v>724</v>
      </c>
    </row>
    <row r="5588" spans="2:60" x14ac:dyDescent="0.3">
      <c r="B5588" s="39" t="s">
        <v>538</v>
      </c>
      <c r="D5588" s="1">
        <v>2019</v>
      </c>
      <c r="E5588" s="28">
        <v>3</v>
      </c>
      <c r="G5588" s="39" t="s">
        <v>694</v>
      </c>
      <c r="H5588" s="39" t="s">
        <v>700</v>
      </c>
      <c r="I5588" s="39" t="s">
        <v>541</v>
      </c>
      <c r="J5588" s="1" t="s">
        <v>539</v>
      </c>
      <c r="M5588" s="40" t="s">
        <v>567</v>
      </c>
      <c r="Q5588" s="34" t="s">
        <v>628</v>
      </c>
      <c r="V5588" s="34" t="s">
        <v>713</v>
      </c>
      <c r="W5588" s="34" t="s">
        <v>746</v>
      </c>
      <c r="Y5588" s="34" t="s">
        <v>1291</v>
      </c>
      <c r="Z5588" s="34" t="s">
        <v>211</v>
      </c>
      <c r="AA5588" s="34" t="s">
        <v>821</v>
      </c>
      <c r="AC5588" s="34" t="s">
        <v>727</v>
      </c>
      <c r="AD5588" s="34" t="s">
        <v>757</v>
      </c>
      <c r="AE5588" s="34" t="s">
        <v>767</v>
      </c>
      <c r="AI5588" s="34" t="s">
        <v>790</v>
      </c>
      <c r="AK5588" s="34" t="s">
        <v>811</v>
      </c>
      <c r="AL5588" s="34" t="s">
        <v>800</v>
      </c>
      <c r="AM5588" s="34"/>
      <c r="AN5588" s="34"/>
      <c r="AO5588" s="34"/>
      <c r="AP5588" s="34"/>
      <c r="AQ5588" s="34">
        <v>0.38</v>
      </c>
      <c r="AR5588" s="34">
        <f>SUM(3*20)</f>
        <v>60</v>
      </c>
      <c r="AS5588" s="34">
        <v>0.15</v>
      </c>
      <c r="AT5588" s="34">
        <f>SUM(0.14*39)</f>
        <v>5.4600000000000009</v>
      </c>
      <c r="AU5588" s="34">
        <f>SUM(0.69*12.1525)</f>
        <v>8.3852249999999984</v>
      </c>
      <c r="AV5588" s="34">
        <v>53.25</v>
      </c>
      <c r="AW5588" s="34">
        <v>34.5</v>
      </c>
      <c r="AX5588" s="34" t="s">
        <v>783</v>
      </c>
      <c r="AY5588" s="34" t="s">
        <v>628</v>
      </c>
      <c r="AZ5588" s="34" t="s">
        <v>703</v>
      </c>
      <c r="BH5588" s="34" t="s">
        <v>639</v>
      </c>
    </row>
    <row r="5589" spans="2:60" x14ac:dyDescent="0.3">
      <c r="B5589" s="39" t="s">
        <v>538</v>
      </c>
      <c r="D5589" s="1">
        <v>2019</v>
      </c>
      <c r="E5589" s="28">
        <v>4</v>
      </c>
      <c r="G5589" s="39" t="s">
        <v>695</v>
      </c>
      <c r="H5589" s="39" t="s">
        <v>700</v>
      </c>
      <c r="I5589" s="39" t="s">
        <v>541</v>
      </c>
      <c r="J5589" s="1" t="s">
        <v>539</v>
      </c>
      <c r="M5589" s="40" t="s">
        <v>542</v>
      </c>
      <c r="Q5589" s="34" t="s">
        <v>775</v>
      </c>
      <c r="V5589" s="34" t="s">
        <v>714</v>
      </c>
      <c r="W5589" s="34" t="s">
        <v>747</v>
      </c>
      <c r="Y5589" s="34" t="s">
        <v>1013</v>
      </c>
      <c r="Z5589" s="34" t="s">
        <v>773</v>
      </c>
      <c r="AA5589" s="34" t="s">
        <v>675</v>
      </c>
      <c r="AC5589" s="34" t="s">
        <v>728</v>
      </c>
      <c r="AD5589" s="34" t="s">
        <v>758</v>
      </c>
      <c r="AE5589" s="34" t="s">
        <v>768</v>
      </c>
      <c r="AI5589" s="34" t="s">
        <v>791</v>
      </c>
      <c r="AK5589" s="34" t="s">
        <v>812</v>
      </c>
      <c r="AL5589" s="34" t="s">
        <v>801</v>
      </c>
      <c r="AM5589" s="34"/>
      <c r="AN5589" s="34"/>
      <c r="AO5589" s="34"/>
      <c r="AP5589" s="34"/>
      <c r="AQ5589" s="34">
        <f>SUM(0.018*19)</f>
        <v>0.34199999999999997</v>
      </c>
      <c r="AR5589" s="34">
        <f>SUM(2.7*20)</f>
        <v>54</v>
      </c>
      <c r="AS5589" s="34">
        <v>0.12</v>
      </c>
      <c r="AT5589" s="34">
        <f>SUM(0.13*39)</f>
        <v>5.07</v>
      </c>
      <c r="AU5589" s="34">
        <f>SUM(0.61*12.1525)</f>
        <v>7.4130249999999993</v>
      </c>
      <c r="AV5589" s="34">
        <v>49.7</v>
      </c>
      <c r="AW5589" s="34">
        <v>34.5</v>
      </c>
      <c r="AX5589" s="34" t="s">
        <v>637</v>
      </c>
      <c r="AY5589" s="34" t="s">
        <v>586</v>
      </c>
      <c r="AZ5589" s="34" t="s">
        <v>704</v>
      </c>
      <c r="BH5589" s="34" t="s">
        <v>639</v>
      </c>
    </row>
    <row r="5590" spans="2:60" x14ac:dyDescent="0.3">
      <c r="B5590" s="39" t="s">
        <v>538</v>
      </c>
      <c r="D5590" s="1">
        <v>2019</v>
      </c>
      <c r="E5590" s="28">
        <v>5</v>
      </c>
      <c r="G5590" s="39" t="s">
        <v>696</v>
      </c>
      <c r="H5590" s="39" t="s">
        <v>700</v>
      </c>
      <c r="I5590" s="39" t="s">
        <v>541</v>
      </c>
      <c r="J5590" s="1" t="s">
        <v>539</v>
      </c>
      <c r="M5590" s="40" t="s">
        <v>544</v>
      </c>
      <c r="Q5590" s="34" t="s">
        <v>828</v>
      </c>
      <c r="V5590" s="34" t="s">
        <v>715</v>
      </c>
      <c r="W5590" s="34" t="s">
        <v>676</v>
      </c>
      <c r="Y5590" s="34" t="s">
        <v>1291</v>
      </c>
      <c r="Z5590" s="34" t="s">
        <v>773</v>
      </c>
      <c r="AA5590" s="34" t="s">
        <v>822</v>
      </c>
      <c r="AC5590" s="34" t="s">
        <v>729</v>
      </c>
      <c r="AD5590" s="34" t="s">
        <v>680</v>
      </c>
      <c r="AE5590" s="34" t="s">
        <v>769</v>
      </c>
      <c r="AI5590" s="34" t="s">
        <v>791</v>
      </c>
      <c r="AK5590" s="34" t="s">
        <v>813</v>
      </c>
      <c r="AL5590" s="34" t="s">
        <v>802</v>
      </c>
      <c r="AM5590" s="34"/>
      <c r="AN5590" s="34"/>
      <c r="AO5590" s="34"/>
      <c r="AP5590" s="34"/>
      <c r="AQ5590" s="34">
        <f>SUM(0.017*19)</f>
        <v>0.32300000000000001</v>
      </c>
      <c r="AR5590" s="34">
        <f>SUM(2.8*20)</f>
        <v>56</v>
      </c>
      <c r="AS5590" s="34">
        <v>0.26</v>
      </c>
      <c r="AT5590" s="34">
        <v>5.07</v>
      </c>
      <c r="AU5590" s="34">
        <f>SUM(0.64*12.1525)</f>
        <v>7.7776000000000005</v>
      </c>
      <c r="AV5590" s="34">
        <v>53.25</v>
      </c>
      <c r="AW5590" s="34">
        <v>36.799999999999997</v>
      </c>
      <c r="AX5590" s="34" t="s">
        <v>636</v>
      </c>
      <c r="AY5590" s="34" t="s">
        <v>776</v>
      </c>
      <c r="AZ5590" s="34" t="s">
        <v>705</v>
      </c>
      <c r="BH5590" s="34" t="s">
        <v>740</v>
      </c>
    </row>
    <row r="5591" spans="2:60" x14ac:dyDescent="0.3">
      <c r="B5591" s="39" t="s">
        <v>538</v>
      </c>
      <c r="D5591" s="1">
        <v>2019</v>
      </c>
      <c r="E5591" s="28">
        <v>6</v>
      </c>
      <c r="G5591" s="39" t="s">
        <v>697</v>
      </c>
      <c r="H5591" s="39" t="s">
        <v>700</v>
      </c>
      <c r="I5591" s="39" t="s">
        <v>541</v>
      </c>
      <c r="J5591" s="1" t="s">
        <v>539</v>
      </c>
      <c r="M5591" s="40" t="s">
        <v>542</v>
      </c>
      <c r="Q5591" s="34" t="s">
        <v>829</v>
      </c>
      <c r="V5591" s="34" t="s">
        <v>716</v>
      </c>
      <c r="W5591" s="34" t="s">
        <v>748</v>
      </c>
      <c r="Y5591" s="34" t="s">
        <v>1012</v>
      </c>
      <c r="Z5591" s="34" t="s">
        <v>773</v>
      </c>
      <c r="AA5591" s="34" t="s">
        <v>823</v>
      </c>
      <c r="AC5591" s="34" t="s">
        <v>730</v>
      </c>
      <c r="AD5591" s="34" t="s">
        <v>759</v>
      </c>
      <c r="AE5591" s="34" t="s">
        <v>765</v>
      </c>
      <c r="AI5591" s="34" t="s">
        <v>792</v>
      </c>
      <c r="AK5591" s="34" t="s">
        <v>814</v>
      </c>
      <c r="AL5591" s="34" t="s">
        <v>803</v>
      </c>
      <c r="AM5591" s="34"/>
      <c r="AN5591" s="34"/>
      <c r="AO5591" s="34"/>
      <c r="AP5591" s="34"/>
      <c r="AQ5591" s="34">
        <f>SUM(0.019*19)</f>
        <v>0.36099999999999999</v>
      </c>
      <c r="AR5591" s="34">
        <f>SUM(2.9*20)</f>
        <v>58</v>
      </c>
      <c r="AS5591" s="34">
        <v>0.27</v>
      </c>
      <c r="AT5591" s="34">
        <f>SUM(0.14*39)</f>
        <v>5.4600000000000009</v>
      </c>
      <c r="AU5591" s="34">
        <f>SUM(0.6*12.1525)</f>
        <v>7.2914999999999992</v>
      </c>
      <c r="AV5591" s="34">
        <v>56.8</v>
      </c>
      <c r="AW5591" s="34">
        <v>34.5</v>
      </c>
      <c r="AX5591" s="34" t="s">
        <v>784</v>
      </c>
      <c r="AY5591" s="34" t="s">
        <v>585</v>
      </c>
      <c r="AZ5591" s="34" t="s">
        <v>706</v>
      </c>
      <c r="BH5591" s="34" t="s">
        <v>741</v>
      </c>
    </row>
    <row r="5592" spans="2:60" x14ac:dyDescent="0.3">
      <c r="B5592" s="39" t="s">
        <v>538</v>
      </c>
      <c r="D5592" s="1">
        <v>2019</v>
      </c>
      <c r="E5592" s="28">
        <v>7</v>
      </c>
      <c r="G5592" s="39" t="s">
        <v>698</v>
      </c>
      <c r="H5592" s="39" t="s">
        <v>700</v>
      </c>
      <c r="I5592" s="39" t="s">
        <v>541</v>
      </c>
      <c r="J5592" s="1" t="s">
        <v>539</v>
      </c>
      <c r="M5592" s="40" t="s">
        <v>543</v>
      </c>
      <c r="Q5592" s="34" t="s">
        <v>830</v>
      </c>
      <c r="V5592" s="34" t="s">
        <v>546</v>
      </c>
      <c r="W5592" s="34" t="s">
        <v>749</v>
      </c>
      <c r="Y5592" s="34" t="s">
        <v>1016</v>
      </c>
      <c r="Z5592" s="34" t="s">
        <v>774</v>
      </c>
      <c r="AA5592" s="34" t="s">
        <v>632</v>
      </c>
      <c r="AC5592" s="34" t="s">
        <v>731</v>
      </c>
      <c r="AD5592" s="34" t="s">
        <v>760</v>
      </c>
      <c r="AE5592" s="34" t="s">
        <v>767</v>
      </c>
      <c r="AI5592" s="34" t="s">
        <v>793</v>
      </c>
      <c r="AK5592" s="34" t="s">
        <v>815</v>
      </c>
      <c r="AL5592" s="34" t="s">
        <v>804</v>
      </c>
      <c r="AM5592" s="34"/>
      <c r="AN5592" s="34"/>
      <c r="AO5592" s="34"/>
      <c r="AP5592" s="34"/>
      <c r="AQ5592" s="34">
        <f>SUM(0.021*19)</f>
        <v>0.39900000000000002</v>
      </c>
      <c r="AR5592" s="34">
        <v>56</v>
      </c>
      <c r="AS5592" s="34">
        <v>1</v>
      </c>
      <c r="AT5592" s="34">
        <f>SUM(0.15*39)</f>
        <v>5.85</v>
      </c>
      <c r="AU5592" s="34">
        <f>SUM(0.68*12.1525)</f>
        <v>8.2637</v>
      </c>
      <c r="AV5592" s="34">
        <v>56.8</v>
      </c>
      <c r="AW5592" s="34">
        <f>SUM(1.6*23)</f>
        <v>36.800000000000004</v>
      </c>
      <c r="AX5592" s="34" t="s">
        <v>637</v>
      </c>
      <c r="AY5592" s="34" t="s">
        <v>628</v>
      </c>
      <c r="AZ5592" s="34" t="s">
        <v>707</v>
      </c>
      <c r="BH5592" s="34" t="s">
        <v>702</v>
      </c>
    </row>
    <row r="5593" spans="2:60" x14ac:dyDescent="0.3">
      <c r="B5593" s="39" t="s">
        <v>538</v>
      </c>
      <c r="D5593" s="1">
        <v>2019</v>
      </c>
      <c r="E5593" s="28">
        <v>8</v>
      </c>
      <c r="G5593" s="39" t="s">
        <v>699</v>
      </c>
      <c r="H5593" s="39" t="s">
        <v>700</v>
      </c>
      <c r="I5593" s="39" t="s">
        <v>541</v>
      </c>
      <c r="J5593" s="1" t="s">
        <v>539</v>
      </c>
      <c r="M5593" s="40" t="s">
        <v>542</v>
      </c>
      <c r="Q5593" s="34" t="s">
        <v>831</v>
      </c>
      <c r="V5593" s="34" t="s">
        <v>551</v>
      </c>
      <c r="W5593" s="34" t="s">
        <v>750</v>
      </c>
      <c r="Y5593" s="34" t="s">
        <v>1095</v>
      </c>
      <c r="Z5593" s="34" t="s">
        <v>773</v>
      </c>
      <c r="AA5593" s="34" t="s">
        <v>824</v>
      </c>
      <c r="AC5593" s="34" t="s">
        <v>732</v>
      </c>
      <c r="AD5593" s="34" t="s">
        <v>760</v>
      </c>
      <c r="AE5593" s="34" t="s">
        <v>770</v>
      </c>
      <c r="AI5593" s="34" t="s">
        <v>794</v>
      </c>
      <c r="AK5593" s="34" t="s">
        <v>816</v>
      </c>
      <c r="AL5593" s="34" t="s">
        <v>659</v>
      </c>
      <c r="AM5593" s="34"/>
      <c r="AN5593" s="34"/>
      <c r="AO5593" s="34"/>
      <c r="AP5593" s="34"/>
      <c r="AQ5593" s="34">
        <f>SUM(0.02*19)</f>
        <v>0.38</v>
      </c>
      <c r="AR5593" s="34">
        <f>SUM(2.7*20)</f>
        <v>54</v>
      </c>
      <c r="AS5593" s="34">
        <v>1.1000000000000001</v>
      </c>
      <c r="AT5593" s="34">
        <v>5.85</v>
      </c>
      <c r="AU5593" s="34">
        <f>SUM(0.67*12.1525)</f>
        <v>8.1421749999999999</v>
      </c>
      <c r="AV5593" s="34">
        <v>56.8</v>
      </c>
      <c r="AW5593" s="34">
        <v>36.799999999999997</v>
      </c>
      <c r="AX5593" s="34" t="s">
        <v>785</v>
      </c>
      <c r="AY5593" s="34" t="s">
        <v>560</v>
      </c>
      <c r="AZ5593" s="34" t="s">
        <v>708</v>
      </c>
      <c r="BH5593" s="34" t="s">
        <v>742</v>
      </c>
    </row>
    <row r="5594" spans="2:60" x14ac:dyDescent="0.3">
      <c r="B5594" s="39" t="s">
        <v>538</v>
      </c>
      <c r="D5594" s="1">
        <v>2019</v>
      </c>
      <c r="E5594" s="28">
        <v>9</v>
      </c>
      <c r="G5594" s="39" t="s">
        <v>265</v>
      </c>
      <c r="H5594" s="39" t="s">
        <v>700</v>
      </c>
      <c r="I5594" s="39" t="s">
        <v>541</v>
      </c>
      <c r="J5594" s="1" t="s">
        <v>539</v>
      </c>
      <c r="M5594" s="40" t="s">
        <v>542</v>
      </c>
      <c r="Q5594" s="34" t="s">
        <v>832</v>
      </c>
      <c r="V5594" s="34" t="s">
        <v>717</v>
      </c>
      <c r="W5594" s="34" t="s">
        <v>751</v>
      </c>
      <c r="Y5594" s="34" t="s">
        <v>1287</v>
      </c>
      <c r="Z5594" s="34" t="s">
        <v>773</v>
      </c>
      <c r="AA5594" s="34" t="s">
        <v>592</v>
      </c>
      <c r="AC5594" s="34" t="s">
        <v>733</v>
      </c>
      <c r="AD5594" s="34" t="s">
        <v>761</v>
      </c>
      <c r="AE5594" s="34" t="s">
        <v>771</v>
      </c>
      <c r="AI5594" s="34" t="s">
        <v>795</v>
      </c>
      <c r="AK5594" s="34" t="s">
        <v>817</v>
      </c>
      <c r="AL5594" s="34" t="s">
        <v>805</v>
      </c>
      <c r="AM5594" s="34"/>
      <c r="AN5594" s="34"/>
      <c r="AO5594" s="34"/>
      <c r="AP5594" s="34"/>
      <c r="AQ5594" s="34">
        <f>SUM(0.019*19)</f>
        <v>0.36099999999999999</v>
      </c>
      <c r="AR5594" s="34">
        <f>SUM(2.6*20)</f>
        <v>52</v>
      </c>
      <c r="AS5594" s="34">
        <v>0.99</v>
      </c>
      <c r="AT5594" s="34">
        <v>5.85</v>
      </c>
      <c r="AU5594" s="34">
        <f>SUM(0.67*12.1525)</f>
        <v>8.1421749999999999</v>
      </c>
      <c r="AV5594" s="34">
        <v>56.8</v>
      </c>
      <c r="AW5594" s="34">
        <f>SUM(1.7*23)</f>
        <v>39.1</v>
      </c>
      <c r="AX5594" s="34" t="s">
        <v>786</v>
      </c>
      <c r="AY5594" s="34" t="s">
        <v>777</v>
      </c>
      <c r="AZ5594" s="34" t="s">
        <v>708</v>
      </c>
      <c r="BH5594" s="34" t="s">
        <v>591</v>
      </c>
    </row>
    <row r="5595" spans="2:60" x14ac:dyDescent="0.3">
      <c r="B5595" s="39" t="s">
        <v>538</v>
      </c>
      <c r="D5595" s="1">
        <v>2019</v>
      </c>
      <c r="E5595" s="28">
        <v>10</v>
      </c>
      <c r="G5595" s="39" t="s">
        <v>267</v>
      </c>
      <c r="H5595" s="39" t="s">
        <v>700</v>
      </c>
      <c r="I5595" s="39" t="s">
        <v>541</v>
      </c>
      <c r="J5595" s="1" t="s">
        <v>539</v>
      </c>
      <c r="M5595" s="40" t="s">
        <v>542</v>
      </c>
      <c r="Q5595" s="34" t="s">
        <v>833</v>
      </c>
      <c r="V5595" s="34" t="s">
        <v>718</v>
      </c>
      <c r="W5595" s="34" t="s">
        <v>752</v>
      </c>
      <c r="Y5595" s="34" t="s">
        <v>1012</v>
      </c>
      <c r="Z5595" s="34" t="s">
        <v>213</v>
      </c>
      <c r="AA5595" s="34" t="s">
        <v>632</v>
      </c>
      <c r="AC5595" s="34" t="s">
        <v>734</v>
      </c>
      <c r="AD5595" s="34" t="s">
        <v>762</v>
      </c>
      <c r="AE5595" s="34" t="s">
        <v>620</v>
      </c>
      <c r="AI5595" s="34" t="s">
        <v>796</v>
      </c>
      <c r="AK5595" s="34" t="s">
        <v>818</v>
      </c>
      <c r="AL5595" s="34" t="s">
        <v>806</v>
      </c>
      <c r="AM5595" s="34"/>
      <c r="AN5595" s="34"/>
      <c r="AO5595" s="34"/>
      <c r="AP5595" s="34"/>
      <c r="AQ5595" s="34">
        <f>SUM(0.018*19)</f>
        <v>0.34199999999999997</v>
      </c>
      <c r="AR5595" s="34">
        <v>52</v>
      </c>
      <c r="AS5595" s="34">
        <v>0.69</v>
      </c>
      <c r="AT5595" s="34">
        <f>SUM(0.17*39)</f>
        <v>6.6300000000000008</v>
      </c>
      <c r="AU5595" s="34">
        <f>SUM(0.66*12.1525)</f>
        <v>8.0206499999999998</v>
      </c>
      <c r="AV5595" s="34">
        <v>60.35</v>
      </c>
      <c r="AW5595" s="34">
        <v>39.1</v>
      </c>
      <c r="AX5595" s="34" t="s">
        <v>636</v>
      </c>
      <c r="AY5595" s="34" t="s">
        <v>778</v>
      </c>
      <c r="AZ5595" s="34" t="s">
        <v>709</v>
      </c>
      <c r="BH5595" s="34" t="s">
        <v>703</v>
      </c>
    </row>
    <row r="5596" spans="2:60" x14ac:dyDescent="0.3">
      <c r="B5596" s="39" t="s">
        <v>538</v>
      </c>
      <c r="D5596" s="1">
        <v>2019</v>
      </c>
      <c r="E5596" s="28">
        <v>11</v>
      </c>
      <c r="G5596" s="39" t="s">
        <v>268</v>
      </c>
      <c r="H5596" s="39" t="s">
        <v>700</v>
      </c>
      <c r="I5596" s="39" t="s">
        <v>541</v>
      </c>
      <c r="J5596" s="1" t="s">
        <v>539</v>
      </c>
      <c r="M5596" s="40" t="s">
        <v>545</v>
      </c>
      <c r="Q5596" s="34" t="s">
        <v>834</v>
      </c>
      <c r="V5596" s="34" t="s">
        <v>715</v>
      </c>
      <c r="W5596" s="34" t="s">
        <v>753</v>
      </c>
      <c r="Y5596" s="34" t="s">
        <v>1283</v>
      </c>
      <c r="Z5596" s="34" t="s">
        <v>212</v>
      </c>
      <c r="AA5596" s="34" t="s">
        <v>825</v>
      </c>
      <c r="AC5596" s="34" t="s">
        <v>735</v>
      </c>
      <c r="AD5596" s="34" t="s">
        <v>763</v>
      </c>
      <c r="AE5596" s="34" t="s">
        <v>621</v>
      </c>
      <c r="AI5596" s="34" t="s">
        <v>792</v>
      </c>
      <c r="AK5596" s="34" t="s">
        <v>819</v>
      </c>
      <c r="AL5596" s="34" t="s">
        <v>807</v>
      </c>
      <c r="AM5596" s="34"/>
      <c r="AN5596" s="34"/>
      <c r="AO5596" s="34"/>
      <c r="AP5596" s="34"/>
      <c r="AQ5596" s="34">
        <v>0.36099999999999999</v>
      </c>
      <c r="AR5596" s="34">
        <f>SUM(3.5*20)</f>
        <v>70</v>
      </c>
      <c r="AS5596" s="34">
        <v>0.48</v>
      </c>
      <c r="AT5596" s="34">
        <f>SUM(0.16*39)</f>
        <v>6.24</v>
      </c>
      <c r="AU5596" s="34">
        <f>SUM(0.96*12.1525)</f>
        <v>11.666399999999999</v>
      </c>
      <c r="AV5596" s="34">
        <v>49.7</v>
      </c>
      <c r="AW5596" s="34">
        <v>39.1</v>
      </c>
      <c r="AX5596" s="34" t="s">
        <v>787</v>
      </c>
      <c r="AY5596" s="34" t="s">
        <v>779</v>
      </c>
      <c r="AZ5596" s="34" t="s">
        <v>710</v>
      </c>
      <c r="BH5596" s="34" t="s">
        <v>743</v>
      </c>
    </row>
    <row r="5597" spans="2:60" x14ac:dyDescent="0.3">
      <c r="B5597" s="39" t="s">
        <v>538</v>
      </c>
      <c r="D5597" s="1">
        <v>2019</v>
      </c>
      <c r="E5597" s="28">
        <v>12</v>
      </c>
      <c r="G5597" s="39" t="s">
        <v>269</v>
      </c>
      <c r="H5597" s="39" t="s">
        <v>700</v>
      </c>
      <c r="I5597" s="39" t="s">
        <v>541</v>
      </c>
      <c r="J5597" s="1" t="s">
        <v>539</v>
      </c>
      <c r="M5597" s="40" t="s">
        <v>542</v>
      </c>
      <c r="Q5597" s="34" t="s">
        <v>562</v>
      </c>
      <c r="V5597" s="34" t="s">
        <v>719</v>
      </c>
      <c r="W5597" s="34" t="s">
        <v>754</v>
      </c>
      <c r="Y5597" s="34" t="s">
        <v>1292</v>
      </c>
      <c r="Z5597" s="34" t="s">
        <v>677</v>
      </c>
      <c r="AA5597" s="34" t="s">
        <v>826</v>
      </c>
      <c r="AC5597" s="34" t="s">
        <v>736</v>
      </c>
      <c r="AD5597" s="34" t="s">
        <v>764</v>
      </c>
      <c r="AE5597" s="34" t="s">
        <v>772</v>
      </c>
      <c r="AI5597" s="34" t="s">
        <v>797</v>
      </c>
      <c r="AK5597" s="34" t="s">
        <v>820</v>
      </c>
      <c r="AL5597" s="34" t="s">
        <v>808</v>
      </c>
      <c r="AM5597" s="34"/>
      <c r="AN5597" s="34"/>
      <c r="AO5597" s="34"/>
      <c r="AP5597" s="34"/>
      <c r="AQ5597" s="34">
        <v>0.36099999999999999</v>
      </c>
      <c r="AR5597" s="34">
        <f>SUM(3.1*20)</f>
        <v>62</v>
      </c>
      <c r="AS5597" s="34">
        <v>1.9</v>
      </c>
      <c r="AT5597" s="34">
        <v>6.63</v>
      </c>
      <c r="AU5597" s="34">
        <f>SUM(0.8*12.1525)</f>
        <v>9.7220000000000013</v>
      </c>
      <c r="AV5597" s="34">
        <f>SUM(1.2*35.5)</f>
        <v>42.6</v>
      </c>
      <c r="AW5597" s="34">
        <v>29.9</v>
      </c>
      <c r="AX5597" s="34" t="s">
        <v>788</v>
      </c>
      <c r="AY5597" s="34" t="s">
        <v>780</v>
      </c>
      <c r="AZ5597" s="34" t="s">
        <v>711</v>
      </c>
      <c r="BH5597" s="34" t="s">
        <v>744</v>
      </c>
    </row>
    <row r="5598" spans="2:60" x14ac:dyDescent="0.3">
      <c r="B5598" s="39" t="s">
        <v>538</v>
      </c>
      <c r="D5598" s="1">
        <v>2020</v>
      </c>
      <c r="E5598" s="28">
        <v>1</v>
      </c>
      <c r="G5598" s="39" t="s">
        <v>270</v>
      </c>
      <c r="H5598" s="39" t="s">
        <v>700</v>
      </c>
      <c r="I5598" s="39" t="s">
        <v>541</v>
      </c>
      <c r="J5598" s="1" t="s">
        <v>539</v>
      </c>
      <c r="M5598" s="40" t="s">
        <v>542</v>
      </c>
      <c r="Q5598" s="34" t="s">
        <v>564</v>
      </c>
      <c r="V5598" s="34" t="s">
        <v>837</v>
      </c>
      <c r="W5598" s="34" t="s">
        <v>856</v>
      </c>
      <c r="Y5598" s="34" t="s">
        <v>1283</v>
      </c>
      <c r="Z5598" s="34" t="s">
        <v>213</v>
      </c>
      <c r="AA5598" s="34" t="s">
        <v>916</v>
      </c>
      <c r="AC5598" s="34" t="s">
        <v>846</v>
      </c>
      <c r="AD5598" s="34" t="s">
        <v>864</v>
      </c>
      <c r="AE5598" s="34" t="s">
        <v>616</v>
      </c>
      <c r="AI5598" s="34" t="s">
        <v>888</v>
      </c>
      <c r="AK5598" s="34" t="s">
        <v>572</v>
      </c>
      <c r="AL5598" s="34" t="s">
        <v>898</v>
      </c>
      <c r="AM5598" s="34"/>
      <c r="AN5598" s="34"/>
      <c r="AO5598" s="34"/>
      <c r="AP5598" s="34"/>
      <c r="AQ5598" s="34">
        <f>SUM(0.021*19)</f>
        <v>0.39900000000000002</v>
      </c>
      <c r="AR5598" s="34">
        <f>SUM(2.5*20)</f>
        <v>50</v>
      </c>
      <c r="AT5598" s="34">
        <f>SUM(0.13*39)</f>
        <v>5.07</v>
      </c>
      <c r="AU5598" s="34">
        <f>SUM(0.61*12.1525)</f>
        <v>7.4130249999999993</v>
      </c>
      <c r="AV5598" s="34">
        <v>46.15</v>
      </c>
      <c r="AW5598" s="34">
        <v>29.9</v>
      </c>
      <c r="AX5598" s="34" t="s">
        <v>883</v>
      </c>
      <c r="AY5598" s="34" t="s">
        <v>880</v>
      </c>
    </row>
    <row r="5599" spans="2:60" x14ac:dyDescent="0.3">
      <c r="B5599" s="39" t="s">
        <v>538</v>
      </c>
      <c r="D5599" s="1">
        <v>2020</v>
      </c>
      <c r="E5599" s="28">
        <v>2</v>
      </c>
      <c r="G5599" s="39" t="s">
        <v>271</v>
      </c>
      <c r="H5599" s="39" t="s">
        <v>700</v>
      </c>
      <c r="I5599" s="39" t="s">
        <v>541</v>
      </c>
      <c r="J5599" s="1" t="s">
        <v>539</v>
      </c>
      <c r="M5599" s="40" t="s">
        <v>542</v>
      </c>
      <c r="Q5599" s="34" t="s">
        <v>562</v>
      </c>
      <c r="V5599" s="34" t="s">
        <v>717</v>
      </c>
      <c r="W5599" s="34" t="s">
        <v>857</v>
      </c>
      <c r="Y5599" s="34" t="s">
        <v>1010</v>
      </c>
      <c r="Z5599" s="34" t="s">
        <v>213</v>
      </c>
      <c r="AA5599" s="34" t="s">
        <v>917</v>
      </c>
      <c r="AC5599" s="34" t="s">
        <v>731</v>
      </c>
      <c r="AD5599" s="34" t="s">
        <v>865</v>
      </c>
      <c r="AE5599" s="34" t="s">
        <v>874</v>
      </c>
      <c r="AI5599" s="34" t="s">
        <v>889</v>
      </c>
      <c r="AK5599" s="34" t="s">
        <v>908</v>
      </c>
      <c r="AL5599" s="34" t="s">
        <v>899</v>
      </c>
      <c r="AM5599" s="34"/>
      <c r="AN5599" s="34"/>
      <c r="AO5599" s="34"/>
      <c r="AP5599" s="34"/>
      <c r="AQ5599" s="34">
        <f>SUM(0.022*19)</f>
        <v>0.41799999999999998</v>
      </c>
      <c r="AR5599" s="34">
        <f>SUM(2.8*20)</f>
        <v>56</v>
      </c>
      <c r="AT5599" s="34">
        <f>SUM(0.14*39)</f>
        <v>5.4600000000000009</v>
      </c>
      <c r="AU5599" s="34">
        <f>SUM(0.65*12.1525)</f>
        <v>7.8991250000000006</v>
      </c>
      <c r="AV5599" s="34">
        <v>46.15</v>
      </c>
      <c r="AW5599" s="34">
        <v>29.9</v>
      </c>
      <c r="AX5599" s="34" t="s">
        <v>783</v>
      </c>
      <c r="AY5599" s="34" t="s">
        <v>775</v>
      </c>
    </row>
    <row r="5600" spans="2:60" x14ac:dyDescent="0.3">
      <c r="B5600" s="39" t="s">
        <v>538</v>
      </c>
      <c r="D5600" s="1">
        <v>2020</v>
      </c>
      <c r="E5600" s="28">
        <v>3</v>
      </c>
      <c r="G5600" s="39" t="s">
        <v>272</v>
      </c>
      <c r="H5600" s="39" t="s">
        <v>700</v>
      </c>
      <c r="I5600" s="39" t="s">
        <v>541</v>
      </c>
      <c r="J5600" s="1" t="s">
        <v>539</v>
      </c>
      <c r="M5600" s="40" t="s">
        <v>544</v>
      </c>
      <c r="Q5600" s="34" t="s">
        <v>720</v>
      </c>
      <c r="V5600" s="34" t="s">
        <v>838</v>
      </c>
      <c r="W5600" s="34" t="s">
        <v>750</v>
      </c>
      <c r="Y5600" s="34" t="s">
        <v>1008</v>
      </c>
      <c r="Z5600" s="34" t="s">
        <v>214</v>
      </c>
      <c r="AA5600" s="34" t="s">
        <v>223</v>
      </c>
      <c r="AC5600" s="34" t="s">
        <v>847</v>
      </c>
      <c r="AD5600" s="34" t="s">
        <v>866</v>
      </c>
      <c r="AE5600" s="34" t="s">
        <v>875</v>
      </c>
      <c r="AI5600" s="34" t="s">
        <v>890</v>
      </c>
      <c r="AK5600" s="34" t="s">
        <v>909</v>
      </c>
      <c r="AL5600" s="34" t="s">
        <v>900</v>
      </c>
      <c r="AM5600" s="34"/>
      <c r="AN5600" s="34"/>
      <c r="AO5600" s="34"/>
      <c r="AP5600" s="34"/>
      <c r="AQ5600" s="34">
        <f>SUM(0.023*19)</f>
        <v>0.437</v>
      </c>
      <c r="AR5600" s="34">
        <f>SUM(2.9*20)</f>
        <v>58</v>
      </c>
      <c r="AT5600" s="34">
        <v>5.17</v>
      </c>
      <c r="AU5600" s="34">
        <f>SUM(0.65*12.1525)</f>
        <v>7.8991250000000006</v>
      </c>
      <c r="AV5600" s="34">
        <v>42.6</v>
      </c>
      <c r="AW5600" s="34">
        <v>29.9</v>
      </c>
      <c r="AX5600" s="34" t="s">
        <v>884</v>
      </c>
      <c r="AY5600" s="34" t="s">
        <v>721</v>
      </c>
    </row>
    <row r="5601" spans="2:51" x14ac:dyDescent="0.3">
      <c r="B5601" s="39" t="s">
        <v>538</v>
      </c>
      <c r="D5601" s="1">
        <v>2020</v>
      </c>
      <c r="E5601" s="28">
        <v>4</v>
      </c>
      <c r="G5601" s="39" t="s">
        <v>273</v>
      </c>
      <c r="H5601" s="39" t="s">
        <v>700</v>
      </c>
      <c r="I5601" s="39" t="s">
        <v>541</v>
      </c>
      <c r="J5601" s="1" t="s">
        <v>539</v>
      </c>
      <c r="M5601" s="40" t="s">
        <v>545</v>
      </c>
      <c r="Q5601" s="34" t="s">
        <v>921</v>
      </c>
      <c r="V5601" s="34" t="s">
        <v>839</v>
      </c>
      <c r="W5601" s="34" t="s">
        <v>858</v>
      </c>
      <c r="Y5601" s="34" t="s">
        <v>1289</v>
      </c>
      <c r="Z5601" s="34" t="s">
        <v>773</v>
      </c>
      <c r="AA5601" s="34" t="s">
        <v>223</v>
      </c>
      <c r="AC5601" s="34" t="s">
        <v>848</v>
      </c>
      <c r="AD5601" s="34" t="s">
        <v>867</v>
      </c>
      <c r="AE5601" s="34" t="s">
        <v>617</v>
      </c>
      <c r="AI5601" s="34" t="s">
        <v>891</v>
      </c>
      <c r="AK5601" s="34" t="s">
        <v>910</v>
      </c>
      <c r="AL5601" s="34" t="s">
        <v>804</v>
      </c>
      <c r="AM5601" s="34"/>
      <c r="AN5601" s="34"/>
      <c r="AO5601" s="34"/>
      <c r="AP5601" s="34"/>
      <c r="AQ5601" s="34">
        <v>0.41799999999999998</v>
      </c>
      <c r="AR5601" s="34">
        <v>58</v>
      </c>
      <c r="AT5601" s="34">
        <v>5.46</v>
      </c>
      <c r="AU5601" s="34">
        <f>SUM(0.67*12.1525)</f>
        <v>8.1421749999999999</v>
      </c>
      <c r="AV5601" s="34">
        <v>49.7</v>
      </c>
      <c r="AW5601" s="34">
        <f>SUM(1.4*23)</f>
        <v>32.199999999999996</v>
      </c>
      <c r="AX5601" s="34" t="s">
        <v>884</v>
      </c>
      <c r="AY5601" s="34" t="s">
        <v>881</v>
      </c>
    </row>
    <row r="5602" spans="2:51" x14ac:dyDescent="0.3">
      <c r="B5602" s="39" t="s">
        <v>538</v>
      </c>
      <c r="D5602" s="1">
        <v>2020</v>
      </c>
      <c r="E5602" s="28">
        <v>5</v>
      </c>
      <c r="G5602" s="39" t="s">
        <v>274</v>
      </c>
      <c r="H5602" s="39" t="s">
        <v>700</v>
      </c>
      <c r="I5602" s="39" t="s">
        <v>541</v>
      </c>
      <c r="J5602" s="1" t="s">
        <v>539</v>
      </c>
      <c r="M5602" s="40" t="s">
        <v>542</v>
      </c>
      <c r="Q5602" s="34" t="s">
        <v>922</v>
      </c>
      <c r="V5602" s="34" t="s">
        <v>840</v>
      </c>
      <c r="W5602" s="34" t="s">
        <v>859</v>
      </c>
      <c r="Y5602" s="34" t="s">
        <v>1283</v>
      </c>
      <c r="Z5602" s="34" t="s">
        <v>773</v>
      </c>
      <c r="AA5602" s="34" t="s">
        <v>681</v>
      </c>
      <c r="AC5602" s="34" t="s">
        <v>849</v>
      </c>
      <c r="AD5602" s="34" t="s">
        <v>868</v>
      </c>
      <c r="AE5602" s="34" t="s">
        <v>876</v>
      </c>
      <c r="AI5602" s="34" t="s">
        <v>891</v>
      </c>
      <c r="AK5602" s="34" t="s">
        <v>911</v>
      </c>
      <c r="AL5602" s="34" t="s">
        <v>901</v>
      </c>
      <c r="AM5602" s="34"/>
      <c r="AN5602" s="34"/>
      <c r="AO5602" s="34"/>
      <c r="AP5602" s="34"/>
      <c r="AQ5602" s="34">
        <f>SUM(0.021*19)</f>
        <v>0.39900000000000002</v>
      </c>
      <c r="AR5602" s="34">
        <v>58</v>
      </c>
      <c r="AT5602" s="34">
        <v>5.46</v>
      </c>
      <c r="AU5602" s="34">
        <f>SUM(0.7*12.1525)</f>
        <v>8.5067499999999985</v>
      </c>
      <c r="AV5602" s="34">
        <v>53.25</v>
      </c>
      <c r="AW5602" s="34">
        <v>34.5</v>
      </c>
      <c r="AX5602" s="34" t="s">
        <v>885</v>
      </c>
      <c r="AY5602" s="34" t="s">
        <v>584</v>
      </c>
    </row>
    <row r="5603" spans="2:51" x14ac:dyDescent="0.3">
      <c r="B5603" s="39" t="s">
        <v>538</v>
      </c>
      <c r="D5603" s="1">
        <v>2020</v>
      </c>
      <c r="E5603" s="28">
        <v>6</v>
      </c>
      <c r="G5603" s="39" t="s">
        <v>275</v>
      </c>
      <c r="H5603" s="39" t="s">
        <v>700</v>
      </c>
      <c r="I5603" s="39" t="s">
        <v>541</v>
      </c>
      <c r="J5603" s="1" t="s">
        <v>539</v>
      </c>
      <c r="M5603" s="40" t="s">
        <v>542</v>
      </c>
      <c r="Q5603" s="34" t="s">
        <v>923</v>
      </c>
      <c r="V5603" s="34" t="s">
        <v>841</v>
      </c>
      <c r="W5603" s="34" t="s">
        <v>860</v>
      </c>
      <c r="Y5603" s="34" t="s">
        <v>1167</v>
      </c>
      <c r="Z5603" s="34" t="s">
        <v>221</v>
      </c>
      <c r="AA5603" s="34" t="s">
        <v>679</v>
      </c>
      <c r="AC5603" s="34" t="s">
        <v>850</v>
      </c>
      <c r="AD5603" s="34" t="s">
        <v>869</v>
      </c>
      <c r="AE5603" s="34" t="s">
        <v>767</v>
      </c>
      <c r="AI5603" s="34" t="s">
        <v>892</v>
      </c>
      <c r="AK5603" s="34" t="s">
        <v>912</v>
      </c>
      <c r="AL5603" s="34" t="s">
        <v>898</v>
      </c>
      <c r="AM5603" s="34"/>
      <c r="AN5603" s="34"/>
      <c r="AO5603" s="34"/>
      <c r="AP5603" s="34"/>
      <c r="AQ5603" s="34">
        <f>SUM(0.023*19)</f>
        <v>0.437</v>
      </c>
      <c r="AR5603" s="34">
        <v>58</v>
      </c>
      <c r="AT5603" s="34">
        <v>5.46</v>
      </c>
      <c r="AU5603" s="34">
        <f>SUM(0.67*12.1525)</f>
        <v>8.1421749999999999</v>
      </c>
      <c r="AV5603" s="34">
        <v>49.7</v>
      </c>
      <c r="AW5603" s="34">
        <v>32.200000000000003</v>
      </c>
      <c r="AX5603" s="34" t="s">
        <v>678</v>
      </c>
      <c r="AY5603" s="34" t="s">
        <v>557</v>
      </c>
    </row>
    <row r="5604" spans="2:51" x14ac:dyDescent="0.3">
      <c r="B5604" s="39" t="s">
        <v>538</v>
      </c>
      <c r="D5604" s="1">
        <v>2020</v>
      </c>
      <c r="E5604" s="28">
        <v>7</v>
      </c>
      <c r="G5604" s="39" t="s">
        <v>276</v>
      </c>
      <c r="H5604" s="39" t="s">
        <v>700</v>
      </c>
      <c r="I5604" s="39" t="s">
        <v>541</v>
      </c>
      <c r="J5604" s="1" t="s">
        <v>539</v>
      </c>
      <c r="M5604" s="40" t="s">
        <v>545</v>
      </c>
      <c r="Q5604" s="34" t="s">
        <v>924</v>
      </c>
      <c r="V5604" s="34" t="s">
        <v>841</v>
      </c>
      <c r="W5604" s="34" t="s">
        <v>861</v>
      </c>
      <c r="Y5604" s="34" t="s">
        <v>1283</v>
      </c>
      <c r="Z5604" s="34" t="s">
        <v>212</v>
      </c>
      <c r="AA5604" s="34" t="s">
        <v>918</v>
      </c>
      <c r="AC5604" s="34" t="s">
        <v>851</v>
      </c>
      <c r="AD5604" s="34" t="s">
        <v>760</v>
      </c>
      <c r="AE5604" s="34" t="s">
        <v>877</v>
      </c>
      <c r="AI5604" s="34" t="s">
        <v>893</v>
      </c>
      <c r="AK5604" s="34" t="s">
        <v>701</v>
      </c>
      <c r="AL5604" s="34" t="s">
        <v>902</v>
      </c>
      <c r="AM5604" s="34"/>
      <c r="AN5604" s="34"/>
      <c r="AO5604" s="34"/>
      <c r="AP5604" s="34"/>
      <c r="AQ5604" s="34">
        <v>0.437</v>
      </c>
      <c r="AR5604" s="34">
        <v>58</v>
      </c>
      <c r="AT5604" s="34">
        <v>5.46</v>
      </c>
      <c r="AU5604" s="34">
        <f>SUM(0.69*12.1525)</f>
        <v>8.3852249999999984</v>
      </c>
      <c r="AV5604" s="34">
        <v>49.7</v>
      </c>
      <c r="AW5604" s="34">
        <v>32.200000000000003</v>
      </c>
      <c r="AX5604" s="34" t="s">
        <v>886</v>
      </c>
      <c r="AY5604" s="34" t="s">
        <v>557</v>
      </c>
    </row>
    <row r="5605" spans="2:51" x14ac:dyDescent="0.3">
      <c r="B5605" s="39" t="s">
        <v>538</v>
      </c>
      <c r="D5605" s="1">
        <v>2020</v>
      </c>
      <c r="E5605" s="28">
        <v>8</v>
      </c>
      <c r="G5605" s="39" t="s">
        <v>277</v>
      </c>
      <c r="H5605" s="39" t="s">
        <v>700</v>
      </c>
      <c r="I5605" s="39" t="s">
        <v>541</v>
      </c>
      <c r="J5605" s="1" t="s">
        <v>539</v>
      </c>
      <c r="M5605" s="40" t="s">
        <v>542</v>
      </c>
      <c r="Q5605" s="34" t="s">
        <v>925</v>
      </c>
      <c r="V5605" s="34" t="s">
        <v>842</v>
      </c>
      <c r="W5605" s="34" t="s">
        <v>815</v>
      </c>
      <c r="Y5605" s="34" t="s">
        <v>1012</v>
      </c>
      <c r="Z5605" s="34" t="s">
        <v>774</v>
      </c>
      <c r="AA5605" s="34" t="s">
        <v>222</v>
      </c>
      <c r="AC5605" s="34" t="s">
        <v>852</v>
      </c>
      <c r="AD5605" s="34" t="s">
        <v>870</v>
      </c>
      <c r="AE5605" s="34" t="s">
        <v>620</v>
      </c>
      <c r="AI5605" s="34" t="s">
        <v>894</v>
      </c>
      <c r="AK5605" s="34" t="s">
        <v>913</v>
      </c>
      <c r="AL5605" s="34" t="s">
        <v>903</v>
      </c>
      <c r="AM5605" s="34"/>
      <c r="AN5605" s="34"/>
      <c r="AO5605" s="34"/>
      <c r="AP5605" s="34"/>
      <c r="AQ5605" s="34">
        <f>SUM(0.024*19)</f>
        <v>0.45600000000000002</v>
      </c>
      <c r="AR5605" s="34">
        <v>56</v>
      </c>
      <c r="AT5605" s="34">
        <v>5.46</v>
      </c>
      <c r="AU5605" s="34">
        <f>SUM(0.69*12.1525)</f>
        <v>8.3852249999999984</v>
      </c>
      <c r="AV5605" s="34">
        <v>53.25</v>
      </c>
      <c r="AW5605" s="34">
        <v>34.5</v>
      </c>
      <c r="AX5605" s="34" t="s">
        <v>784</v>
      </c>
      <c r="AY5605" s="34" t="s">
        <v>559</v>
      </c>
    </row>
    <row r="5606" spans="2:51" x14ac:dyDescent="0.3">
      <c r="B5606" s="39" t="s">
        <v>538</v>
      </c>
      <c r="D5606" s="1">
        <v>2020</v>
      </c>
      <c r="E5606" s="28">
        <v>9</v>
      </c>
      <c r="G5606" s="39" t="s">
        <v>278</v>
      </c>
      <c r="H5606" s="39" t="s">
        <v>700</v>
      </c>
      <c r="I5606" s="39" t="s">
        <v>541</v>
      </c>
      <c r="J5606" s="1" t="s">
        <v>539</v>
      </c>
      <c r="M5606" s="40" t="s">
        <v>545</v>
      </c>
      <c r="Q5606" s="34" t="s">
        <v>926</v>
      </c>
      <c r="V5606" s="34" t="s">
        <v>843</v>
      </c>
      <c r="W5606" s="34" t="s">
        <v>862</v>
      </c>
      <c r="Y5606" s="34" t="s">
        <v>1288</v>
      </c>
      <c r="Z5606" s="34" t="s">
        <v>223</v>
      </c>
      <c r="AA5606" s="34" t="s">
        <v>825</v>
      </c>
      <c r="AC5606" s="34" t="s">
        <v>853</v>
      </c>
      <c r="AD5606" s="34" t="s">
        <v>871</v>
      </c>
      <c r="AE5606" s="34" t="s">
        <v>878</v>
      </c>
      <c r="AI5606" s="34" t="s">
        <v>895</v>
      </c>
      <c r="AK5606" s="34" t="s">
        <v>914</v>
      </c>
      <c r="AL5606" s="34" t="s">
        <v>904</v>
      </c>
      <c r="AM5606" s="34"/>
      <c r="AN5606" s="34"/>
      <c r="AO5606" s="34"/>
      <c r="AP5606" s="34"/>
      <c r="AQ5606" s="34">
        <v>0.45600000000000002</v>
      </c>
      <c r="AR5606" s="34">
        <f>SUM(2.7*20)</f>
        <v>54</v>
      </c>
      <c r="AT5606" s="34">
        <v>5.46</v>
      </c>
      <c r="AU5606" s="34">
        <f>SUM(0.64*12.1525)</f>
        <v>7.7776000000000005</v>
      </c>
      <c r="AV5606" s="34">
        <v>49.7</v>
      </c>
      <c r="AW5606" s="34">
        <v>32.200000000000003</v>
      </c>
      <c r="AX5606" s="34" t="s">
        <v>636</v>
      </c>
      <c r="AY5606" s="34" t="s">
        <v>625</v>
      </c>
    </row>
    <row r="5607" spans="2:51" x14ac:dyDescent="0.3">
      <c r="B5607" s="39" t="s">
        <v>538</v>
      </c>
      <c r="D5607" s="1">
        <v>2020</v>
      </c>
      <c r="E5607" s="28">
        <v>10</v>
      </c>
      <c r="G5607" s="39" t="s">
        <v>279</v>
      </c>
      <c r="H5607" s="39" t="s">
        <v>700</v>
      </c>
      <c r="I5607" s="39" t="s">
        <v>541</v>
      </c>
      <c r="J5607" s="1" t="s">
        <v>539</v>
      </c>
      <c r="M5607" s="40" t="s">
        <v>542</v>
      </c>
      <c r="Q5607" s="34" t="s">
        <v>927</v>
      </c>
      <c r="V5607" s="34" t="s">
        <v>844</v>
      </c>
      <c r="W5607" s="34" t="s">
        <v>588</v>
      </c>
      <c r="Y5607" s="34" t="s">
        <v>1286</v>
      </c>
      <c r="Z5607" s="34" t="s">
        <v>217</v>
      </c>
      <c r="AA5607" s="34" t="s">
        <v>919</v>
      </c>
      <c r="AC5607" s="34" t="s">
        <v>810</v>
      </c>
      <c r="AD5607" s="34" t="s">
        <v>872</v>
      </c>
      <c r="AE5607" s="34" t="s">
        <v>614</v>
      </c>
      <c r="AI5607" s="34" t="s">
        <v>896</v>
      </c>
      <c r="AK5607" s="34" t="s">
        <v>853</v>
      </c>
      <c r="AL5607" s="34" t="s">
        <v>905</v>
      </c>
      <c r="AM5607" s="34"/>
      <c r="AN5607" s="34"/>
      <c r="AO5607" s="34"/>
      <c r="AP5607" s="34"/>
      <c r="AQ5607" s="34">
        <v>0.45600000000000002</v>
      </c>
      <c r="AR5607" s="34">
        <f>SUM(3*20)</f>
        <v>60</v>
      </c>
      <c r="AT5607" s="34">
        <f>SUM(0.17*39)</f>
        <v>6.6300000000000008</v>
      </c>
      <c r="AU5607" s="34">
        <f>SUM(0.76*12.1525)</f>
        <v>9.2359000000000009</v>
      </c>
      <c r="AV5607" s="34">
        <v>53.25</v>
      </c>
      <c r="AW5607" s="34">
        <v>36.799999999999997</v>
      </c>
      <c r="AX5607" s="34" t="s">
        <v>884</v>
      </c>
      <c r="AY5607" s="34" t="s">
        <v>562</v>
      </c>
    </row>
    <row r="5608" spans="2:51" x14ac:dyDescent="0.3">
      <c r="B5608" s="39" t="s">
        <v>538</v>
      </c>
      <c r="D5608" s="1">
        <v>2020</v>
      </c>
      <c r="E5608" s="28">
        <v>11</v>
      </c>
      <c r="G5608" s="39" t="s">
        <v>835</v>
      </c>
      <c r="H5608" s="39" t="s">
        <v>700</v>
      </c>
      <c r="I5608" s="39" t="s">
        <v>541</v>
      </c>
      <c r="J5608" s="1" t="s">
        <v>539</v>
      </c>
      <c r="M5608" s="40" t="s">
        <v>544</v>
      </c>
      <c r="Q5608" s="34" t="s">
        <v>928</v>
      </c>
      <c r="V5608" s="34" t="s">
        <v>845</v>
      </c>
      <c r="W5608" s="34" t="s">
        <v>863</v>
      </c>
      <c r="Y5608" s="34" t="s">
        <v>1017</v>
      </c>
      <c r="Z5608" s="34" t="s">
        <v>211</v>
      </c>
      <c r="AA5608" s="34" t="s">
        <v>920</v>
      </c>
      <c r="AC5608" s="34" t="s">
        <v>854</v>
      </c>
      <c r="AD5608" s="34" t="s">
        <v>873</v>
      </c>
      <c r="AE5608" s="34" t="s">
        <v>767</v>
      </c>
      <c r="AI5608" s="34" t="s">
        <v>796</v>
      </c>
      <c r="AK5608" s="34" t="s">
        <v>731</v>
      </c>
      <c r="AL5608" s="34" t="s">
        <v>906</v>
      </c>
      <c r="AM5608" s="34"/>
      <c r="AN5608" s="34"/>
      <c r="AO5608" s="34"/>
      <c r="AP5608" s="34"/>
      <c r="AQ5608" s="34">
        <v>0.45600000000000002</v>
      </c>
      <c r="AR5608" s="34">
        <f>SUM(3.2*20)</f>
        <v>64</v>
      </c>
      <c r="AT5608" s="34">
        <f>SUM(0.19*39)</f>
        <v>7.41</v>
      </c>
      <c r="AU5608" s="34">
        <f>SUM(0.8*12.1525)</f>
        <v>9.7220000000000013</v>
      </c>
      <c r="AV5608" s="34">
        <v>53.25</v>
      </c>
      <c r="AW5608" s="34">
        <f>SUM(1.7*23)</f>
        <v>39.1</v>
      </c>
      <c r="AX5608" s="34" t="s">
        <v>592</v>
      </c>
      <c r="AY5608" s="34" t="s">
        <v>882</v>
      </c>
    </row>
    <row r="5609" spans="2:51" x14ac:dyDescent="0.3">
      <c r="B5609" s="39" t="s">
        <v>538</v>
      </c>
      <c r="D5609" s="1">
        <v>2020</v>
      </c>
      <c r="E5609" s="28">
        <v>12</v>
      </c>
      <c r="G5609" s="39" t="s">
        <v>836</v>
      </c>
      <c r="H5609" s="39" t="s">
        <v>700</v>
      </c>
      <c r="I5609" s="39" t="s">
        <v>541</v>
      </c>
      <c r="J5609" s="1" t="s">
        <v>539</v>
      </c>
      <c r="M5609" s="40" t="s">
        <v>542</v>
      </c>
      <c r="Q5609" s="34" t="s">
        <v>625</v>
      </c>
      <c r="V5609" s="34" t="s">
        <v>844</v>
      </c>
      <c r="W5609" s="34" t="s">
        <v>741</v>
      </c>
      <c r="Y5609" s="34" t="s">
        <v>1016</v>
      </c>
      <c r="Z5609" s="34" t="s">
        <v>213</v>
      </c>
      <c r="AA5609" s="34" t="s">
        <v>821</v>
      </c>
      <c r="AC5609" s="34" t="s">
        <v>855</v>
      </c>
      <c r="AD5609" s="34" t="s">
        <v>708</v>
      </c>
      <c r="AE5609" s="34" t="s">
        <v>879</v>
      </c>
      <c r="AI5609" s="34" t="s">
        <v>897</v>
      </c>
      <c r="AK5609" s="34" t="s">
        <v>915</v>
      </c>
      <c r="AL5609" s="34" t="s">
        <v>907</v>
      </c>
      <c r="AM5609" s="34"/>
      <c r="AN5609" s="34"/>
      <c r="AO5609" s="34"/>
      <c r="AP5609" s="34"/>
      <c r="AQ5609" s="34">
        <v>0.45600000000000002</v>
      </c>
      <c r="AR5609" s="34">
        <v>64</v>
      </c>
      <c r="AT5609" s="34">
        <v>5.85</v>
      </c>
      <c r="AU5609" s="34">
        <f>SUM(0.77*12.1525)</f>
        <v>9.357425000000001</v>
      </c>
      <c r="AV5609" s="34">
        <v>46.15</v>
      </c>
      <c r="AW5609" s="34">
        <v>32.200000000000003</v>
      </c>
      <c r="AX5609" s="34" t="s">
        <v>887</v>
      </c>
      <c r="AY5609" s="34" t="s">
        <v>722</v>
      </c>
    </row>
    <row r="5610" spans="2:51" x14ac:dyDescent="0.3">
      <c r="B5610" s="39" t="s">
        <v>538</v>
      </c>
      <c r="D5610" s="1">
        <v>2021</v>
      </c>
      <c r="E5610" s="28">
        <v>1</v>
      </c>
      <c r="G5610" s="39" t="s">
        <v>301</v>
      </c>
      <c r="H5610" s="39" t="s">
        <v>700</v>
      </c>
      <c r="I5610" s="39" t="s">
        <v>541</v>
      </c>
      <c r="J5610" s="1" t="s">
        <v>539</v>
      </c>
      <c r="M5610" s="40" t="s">
        <v>545</v>
      </c>
      <c r="Q5610" s="34" t="s">
        <v>998</v>
      </c>
      <c r="V5610" s="34" t="s">
        <v>555</v>
      </c>
      <c r="W5610" s="34" t="s">
        <v>944</v>
      </c>
      <c r="Y5610" s="34" t="s">
        <v>1167</v>
      </c>
      <c r="Z5610" s="34" t="s">
        <v>214</v>
      </c>
      <c r="AA5610" s="34" t="s">
        <v>625</v>
      </c>
      <c r="AC5610" s="34" t="s">
        <v>853</v>
      </c>
      <c r="AD5610" s="34" t="s">
        <v>952</v>
      </c>
      <c r="AE5610" s="34" t="s">
        <v>765</v>
      </c>
      <c r="AI5610" s="34" t="s">
        <v>975</v>
      </c>
      <c r="AK5610" s="34" t="s">
        <v>987</v>
      </c>
      <c r="AL5610" s="34" t="s">
        <v>980</v>
      </c>
      <c r="AM5610" s="34"/>
      <c r="AN5610" s="34"/>
      <c r="AO5610" s="34"/>
      <c r="AP5610" s="34"/>
      <c r="AQ5610" s="34">
        <f>SUM(0.022*19)</f>
        <v>0.41799999999999998</v>
      </c>
      <c r="AR5610" s="34">
        <v>58</v>
      </c>
      <c r="AT5610" s="34">
        <v>5.46</v>
      </c>
      <c r="AU5610" s="34">
        <f>SUM(0.66*12.1525)</f>
        <v>8.0206499999999998</v>
      </c>
      <c r="AV5610" s="34">
        <f>SUM(1.2*35.5)</f>
        <v>42.6</v>
      </c>
      <c r="AW5610" s="34">
        <v>29.9</v>
      </c>
      <c r="AX5610" s="34" t="s">
        <v>968</v>
      </c>
      <c r="AY5610" s="34" t="s">
        <v>557</v>
      </c>
    </row>
    <row r="5611" spans="2:51" x14ac:dyDescent="0.3">
      <c r="B5611" s="39" t="s">
        <v>538</v>
      </c>
      <c r="D5611" s="1">
        <v>2021</v>
      </c>
      <c r="E5611" s="28">
        <v>2</v>
      </c>
      <c r="G5611" s="39" t="s">
        <v>297</v>
      </c>
      <c r="H5611" s="39" t="s">
        <v>700</v>
      </c>
      <c r="I5611" s="39" t="s">
        <v>541</v>
      </c>
      <c r="J5611" s="1" t="s">
        <v>539</v>
      </c>
      <c r="M5611" s="40" t="s">
        <v>545</v>
      </c>
      <c r="Q5611" s="34" t="s">
        <v>827</v>
      </c>
      <c r="V5611" s="34" t="s">
        <v>842</v>
      </c>
      <c r="W5611" s="34" t="s">
        <v>758</v>
      </c>
      <c r="Y5611" s="34" t="s">
        <v>1095</v>
      </c>
      <c r="Z5611" s="34" t="s">
        <v>218</v>
      </c>
      <c r="AA5611" s="34" t="s">
        <v>558</v>
      </c>
      <c r="AC5611" s="34" t="s">
        <v>936</v>
      </c>
      <c r="AD5611" s="34" t="s">
        <v>953</v>
      </c>
      <c r="AE5611" s="34" t="s">
        <v>962</v>
      </c>
      <c r="AI5611" s="34" t="s">
        <v>976</v>
      </c>
      <c r="AK5611" s="34" t="s">
        <v>988</v>
      </c>
      <c r="AL5611" s="34" t="s">
        <v>981</v>
      </c>
      <c r="AM5611" s="34"/>
      <c r="AN5611" s="34"/>
      <c r="AO5611" s="34"/>
      <c r="AP5611" s="34"/>
      <c r="AQ5611" s="34">
        <v>0.41799999999999998</v>
      </c>
      <c r="AR5611" s="34">
        <f>SUM(3*20)</f>
        <v>60</v>
      </c>
      <c r="AT5611" s="34">
        <v>5.46</v>
      </c>
      <c r="AU5611" s="34">
        <f>SUM(0.65*12.1525)</f>
        <v>7.8991250000000006</v>
      </c>
      <c r="AV5611" s="34">
        <v>46.15</v>
      </c>
      <c r="AW5611" s="34">
        <v>32.200000000000003</v>
      </c>
      <c r="AX5611" s="34" t="s">
        <v>969</v>
      </c>
      <c r="AY5611" s="34" t="s">
        <v>628</v>
      </c>
    </row>
    <row r="5612" spans="2:51" x14ac:dyDescent="0.3">
      <c r="B5612" s="39" t="s">
        <v>538</v>
      </c>
      <c r="D5612" s="1">
        <v>2021</v>
      </c>
      <c r="E5612" s="28">
        <v>3</v>
      </c>
      <c r="G5612" s="39" t="s">
        <v>302</v>
      </c>
      <c r="H5612" s="39" t="s">
        <v>700</v>
      </c>
      <c r="I5612" s="39" t="s">
        <v>541</v>
      </c>
      <c r="J5612" s="1" t="s">
        <v>539</v>
      </c>
      <c r="M5612" s="40" t="s">
        <v>542</v>
      </c>
      <c r="Q5612" s="34" t="s">
        <v>966</v>
      </c>
      <c r="V5612" s="34" t="s">
        <v>551</v>
      </c>
      <c r="W5612" s="34" t="s">
        <v>758</v>
      </c>
      <c r="Y5612" s="34" t="s">
        <v>1283</v>
      </c>
      <c r="Z5612" s="34" t="s">
        <v>213</v>
      </c>
      <c r="AA5612" s="34" t="s">
        <v>880</v>
      </c>
      <c r="AC5612" s="34" t="s">
        <v>937</v>
      </c>
      <c r="AD5612" s="34" t="s">
        <v>954</v>
      </c>
      <c r="AE5612" s="34" t="s">
        <v>962</v>
      </c>
      <c r="AI5612" s="34" t="s">
        <v>975</v>
      </c>
      <c r="AK5612" s="34" t="s">
        <v>989</v>
      </c>
      <c r="AL5612" s="34" t="s">
        <v>982</v>
      </c>
      <c r="AM5612" s="34"/>
      <c r="AN5612" s="34"/>
      <c r="AO5612" s="34"/>
      <c r="AP5612" s="34"/>
      <c r="AQ5612" s="34">
        <f>SUM(0.021*19)</f>
        <v>0.39900000000000002</v>
      </c>
      <c r="AR5612" s="34">
        <v>56</v>
      </c>
      <c r="AT5612" s="34">
        <f>SUM(0.12*39)</f>
        <v>4.68</v>
      </c>
      <c r="AU5612" s="34">
        <f>SUM(0.61*12.1525)</f>
        <v>7.4130249999999993</v>
      </c>
      <c r="AV5612" s="34">
        <v>42.6</v>
      </c>
      <c r="AW5612" s="34">
        <v>29.9</v>
      </c>
      <c r="AX5612" s="34" t="s">
        <v>970</v>
      </c>
      <c r="AY5612" s="34" t="s">
        <v>561</v>
      </c>
    </row>
    <row r="5613" spans="2:51" x14ac:dyDescent="0.3">
      <c r="B5613" s="39" t="s">
        <v>538</v>
      </c>
      <c r="D5613" s="1">
        <v>2021</v>
      </c>
      <c r="E5613" s="28">
        <v>4</v>
      </c>
      <c r="G5613" s="39" t="s">
        <v>303</v>
      </c>
      <c r="H5613" s="39" t="s">
        <v>700</v>
      </c>
      <c r="I5613" s="39" t="s">
        <v>541</v>
      </c>
      <c r="J5613" s="1" t="s">
        <v>539</v>
      </c>
      <c r="M5613" s="40" t="s">
        <v>544</v>
      </c>
      <c r="Q5613" s="34" t="s">
        <v>834</v>
      </c>
      <c r="V5613" s="34" t="s">
        <v>551</v>
      </c>
      <c r="W5613" s="34" t="s">
        <v>945</v>
      </c>
      <c r="Y5613" s="34" t="s">
        <v>1235</v>
      </c>
      <c r="Z5613" s="34" t="s">
        <v>212</v>
      </c>
      <c r="AA5613" s="34" t="s">
        <v>675</v>
      </c>
      <c r="AC5613" s="34" t="s">
        <v>847</v>
      </c>
      <c r="AD5613" s="34" t="s">
        <v>955</v>
      </c>
      <c r="AE5613" s="34" t="s">
        <v>963</v>
      </c>
      <c r="AI5613" s="34" t="s">
        <v>977</v>
      </c>
      <c r="AK5613" s="34" t="s">
        <v>665</v>
      </c>
      <c r="AL5613" s="34" t="s">
        <v>651</v>
      </c>
      <c r="AM5613" s="34"/>
      <c r="AN5613" s="34"/>
      <c r="AO5613" s="34"/>
      <c r="AP5613" s="34"/>
      <c r="AQ5613" s="34">
        <v>0.41799999999999998</v>
      </c>
      <c r="AR5613" s="34">
        <v>56</v>
      </c>
      <c r="AT5613" s="34">
        <f>SUM(0.13*39)</f>
        <v>5.07</v>
      </c>
      <c r="AU5613" s="34">
        <f>SUM(0.65*12.1525)</f>
        <v>7.8991250000000006</v>
      </c>
      <c r="AV5613" s="34">
        <v>42.6</v>
      </c>
      <c r="AW5613" s="34">
        <v>29.9</v>
      </c>
      <c r="AX5613" s="34" t="s">
        <v>971</v>
      </c>
      <c r="AY5613" s="34" t="s">
        <v>966</v>
      </c>
    </row>
    <row r="5614" spans="2:51" x14ac:dyDescent="0.3">
      <c r="B5614" s="39" t="s">
        <v>538</v>
      </c>
      <c r="D5614" s="1">
        <v>2021</v>
      </c>
      <c r="E5614" s="28">
        <v>5</v>
      </c>
      <c r="G5614" s="39" t="s">
        <v>304</v>
      </c>
      <c r="H5614" s="39" t="s">
        <v>700</v>
      </c>
      <c r="I5614" s="39" t="s">
        <v>541</v>
      </c>
      <c r="J5614" s="1" t="s">
        <v>539</v>
      </c>
      <c r="M5614" s="40" t="s">
        <v>544</v>
      </c>
      <c r="Q5614" s="34" t="s">
        <v>791</v>
      </c>
      <c r="V5614" s="34" t="s">
        <v>839</v>
      </c>
      <c r="W5614" s="34" t="s">
        <v>946</v>
      </c>
      <c r="Y5614" s="34" t="s">
        <v>1284</v>
      </c>
      <c r="Z5614" s="34" t="s">
        <v>213</v>
      </c>
      <c r="AA5614" s="34" t="s">
        <v>223</v>
      </c>
      <c r="AC5614" s="34" t="s">
        <v>851</v>
      </c>
      <c r="AD5614" s="34" t="s">
        <v>956</v>
      </c>
      <c r="AE5614" s="34" t="s">
        <v>765</v>
      </c>
      <c r="AI5614" s="34" t="s">
        <v>894</v>
      </c>
      <c r="AK5614" s="34" t="s">
        <v>990</v>
      </c>
      <c r="AL5614" s="34" t="s">
        <v>983</v>
      </c>
      <c r="AM5614" s="34"/>
      <c r="AN5614" s="34"/>
      <c r="AO5614" s="34"/>
      <c r="AP5614" s="34"/>
      <c r="AQ5614" s="34">
        <f>SUM(0.024*19)</f>
        <v>0.45600000000000002</v>
      </c>
      <c r="AR5614" s="34">
        <v>60</v>
      </c>
      <c r="AT5614" s="34">
        <v>5.46</v>
      </c>
      <c r="AU5614" s="34">
        <f>SUM(0.69*12.1525)</f>
        <v>8.3852249999999984</v>
      </c>
      <c r="AV5614" s="34">
        <v>46.15</v>
      </c>
      <c r="AW5614" s="34">
        <v>32.200000000000003</v>
      </c>
      <c r="AX5614" s="34" t="s">
        <v>783</v>
      </c>
      <c r="AY5614" s="34" t="s">
        <v>565</v>
      </c>
    </row>
    <row r="5615" spans="2:51" x14ac:dyDescent="0.3">
      <c r="B5615" s="39" t="s">
        <v>538</v>
      </c>
      <c r="D5615" s="1">
        <v>2021</v>
      </c>
      <c r="E5615" s="28">
        <v>6</v>
      </c>
      <c r="G5615" s="39" t="s">
        <v>305</v>
      </c>
      <c r="H5615" s="39" t="s">
        <v>700</v>
      </c>
      <c r="I5615" s="39" t="s">
        <v>541</v>
      </c>
      <c r="J5615" s="1" t="s">
        <v>539</v>
      </c>
      <c r="M5615" s="40" t="s">
        <v>542</v>
      </c>
      <c r="Q5615" s="34" t="s">
        <v>999</v>
      </c>
      <c r="V5615" s="34" t="s">
        <v>931</v>
      </c>
      <c r="W5615" s="34" t="s">
        <v>947</v>
      </c>
      <c r="Y5615" s="34" t="s">
        <v>1285</v>
      </c>
      <c r="Z5615" s="34" t="s">
        <v>218</v>
      </c>
      <c r="AA5615" s="34" t="s">
        <v>928</v>
      </c>
      <c r="AC5615" s="34" t="s">
        <v>938</v>
      </c>
      <c r="AD5615" s="34" t="s">
        <v>957</v>
      </c>
      <c r="AE5615" s="34" t="s">
        <v>619</v>
      </c>
      <c r="AI5615" s="34" t="s">
        <v>978</v>
      </c>
      <c r="AK5615" s="34" t="s">
        <v>991</v>
      </c>
      <c r="AL5615" s="34" t="s">
        <v>984</v>
      </c>
      <c r="AM5615" s="34"/>
      <c r="AN5615" s="34"/>
      <c r="AO5615" s="34"/>
      <c r="AP5615" s="34"/>
      <c r="AQ5615" s="34">
        <f>SUM(0.022*19)</f>
        <v>0.41799999999999998</v>
      </c>
      <c r="AR5615" s="34">
        <v>56</v>
      </c>
      <c r="AT5615" s="34">
        <v>5.07</v>
      </c>
      <c r="AU5615" s="34">
        <f>SUM(0.64*12.1525)</f>
        <v>7.7776000000000005</v>
      </c>
      <c r="AV5615" s="34">
        <v>42.6</v>
      </c>
      <c r="AW5615" s="34">
        <v>29.9</v>
      </c>
      <c r="AX5615" s="34" t="s">
        <v>786</v>
      </c>
      <c r="AY5615" s="34" t="s">
        <v>723</v>
      </c>
    </row>
    <row r="5616" spans="2:51" x14ac:dyDescent="0.3">
      <c r="B5616" s="39" t="s">
        <v>538</v>
      </c>
      <c r="D5616" s="1">
        <v>2021</v>
      </c>
      <c r="E5616" s="28">
        <v>7</v>
      </c>
      <c r="G5616" s="39" t="s">
        <v>306</v>
      </c>
      <c r="H5616" s="39" t="s">
        <v>700</v>
      </c>
      <c r="I5616" s="39" t="s">
        <v>541</v>
      </c>
      <c r="J5616" s="1" t="s">
        <v>539</v>
      </c>
      <c r="M5616" s="40" t="s">
        <v>545</v>
      </c>
      <c r="Q5616" s="34" t="s">
        <v>1000</v>
      </c>
      <c r="V5616" s="34" t="s">
        <v>932</v>
      </c>
      <c r="W5616" s="34" t="s">
        <v>948</v>
      </c>
      <c r="Y5616" s="34" t="s">
        <v>1286</v>
      </c>
      <c r="Z5616" s="34" t="s">
        <v>825</v>
      </c>
      <c r="AA5616" s="34" t="s">
        <v>995</v>
      </c>
      <c r="AC5616" s="34" t="s">
        <v>939</v>
      </c>
      <c r="AD5616" s="34" t="s">
        <v>958</v>
      </c>
      <c r="AE5616" s="34" t="s">
        <v>767</v>
      </c>
      <c r="AI5616" s="34" t="s">
        <v>896</v>
      </c>
      <c r="AK5616" s="34" t="s">
        <v>992</v>
      </c>
      <c r="AL5616" s="34" t="s">
        <v>654</v>
      </c>
      <c r="AM5616" s="34"/>
      <c r="AN5616" s="34"/>
      <c r="AO5616" s="34"/>
      <c r="AP5616" s="34"/>
      <c r="AQ5616" s="34">
        <f>SUM(0.023*19)</f>
        <v>0.437</v>
      </c>
      <c r="AR5616" s="34">
        <v>58</v>
      </c>
      <c r="AT5616" s="34">
        <v>5.46</v>
      </c>
      <c r="AU5616" s="34">
        <f>SUM(0.62*12.1525)</f>
        <v>7.5345499999999994</v>
      </c>
      <c r="AV5616" s="34">
        <v>42.6</v>
      </c>
      <c r="AW5616" s="34">
        <v>29.9</v>
      </c>
      <c r="AX5616" s="34" t="s">
        <v>972</v>
      </c>
      <c r="AY5616" s="34" t="s">
        <v>674</v>
      </c>
    </row>
    <row r="5617" spans="2:51" x14ac:dyDescent="0.3">
      <c r="B5617" s="39" t="s">
        <v>538</v>
      </c>
      <c r="D5617" s="1">
        <v>2021</v>
      </c>
      <c r="E5617" s="28">
        <v>8</v>
      </c>
      <c r="G5617" s="39" t="s">
        <v>307</v>
      </c>
      <c r="H5617" s="39" t="s">
        <v>700</v>
      </c>
      <c r="I5617" s="39" t="s">
        <v>541</v>
      </c>
      <c r="J5617" s="1" t="s">
        <v>539</v>
      </c>
      <c r="M5617" s="40" t="s">
        <v>542</v>
      </c>
      <c r="Q5617" s="34" t="s">
        <v>1001</v>
      </c>
      <c r="V5617" s="34" t="s">
        <v>933</v>
      </c>
      <c r="W5617" s="34" t="s">
        <v>945</v>
      </c>
      <c r="Y5617" s="34" t="s">
        <v>1095</v>
      </c>
      <c r="Z5617" s="34" t="s">
        <v>212</v>
      </c>
      <c r="AA5617" s="34" t="s">
        <v>677</v>
      </c>
      <c r="AC5617" s="34" t="s">
        <v>852</v>
      </c>
      <c r="AD5617" s="34" t="s">
        <v>668</v>
      </c>
      <c r="AE5617" s="34" t="s">
        <v>621</v>
      </c>
      <c r="AI5617" s="34" t="s">
        <v>978</v>
      </c>
      <c r="AK5617" s="34" t="s">
        <v>947</v>
      </c>
      <c r="AL5617" s="34" t="s">
        <v>985</v>
      </c>
      <c r="AM5617" s="34"/>
      <c r="AN5617" s="34"/>
      <c r="AO5617" s="34"/>
      <c r="AP5617" s="34"/>
      <c r="AQ5617" s="34">
        <v>0.437</v>
      </c>
      <c r="AR5617" s="34">
        <v>56</v>
      </c>
      <c r="AT5617" s="34">
        <f>SUM(0.15*39)</f>
        <v>5.85</v>
      </c>
      <c r="AU5617" s="34">
        <f>SUM(0.65*12.1525)</f>
        <v>7.8991250000000006</v>
      </c>
      <c r="AV5617" s="34">
        <v>46.15</v>
      </c>
      <c r="AW5617" s="34">
        <v>32.200000000000003</v>
      </c>
      <c r="AX5617" s="34" t="s">
        <v>972</v>
      </c>
      <c r="AY5617" s="34" t="s">
        <v>880</v>
      </c>
    </row>
    <row r="5618" spans="2:51" x14ac:dyDescent="0.3">
      <c r="B5618" s="39" t="s">
        <v>538</v>
      </c>
      <c r="D5618" s="1">
        <v>2021</v>
      </c>
      <c r="E5618" s="28">
        <v>9</v>
      </c>
      <c r="G5618" s="39" t="s">
        <v>308</v>
      </c>
      <c r="H5618" s="39" t="s">
        <v>700</v>
      </c>
      <c r="I5618" s="39" t="s">
        <v>541</v>
      </c>
      <c r="J5618" s="1" t="s">
        <v>539</v>
      </c>
      <c r="M5618" s="40" t="s">
        <v>545</v>
      </c>
      <c r="Q5618" s="34" t="s">
        <v>979</v>
      </c>
      <c r="V5618" s="34" t="s">
        <v>934</v>
      </c>
      <c r="W5618" s="34" t="s">
        <v>703</v>
      </c>
      <c r="Y5618" s="34" t="s">
        <v>1012</v>
      </c>
      <c r="Z5618" s="34" t="s">
        <v>212</v>
      </c>
      <c r="AA5618" s="34" t="s">
        <v>996</v>
      </c>
      <c r="AC5618" s="34" t="s">
        <v>940</v>
      </c>
      <c r="AD5618" s="34" t="s">
        <v>959</v>
      </c>
      <c r="AE5618" s="34" t="s">
        <v>879</v>
      </c>
      <c r="AI5618" s="34" t="s">
        <v>979</v>
      </c>
      <c r="AK5618" s="34" t="s">
        <v>993</v>
      </c>
      <c r="AL5618" s="34" t="s">
        <v>986</v>
      </c>
      <c r="AM5618" s="34"/>
      <c r="AN5618" s="34"/>
      <c r="AO5618" s="34"/>
      <c r="AP5618" s="34"/>
      <c r="AQ5618" s="34">
        <v>0.437</v>
      </c>
      <c r="AR5618" s="34">
        <v>58</v>
      </c>
      <c r="AT5618" s="34">
        <f>SUM(0.17*39)</f>
        <v>6.6300000000000008</v>
      </c>
      <c r="AU5618" s="34">
        <f>SUM(0.7*12.1525)</f>
        <v>8.5067499999999985</v>
      </c>
      <c r="AV5618" s="34">
        <v>49.7</v>
      </c>
      <c r="AW5618" s="34">
        <v>34.5</v>
      </c>
      <c r="AX5618" s="34" t="s">
        <v>973</v>
      </c>
      <c r="AY5618" s="34" t="s">
        <v>967</v>
      </c>
    </row>
    <row r="5619" spans="2:51" x14ac:dyDescent="0.3">
      <c r="B5619" s="39" t="s">
        <v>538</v>
      </c>
      <c r="D5619" s="1">
        <v>2021</v>
      </c>
      <c r="E5619" s="28">
        <v>10</v>
      </c>
      <c r="G5619" s="39" t="s">
        <v>309</v>
      </c>
      <c r="H5619" s="39" t="s">
        <v>700</v>
      </c>
      <c r="I5619" s="39" t="s">
        <v>541</v>
      </c>
      <c r="J5619" s="1" t="s">
        <v>539</v>
      </c>
      <c r="M5619" s="40" t="s">
        <v>542</v>
      </c>
      <c r="Q5619" s="34" t="s">
        <v>916</v>
      </c>
      <c r="V5619" s="34" t="s">
        <v>935</v>
      </c>
      <c r="W5619" s="34" t="s">
        <v>949</v>
      </c>
      <c r="Y5619" s="34" t="s">
        <v>1287</v>
      </c>
      <c r="Z5619" s="34" t="s">
        <v>212</v>
      </c>
      <c r="AA5619" s="34" t="s">
        <v>681</v>
      </c>
      <c r="AC5619" s="34" t="s">
        <v>941</v>
      </c>
      <c r="AD5619" s="34" t="s">
        <v>669</v>
      </c>
      <c r="AE5619" s="34" t="s">
        <v>964</v>
      </c>
      <c r="AI5619" s="34" t="s">
        <v>789</v>
      </c>
      <c r="AK5619" s="34" t="s">
        <v>994</v>
      </c>
      <c r="AL5619" s="34" t="s">
        <v>650</v>
      </c>
      <c r="AM5619" s="34"/>
      <c r="AN5619" s="34"/>
      <c r="AO5619" s="34"/>
      <c r="AP5619" s="34"/>
      <c r="AQ5619" s="34">
        <v>0.41799999999999998</v>
      </c>
      <c r="AR5619" s="34">
        <v>60</v>
      </c>
      <c r="AT5619" s="34">
        <v>6.63</v>
      </c>
      <c r="AU5619" s="34">
        <f>SUM(0.69*12.1525)</f>
        <v>8.3852249999999984</v>
      </c>
      <c r="AV5619" s="34">
        <v>49.7</v>
      </c>
      <c r="AW5619" s="34">
        <v>34.5</v>
      </c>
      <c r="AX5619" s="34" t="s">
        <v>636</v>
      </c>
      <c r="AY5619" s="34" t="s">
        <v>560</v>
      </c>
    </row>
    <row r="5620" spans="2:51" x14ac:dyDescent="0.3">
      <c r="B5620" s="39" t="s">
        <v>538</v>
      </c>
      <c r="D5620" s="1">
        <v>2021</v>
      </c>
      <c r="E5620" s="28">
        <v>11</v>
      </c>
      <c r="G5620" s="39" t="s">
        <v>929</v>
      </c>
      <c r="H5620" s="39" t="s">
        <v>700</v>
      </c>
      <c r="I5620" s="39" t="s">
        <v>541</v>
      </c>
      <c r="J5620" s="1" t="s">
        <v>539</v>
      </c>
      <c r="M5620" s="40" t="s">
        <v>545</v>
      </c>
      <c r="Q5620" s="34" t="s">
        <v>1002</v>
      </c>
      <c r="V5620" s="34" t="s">
        <v>932</v>
      </c>
      <c r="W5620" s="34" t="s">
        <v>950</v>
      </c>
      <c r="Y5620" s="34" t="s">
        <v>1288</v>
      </c>
      <c r="Z5620" s="34" t="s">
        <v>213</v>
      </c>
      <c r="AA5620" s="34" t="s">
        <v>223</v>
      </c>
      <c r="AC5620" s="34" t="s">
        <v>942</v>
      </c>
      <c r="AD5620" s="34" t="s">
        <v>960</v>
      </c>
      <c r="AE5620" s="34" t="s">
        <v>875</v>
      </c>
      <c r="AI5620" s="34" t="s">
        <v>641</v>
      </c>
      <c r="AK5620" s="34" t="s">
        <v>908</v>
      </c>
      <c r="AL5620" s="34" t="s">
        <v>984</v>
      </c>
      <c r="AM5620" s="34"/>
      <c r="AN5620" s="34"/>
      <c r="AO5620" s="34"/>
      <c r="AP5620" s="34"/>
      <c r="AQ5620" s="34">
        <v>0.437</v>
      </c>
      <c r="AR5620" s="34">
        <v>60</v>
      </c>
      <c r="AT5620" s="34">
        <v>5.85</v>
      </c>
      <c r="AU5620" s="34">
        <f>SUM(0.7*12.1525)</f>
        <v>8.5067499999999985</v>
      </c>
      <c r="AV5620" s="34">
        <v>46.15</v>
      </c>
      <c r="AW5620" s="34">
        <v>32.200000000000003</v>
      </c>
      <c r="AX5620" s="34" t="s">
        <v>974</v>
      </c>
      <c r="AY5620" s="34" t="s">
        <v>629</v>
      </c>
    </row>
    <row r="5621" spans="2:51" x14ac:dyDescent="0.3">
      <c r="B5621" s="39" t="s">
        <v>538</v>
      </c>
      <c r="D5621" s="1">
        <v>2021</v>
      </c>
      <c r="E5621" s="28">
        <v>12</v>
      </c>
      <c r="G5621" s="39" t="s">
        <v>930</v>
      </c>
      <c r="H5621" s="39" t="s">
        <v>700</v>
      </c>
      <c r="I5621" s="39" t="s">
        <v>541</v>
      </c>
      <c r="J5621" s="1" t="s">
        <v>539</v>
      </c>
      <c r="M5621" s="40" t="s">
        <v>542</v>
      </c>
      <c r="Q5621" s="34" t="s">
        <v>1003</v>
      </c>
      <c r="V5621" s="34" t="s">
        <v>845</v>
      </c>
      <c r="W5621" s="34" t="s">
        <v>951</v>
      </c>
      <c r="Y5621" s="34" t="s">
        <v>1288</v>
      </c>
      <c r="Z5621" s="34" t="s">
        <v>217</v>
      </c>
      <c r="AA5621" s="34" t="s">
        <v>997</v>
      </c>
      <c r="AC5621" s="34" t="s">
        <v>943</v>
      </c>
      <c r="AD5621" s="34" t="s">
        <v>961</v>
      </c>
      <c r="AE5621" s="34" t="s">
        <v>965</v>
      </c>
      <c r="AI5621" s="34" t="s">
        <v>791</v>
      </c>
      <c r="AK5621" s="34" t="s">
        <v>810</v>
      </c>
      <c r="AL5621" s="34" t="s">
        <v>652</v>
      </c>
      <c r="AM5621" s="34"/>
      <c r="AN5621" s="34"/>
      <c r="AO5621" s="34"/>
      <c r="AP5621" s="34"/>
      <c r="AQ5621" s="34">
        <v>0.437</v>
      </c>
      <c r="AR5621" s="34">
        <v>60</v>
      </c>
      <c r="AT5621" s="34">
        <v>5.85</v>
      </c>
      <c r="AU5621" s="34">
        <f>SUM(0.69*12.1525)</f>
        <v>8.3852249999999984</v>
      </c>
      <c r="AV5621" s="34">
        <v>49.7</v>
      </c>
      <c r="AW5621" s="34">
        <v>32.200000000000003</v>
      </c>
      <c r="AX5621" s="34" t="s">
        <v>884</v>
      </c>
      <c r="AY5621" s="34" t="s">
        <v>966</v>
      </c>
    </row>
    <row r="5622" spans="2:51" x14ac:dyDescent="0.3">
      <c r="B5622" s="39" t="s">
        <v>538</v>
      </c>
      <c r="D5622" s="1">
        <v>2018</v>
      </c>
      <c r="E5622" s="28">
        <v>1</v>
      </c>
      <c r="G5622" s="39" t="s">
        <v>526</v>
      </c>
      <c r="H5622" s="39" t="s">
        <v>1005</v>
      </c>
      <c r="I5622" s="39" t="s">
        <v>1006</v>
      </c>
      <c r="J5622" s="1" t="s">
        <v>186</v>
      </c>
      <c r="K5622" s="29" t="s">
        <v>257</v>
      </c>
      <c r="L5622" s="1" t="s">
        <v>1004</v>
      </c>
      <c r="M5622" s="40" t="s">
        <v>542</v>
      </c>
      <c r="Q5622" s="34" t="s">
        <v>1084</v>
      </c>
      <c r="V5622" s="34" t="s">
        <v>1019</v>
      </c>
      <c r="W5622" s="34" t="s">
        <v>637</v>
      </c>
      <c r="Y5622" s="34" t="s">
        <v>1008</v>
      </c>
      <c r="Z5622" s="34" t="s">
        <v>1039</v>
      </c>
      <c r="AA5622" s="34" t="s">
        <v>1081</v>
      </c>
      <c r="AB5622" s="34" t="s">
        <v>266</v>
      </c>
      <c r="AC5622" s="34" t="s">
        <v>1030</v>
      </c>
      <c r="AD5622" s="34" t="s">
        <v>1042</v>
      </c>
      <c r="AE5622" s="34" t="s">
        <v>1045</v>
      </c>
      <c r="AI5622" s="34" t="s">
        <v>888</v>
      </c>
      <c r="AJ5622" s="34" t="s">
        <v>1024</v>
      </c>
      <c r="AK5622" s="34" t="s">
        <v>1071</v>
      </c>
      <c r="AL5622" s="34" t="s">
        <v>1060</v>
      </c>
      <c r="AM5622" s="34"/>
      <c r="AN5622" s="34"/>
      <c r="AO5622" s="34"/>
      <c r="AP5622" s="34"/>
      <c r="AQ5622" s="34">
        <f>SUM(0.02*19)</f>
        <v>0.38</v>
      </c>
      <c r="AR5622" s="34">
        <v>52</v>
      </c>
      <c r="AT5622" s="34">
        <v>5.85</v>
      </c>
      <c r="AU5622" s="34">
        <f>SUM(0.62*12.1525)</f>
        <v>7.5345499999999994</v>
      </c>
      <c r="AV5622" s="34">
        <v>42.6</v>
      </c>
      <c r="AW5622" s="34">
        <v>29.9</v>
      </c>
      <c r="AX5622" s="34" t="s">
        <v>786</v>
      </c>
      <c r="AY5622" s="34" t="s">
        <v>1002</v>
      </c>
    </row>
    <row r="5623" spans="2:51" x14ac:dyDescent="0.3">
      <c r="B5623" s="39" t="s">
        <v>538</v>
      </c>
      <c r="D5623" s="1">
        <v>2018</v>
      </c>
      <c r="E5623" s="28">
        <v>2</v>
      </c>
      <c r="G5623" s="39" t="s">
        <v>527</v>
      </c>
      <c r="H5623" s="39" t="s">
        <v>1005</v>
      </c>
      <c r="I5623" s="39" t="s">
        <v>1006</v>
      </c>
      <c r="J5623" s="1" t="s">
        <v>186</v>
      </c>
      <c r="K5623" s="29" t="s">
        <v>257</v>
      </c>
      <c r="L5623" s="1" t="s">
        <v>1004</v>
      </c>
      <c r="M5623" s="40" t="s">
        <v>543</v>
      </c>
      <c r="Q5623" s="34" t="s">
        <v>683</v>
      </c>
      <c r="V5623" s="34" t="s">
        <v>714</v>
      </c>
      <c r="W5623" s="34" t="s">
        <v>946</v>
      </c>
      <c r="Y5623" s="34" t="s">
        <v>1009</v>
      </c>
      <c r="Z5623" s="34" t="s">
        <v>633</v>
      </c>
      <c r="AA5623" s="34" t="s">
        <v>1082</v>
      </c>
      <c r="AB5623" s="34" t="s">
        <v>266</v>
      </c>
      <c r="AC5623" s="34" t="s">
        <v>1031</v>
      </c>
      <c r="AD5623" s="34" t="s">
        <v>1043</v>
      </c>
      <c r="AE5623" s="34" t="s">
        <v>1046</v>
      </c>
      <c r="AI5623" s="34" t="s">
        <v>1056</v>
      </c>
      <c r="AJ5623" s="34" t="s">
        <v>896</v>
      </c>
      <c r="AK5623" s="34" t="s">
        <v>1072</v>
      </c>
      <c r="AL5623" s="34" t="s">
        <v>1061</v>
      </c>
      <c r="AM5623" s="34"/>
      <c r="AN5623" s="34"/>
      <c r="AO5623" s="34"/>
      <c r="AP5623" s="34"/>
      <c r="AQ5623" s="34">
        <f>SUM(0.021*19)</f>
        <v>0.39900000000000002</v>
      </c>
      <c r="AR5623" s="34">
        <f>SUM(2.4*20)</f>
        <v>48</v>
      </c>
      <c r="AT5623" s="34">
        <v>5.07</v>
      </c>
      <c r="AU5623" s="34">
        <f>SUM(0.57*12.1525)</f>
        <v>6.9269249999999989</v>
      </c>
      <c r="AV5623" s="34">
        <v>42.6</v>
      </c>
      <c r="AW5623" s="34">
        <f>SUM(1.2*23)</f>
        <v>27.599999999999998</v>
      </c>
      <c r="AX5623" s="34" t="s">
        <v>630</v>
      </c>
      <c r="AY5623" s="34" t="s">
        <v>967</v>
      </c>
    </row>
    <row r="5624" spans="2:51" x14ac:dyDescent="0.3">
      <c r="B5624" s="39" t="s">
        <v>538</v>
      </c>
      <c r="D5624" s="1">
        <v>2018</v>
      </c>
      <c r="E5624" s="28">
        <v>3</v>
      </c>
      <c r="G5624" s="39" t="s">
        <v>528</v>
      </c>
      <c r="H5624" s="39" t="s">
        <v>1005</v>
      </c>
      <c r="I5624" s="39" t="s">
        <v>1006</v>
      </c>
      <c r="J5624" s="1" t="s">
        <v>186</v>
      </c>
      <c r="K5624" s="29" t="s">
        <v>257</v>
      </c>
      <c r="L5624" s="1" t="s">
        <v>1004</v>
      </c>
      <c r="M5624" s="40" t="s">
        <v>543</v>
      </c>
      <c r="Q5624" s="34" t="s">
        <v>584</v>
      </c>
      <c r="V5624" s="34" t="s">
        <v>550</v>
      </c>
      <c r="W5624" s="34" t="s">
        <v>1039</v>
      </c>
      <c r="Y5624" s="34" t="s">
        <v>1010</v>
      </c>
      <c r="Z5624" s="34" t="s">
        <v>822</v>
      </c>
      <c r="AA5624" s="34" t="s">
        <v>1023</v>
      </c>
      <c r="AB5624" s="34" t="s">
        <v>266</v>
      </c>
      <c r="AC5624" s="34" t="s">
        <v>1032</v>
      </c>
      <c r="AD5624" s="34" t="s">
        <v>710</v>
      </c>
      <c r="AE5624" s="34" t="s">
        <v>1047</v>
      </c>
      <c r="AI5624" s="34" t="s">
        <v>640</v>
      </c>
      <c r="AJ5624" s="34" t="s">
        <v>894</v>
      </c>
      <c r="AK5624" s="34" t="s">
        <v>1073</v>
      </c>
      <c r="AL5624" s="34" t="s">
        <v>986</v>
      </c>
      <c r="AM5624" s="34"/>
      <c r="AN5624" s="34"/>
      <c r="AO5624" s="34"/>
      <c r="AP5624" s="34"/>
      <c r="AQ5624" s="34">
        <v>0.39900000000000002</v>
      </c>
      <c r="AR5624" s="34">
        <v>50</v>
      </c>
      <c r="AT5624" s="34">
        <v>5.46</v>
      </c>
      <c r="AU5624" s="34">
        <f>SUM(0.57*12.1525)</f>
        <v>6.9269249999999989</v>
      </c>
      <c r="AV5624" s="34">
        <v>46.15</v>
      </c>
      <c r="AW5624" s="34">
        <v>29.9</v>
      </c>
      <c r="AX5624" s="34" t="s">
        <v>972</v>
      </c>
      <c r="AY5624" s="34" t="s">
        <v>778</v>
      </c>
    </row>
    <row r="5625" spans="2:51" x14ac:dyDescent="0.3">
      <c r="B5625" s="39" t="s">
        <v>538</v>
      </c>
      <c r="D5625" s="1">
        <v>2018</v>
      </c>
      <c r="E5625" s="28">
        <v>4</v>
      </c>
      <c r="G5625" s="39" t="s">
        <v>529</v>
      </c>
      <c r="H5625" s="39" t="s">
        <v>1005</v>
      </c>
      <c r="I5625" s="39" t="s">
        <v>1006</v>
      </c>
      <c r="J5625" s="1" t="s">
        <v>186</v>
      </c>
      <c r="K5625" s="29" t="s">
        <v>257</v>
      </c>
      <c r="L5625" s="1" t="s">
        <v>1004</v>
      </c>
      <c r="M5625" s="40" t="s">
        <v>567</v>
      </c>
      <c r="Q5625" s="34" t="s">
        <v>1085</v>
      </c>
      <c r="V5625" s="34" t="s">
        <v>1020</v>
      </c>
      <c r="W5625" s="34" t="s">
        <v>826</v>
      </c>
      <c r="Y5625" s="34" t="s">
        <v>1011</v>
      </c>
      <c r="Z5625" s="34" t="s">
        <v>623</v>
      </c>
      <c r="AA5625" s="34" t="s">
        <v>561</v>
      </c>
      <c r="AB5625" s="34" t="s">
        <v>266</v>
      </c>
      <c r="AC5625" s="34" t="s">
        <v>1033</v>
      </c>
      <c r="AD5625" s="34" t="s">
        <v>959</v>
      </c>
      <c r="AE5625" s="34" t="s">
        <v>964</v>
      </c>
      <c r="AI5625" s="34" t="s">
        <v>1025</v>
      </c>
      <c r="AJ5625" s="34" t="s">
        <v>1025</v>
      </c>
      <c r="AK5625" s="34" t="s">
        <v>1074</v>
      </c>
      <c r="AL5625" s="34" t="s">
        <v>1062</v>
      </c>
      <c r="AM5625" s="34"/>
      <c r="AN5625" s="34"/>
      <c r="AO5625" s="34"/>
      <c r="AP5625" s="34"/>
      <c r="AQ5625" s="34">
        <f>SUM(0.017*19)</f>
        <v>0.32300000000000001</v>
      </c>
      <c r="AR5625" s="34">
        <v>50</v>
      </c>
      <c r="AT5625" s="34">
        <v>5.46</v>
      </c>
      <c r="AU5625" s="34">
        <f>SUM(0.58*12.1525)</f>
        <v>7.048449999999999</v>
      </c>
      <c r="AV5625" s="34">
        <v>46.15</v>
      </c>
      <c r="AW5625" s="34">
        <v>29.9</v>
      </c>
      <c r="AX5625" s="34" t="s">
        <v>784</v>
      </c>
      <c r="AY5625" s="34" t="s">
        <v>721</v>
      </c>
    </row>
    <row r="5626" spans="2:51" x14ac:dyDescent="0.3">
      <c r="B5626" s="39" t="s">
        <v>538</v>
      </c>
      <c r="D5626" s="1">
        <v>2018</v>
      </c>
      <c r="E5626" s="28">
        <v>5</v>
      </c>
      <c r="G5626" s="39" t="s">
        <v>530</v>
      </c>
      <c r="H5626" s="39" t="s">
        <v>1005</v>
      </c>
      <c r="I5626" s="39" t="s">
        <v>1006</v>
      </c>
      <c r="J5626" s="1" t="s">
        <v>186</v>
      </c>
      <c r="K5626" s="29" t="s">
        <v>257</v>
      </c>
      <c r="L5626" s="1" t="s">
        <v>1004</v>
      </c>
      <c r="M5626" s="40" t="s">
        <v>542</v>
      </c>
      <c r="Q5626" s="34" t="s">
        <v>1086</v>
      </c>
      <c r="V5626" s="34" t="s">
        <v>1019</v>
      </c>
      <c r="W5626" s="34" t="s">
        <v>774</v>
      </c>
      <c r="Y5626" s="34" t="s">
        <v>1012</v>
      </c>
      <c r="Z5626" s="34" t="s">
        <v>623</v>
      </c>
      <c r="AA5626" s="34" t="s">
        <v>720</v>
      </c>
      <c r="AB5626" s="34" t="s">
        <v>266</v>
      </c>
      <c r="AC5626" s="34" t="s">
        <v>1034</v>
      </c>
      <c r="AD5626" s="34" t="s">
        <v>859</v>
      </c>
      <c r="AE5626" s="34" t="s">
        <v>1048</v>
      </c>
      <c r="AI5626" s="34" t="s">
        <v>790</v>
      </c>
      <c r="AJ5626" s="34" t="s">
        <v>641</v>
      </c>
      <c r="AK5626" s="34" t="s">
        <v>1075</v>
      </c>
      <c r="AL5626" s="34" t="s">
        <v>1063</v>
      </c>
      <c r="AM5626" s="34"/>
      <c r="AN5626" s="34"/>
      <c r="AO5626" s="34"/>
      <c r="AP5626" s="34"/>
      <c r="AQ5626" s="34">
        <v>0.32300000000000001</v>
      </c>
      <c r="AR5626" s="34">
        <v>52</v>
      </c>
      <c r="AT5626" s="34">
        <v>5.85</v>
      </c>
      <c r="AU5626" s="34">
        <f>SUM(0.61*12.1525)</f>
        <v>7.4130249999999993</v>
      </c>
      <c r="AV5626" s="34">
        <v>42.6</v>
      </c>
      <c r="AW5626" s="34">
        <v>29.9</v>
      </c>
      <c r="AX5626" s="34" t="s">
        <v>784</v>
      </c>
      <c r="AY5626" s="34" t="s">
        <v>565</v>
      </c>
    </row>
    <row r="5627" spans="2:51" x14ac:dyDescent="0.3">
      <c r="B5627" s="39" t="s">
        <v>538</v>
      </c>
      <c r="D5627" s="1">
        <v>2018</v>
      </c>
      <c r="E5627" s="28">
        <v>6</v>
      </c>
      <c r="G5627" s="39" t="s">
        <v>531</v>
      </c>
      <c r="H5627" s="39" t="s">
        <v>1005</v>
      </c>
      <c r="I5627" s="39" t="s">
        <v>1006</v>
      </c>
      <c r="J5627" s="1" t="s">
        <v>186</v>
      </c>
      <c r="K5627" s="29" t="s">
        <v>257</v>
      </c>
      <c r="L5627" s="1" t="s">
        <v>1004</v>
      </c>
      <c r="M5627" s="40" t="s">
        <v>542</v>
      </c>
      <c r="Q5627" s="34" t="s">
        <v>1087</v>
      </c>
      <c r="V5627" s="34" t="s">
        <v>548</v>
      </c>
      <c r="W5627" s="34" t="s">
        <v>822</v>
      </c>
      <c r="Y5627" s="34" t="s">
        <v>1013</v>
      </c>
      <c r="Z5627" s="34" t="s">
        <v>623</v>
      </c>
      <c r="AA5627" s="34" t="s">
        <v>1083</v>
      </c>
      <c r="AB5627" s="34" t="s">
        <v>266</v>
      </c>
      <c r="AC5627" s="34" t="s">
        <v>1035</v>
      </c>
      <c r="AD5627" s="34" t="s">
        <v>859</v>
      </c>
      <c r="AE5627" s="34" t="s">
        <v>1049</v>
      </c>
      <c r="AI5627" s="34" t="s">
        <v>1057</v>
      </c>
      <c r="AJ5627" s="34" t="s">
        <v>640</v>
      </c>
      <c r="AK5627" s="34" t="s">
        <v>1076</v>
      </c>
      <c r="AL5627" s="34" t="s">
        <v>1064</v>
      </c>
      <c r="AM5627" s="34"/>
      <c r="AN5627" s="34"/>
      <c r="AO5627" s="34"/>
      <c r="AP5627" s="34"/>
      <c r="AQ5627" s="34">
        <f>SUM(0.018*19)</f>
        <v>0.34199999999999997</v>
      </c>
      <c r="AR5627" s="34">
        <v>50</v>
      </c>
      <c r="AT5627" s="34">
        <v>5.46</v>
      </c>
      <c r="AU5627" s="34">
        <f>SUM(0.6*12.1525)</f>
        <v>7.2914999999999992</v>
      </c>
      <c r="AV5627" s="34">
        <v>46.15</v>
      </c>
      <c r="AW5627" s="34">
        <v>29.9</v>
      </c>
      <c r="AX5627" s="34" t="s">
        <v>784</v>
      </c>
      <c r="AY5627" s="34" t="s">
        <v>966</v>
      </c>
    </row>
    <row r="5628" spans="2:51" x14ac:dyDescent="0.3">
      <c r="B5628" s="39" t="s">
        <v>538</v>
      </c>
      <c r="D5628" s="1">
        <v>2018</v>
      </c>
      <c r="E5628" s="28">
        <v>7</v>
      </c>
      <c r="G5628" s="39" t="s">
        <v>532</v>
      </c>
      <c r="H5628" s="39" t="s">
        <v>1005</v>
      </c>
      <c r="I5628" s="39" t="s">
        <v>1006</v>
      </c>
      <c r="J5628" s="1" t="s">
        <v>186</v>
      </c>
      <c r="K5628" s="29" t="s">
        <v>257</v>
      </c>
      <c r="L5628" s="1" t="s">
        <v>1004</v>
      </c>
      <c r="M5628" s="40" t="s">
        <v>544</v>
      </c>
      <c r="Q5628" s="34" t="s">
        <v>1088</v>
      </c>
      <c r="V5628" s="34" t="s">
        <v>547</v>
      </c>
      <c r="W5628" s="34" t="s">
        <v>788</v>
      </c>
      <c r="Y5628" s="34" t="s">
        <v>1014</v>
      </c>
      <c r="Z5628" s="34" t="s">
        <v>219</v>
      </c>
      <c r="AA5628" s="34" t="s">
        <v>721</v>
      </c>
      <c r="AB5628" s="34" t="s">
        <v>1029</v>
      </c>
      <c r="AC5628" s="34" t="s">
        <v>1032</v>
      </c>
      <c r="AD5628" s="34" t="s">
        <v>218</v>
      </c>
      <c r="AE5628" s="34" t="s">
        <v>1050</v>
      </c>
      <c r="AI5628" s="34" t="s">
        <v>1024</v>
      </c>
      <c r="AJ5628" s="34" t="s">
        <v>1025</v>
      </c>
      <c r="AK5628" s="34" t="s">
        <v>1077</v>
      </c>
      <c r="AL5628" s="34" t="s">
        <v>1065</v>
      </c>
      <c r="AM5628" s="34"/>
      <c r="AN5628" s="34"/>
      <c r="AO5628" s="34"/>
      <c r="AP5628" s="34"/>
      <c r="AQ5628" s="34">
        <f>SUM(0.019*19)</f>
        <v>0.36099999999999999</v>
      </c>
      <c r="AR5628" s="34">
        <v>50</v>
      </c>
      <c r="AT5628" s="34">
        <v>5.85</v>
      </c>
      <c r="AU5628" s="34">
        <f>SUM(0.63*12.1525)</f>
        <v>7.6560750000000004</v>
      </c>
      <c r="AV5628" s="34">
        <v>46.15</v>
      </c>
      <c r="AW5628" s="34">
        <v>32.200000000000003</v>
      </c>
      <c r="AX5628" s="34" t="s">
        <v>972</v>
      </c>
      <c r="AY5628" s="34" t="s">
        <v>558</v>
      </c>
    </row>
    <row r="5629" spans="2:51" x14ac:dyDescent="0.3">
      <c r="B5629" s="39" t="s">
        <v>538</v>
      </c>
      <c r="D5629" s="1">
        <v>2018</v>
      </c>
      <c r="E5629" s="28">
        <v>8</v>
      </c>
      <c r="G5629" s="39" t="s">
        <v>533</v>
      </c>
      <c r="H5629" s="39" t="s">
        <v>1005</v>
      </c>
      <c r="I5629" s="39" t="s">
        <v>1006</v>
      </c>
      <c r="J5629" s="1" t="s">
        <v>186</v>
      </c>
      <c r="K5629" s="29" t="s">
        <v>257</v>
      </c>
      <c r="L5629" s="1" t="s">
        <v>1004</v>
      </c>
      <c r="M5629" s="40" t="s">
        <v>545</v>
      </c>
      <c r="Q5629" s="34" t="s">
        <v>829</v>
      </c>
      <c r="V5629" s="34" t="s">
        <v>1021</v>
      </c>
      <c r="W5629" s="34" t="s">
        <v>788</v>
      </c>
      <c r="Y5629" s="34" t="s">
        <v>1015</v>
      </c>
      <c r="Z5629" s="34" t="s">
        <v>784</v>
      </c>
      <c r="AA5629" s="34" t="s">
        <v>881</v>
      </c>
      <c r="AB5629" s="34" t="s">
        <v>563</v>
      </c>
      <c r="AC5629" s="34" t="s">
        <v>1032</v>
      </c>
      <c r="AD5629" s="34" t="s">
        <v>918</v>
      </c>
      <c r="AE5629" s="34" t="s">
        <v>613</v>
      </c>
      <c r="AI5629" s="34" t="s">
        <v>896</v>
      </c>
      <c r="AJ5629" s="34" t="s">
        <v>1026</v>
      </c>
      <c r="AK5629" s="34" t="s">
        <v>578</v>
      </c>
      <c r="AL5629" s="34" t="s">
        <v>1066</v>
      </c>
      <c r="AM5629" s="34"/>
      <c r="AN5629" s="34"/>
      <c r="AO5629" s="34"/>
      <c r="AP5629" s="34"/>
      <c r="AQ5629" s="34">
        <v>0.36099999999999999</v>
      </c>
      <c r="AR5629" s="34">
        <v>48</v>
      </c>
      <c r="AT5629" s="34">
        <v>5.85</v>
      </c>
      <c r="AU5629" s="34">
        <f>SUM(0.64*12.1525)</f>
        <v>7.7776000000000005</v>
      </c>
      <c r="AV5629" s="34">
        <v>49.7</v>
      </c>
      <c r="AW5629" s="34">
        <v>32.200000000000003</v>
      </c>
      <c r="AX5629" s="34" t="s">
        <v>630</v>
      </c>
      <c r="AY5629" s="34" t="s">
        <v>586</v>
      </c>
    </row>
    <row r="5630" spans="2:51" x14ac:dyDescent="0.3">
      <c r="B5630" s="39" t="s">
        <v>538</v>
      </c>
      <c r="D5630" s="1">
        <v>2018</v>
      </c>
      <c r="E5630" s="28">
        <v>9</v>
      </c>
      <c r="G5630" s="39" t="s">
        <v>534</v>
      </c>
      <c r="H5630" s="39" t="s">
        <v>1005</v>
      </c>
      <c r="I5630" s="39" t="s">
        <v>1006</v>
      </c>
      <c r="J5630" s="1" t="s">
        <v>186</v>
      </c>
      <c r="K5630" s="29" t="s">
        <v>257</v>
      </c>
      <c r="L5630" s="1" t="s">
        <v>1004</v>
      </c>
      <c r="M5630" s="40" t="s">
        <v>1007</v>
      </c>
      <c r="Q5630" s="34" t="s">
        <v>1089</v>
      </c>
      <c r="V5630" s="34" t="s">
        <v>1022</v>
      </c>
      <c r="W5630" s="34" t="s">
        <v>678</v>
      </c>
      <c r="Y5630" s="34" t="s">
        <v>1012</v>
      </c>
      <c r="Z5630" s="34" t="s">
        <v>974</v>
      </c>
      <c r="AA5630" s="34" t="s">
        <v>723</v>
      </c>
      <c r="AB5630" s="34" t="s">
        <v>266</v>
      </c>
      <c r="AC5630" s="34" t="s">
        <v>938</v>
      </c>
      <c r="AD5630" s="34" t="s">
        <v>826</v>
      </c>
      <c r="AE5630" s="34" t="s">
        <v>874</v>
      </c>
      <c r="AI5630" s="34" t="s">
        <v>1058</v>
      </c>
      <c r="AJ5630" s="34" t="s">
        <v>1027</v>
      </c>
      <c r="AK5630" s="34" t="s">
        <v>1078</v>
      </c>
      <c r="AL5630" s="34" t="s">
        <v>1067</v>
      </c>
      <c r="AM5630" s="34"/>
      <c r="AN5630" s="34"/>
      <c r="AO5630" s="34"/>
      <c r="AP5630" s="34"/>
      <c r="AQ5630" s="34">
        <f>SUM(0.022*19)</f>
        <v>0.41799999999999998</v>
      </c>
      <c r="AR5630" s="34">
        <v>48</v>
      </c>
      <c r="AT5630" s="34">
        <f>SUM(0.16*39)</f>
        <v>6.24</v>
      </c>
      <c r="AU5630" s="34">
        <f>SUM(0.6*12.1525)</f>
        <v>7.2914999999999992</v>
      </c>
      <c r="AV5630" s="34">
        <v>49.7</v>
      </c>
      <c r="AW5630" s="34">
        <v>34.5</v>
      </c>
      <c r="AX5630" s="34" t="s">
        <v>631</v>
      </c>
      <c r="AY5630" s="34" t="s">
        <v>584</v>
      </c>
    </row>
    <row r="5631" spans="2:51" x14ac:dyDescent="0.3">
      <c r="B5631" s="39" t="s">
        <v>538</v>
      </c>
      <c r="D5631" s="1">
        <v>2018</v>
      </c>
      <c r="E5631" s="28">
        <v>10</v>
      </c>
      <c r="G5631" s="39" t="s">
        <v>535</v>
      </c>
      <c r="H5631" s="39" t="s">
        <v>1005</v>
      </c>
      <c r="I5631" s="39" t="s">
        <v>1006</v>
      </c>
      <c r="J5631" s="1" t="s">
        <v>186</v>
      </c>
      <c r="K5631" s="29" t="s">
        <v>257</v>
      </c>
      <c r="L5631" s="1" t="s">
        <v>1004</v>
      </c>
      <c r="M5631" s="40" t="s">
        <v>544</v>
      </c>
      <c r="Q5631" s="34" t="s">
        <v>1090</v>
      </c>
      <c r="V5631" s="34" t="s">
        <v>713</v>
      </c>
      <c r="W5631" s="34" t="s">
        <v>1040</v>
      </c>
      <c r="Y5631" s="34" t="s">
        <v>1016</v>
      </c>
      <c r="Z5631" s="34" t="s">
        <v>1053</v>
      </c>
      <c r="AA5631" s="34" t="s">
        <v>564</v>
      </c>
      <c r="AB5631" s="34" t="s">
        <v>266</v>
      </c>
      <c r="AC5631" s="34" t="s">
        <v>1036</v>
      </c>
      <c r="AD5631" s="34" t="s">
        <v>588</v>
      </c>
      <c r="AE5631" s="34" t="s">
        <v>765</v>
      </c>
      <c r="AI5631" s="34" t="s">
        <v>1058</v>
      </c>
      <c r="AJ5631" s="34" t="s">
        <v>832</v>
      </c>
      <c r="AK5631" s="34" t="s">
        <v>1079</v>
      </c>
      <c r="AL5631" s="34" t="s">
        <v>1068</v>
      </c>
      <c r="AM5631" s="34"/>
      <c r="AN5631" s="34"/>
      <c r="AO5631" s="34"/>
      <c r="AP5631" s="34"/>
      <c r="AQ5631" s="34">
        <f>SUM(0.019*19)</f>
        <v>0.36099999999999999</v>
      </c>
      <c r="AR5631" s="34">
        <v>50</v>
      </c>
      <c r="AT5631" s="34">
        <v>6.24</v>
      </c>
      <c r="AU5631" s="34">
        <f>SUM(0.64*12.1525)</f>
        <v>7.7776000000000005</v>
      </c>
      <c r="AV5631" s="34">
        <v>49.7</v>
      </c>
      <c r="AW5631" s="34">
        <v>32.200000000000003</v>
      </c>
      <c r="AX5631" s="34" t="s">
        <v>630</v>
      </c>
      <c r="AY5631" s="34" t="s">
        <v>1055</v>
      </c>
    </row>
    <row r="5632" spans="2:51" x14ac:dyDescent="0.3">
      <c r="B5632" s="39" t="s">
        <v>538</v>
      </c>
      <c r="D5632" s="1">
        <v>2018</v>
      </c>
      <c r="E5632" s="28">
        <v>11</v>
      </c>
      <c r="G5632" s="39" t="s">
        <v>536</v>
      </c>
      <c r="H5632" s="39" t="s">
        <v>1005</v>
      </c>
      <c r="I5632" s="39" t="s">
        <v>1006</v>
      </c>
      <c r="J5632" s="1" t="s">
        <v>186</v>
      </c>
      <c r="K5632" s="29" t="s">
        <v>257</v>
      </c>
      <c r="L5632" s="1" t="s">
        <v>1004</v>
      </c>
      <c r="M5632" s="40" t="s">
        <v>545</v>
      </c>
      <c r="Q5632" s="34" t="s">
        <v>1091</v>
      </c>
      <c r="V5632" s="34" t="s">
        <v>550</v>
      </c>
      <c r="W5632" s="34" t="s">
        <v>1041</v>
      </c>
      <c r="Y5632" s="34" t="s">
        <v>1017</v>
      </c>
      <c r="Z5632" s="34" t="s">
        <v>1054</v>
      </c>
      <c r="AA5632" s="34" t="s">
        <v>625</v>
      </c>
      <c r="AB5632" s="34" t="s">
        <v>266</v>
      </c>
      <c r="AC5632" s="34" t="s">
        <v>936</v>
      </c>
      <c r="AD5632" s="34" t="s">
        <v>1044</v>
      </c>
      <c r="AE5632" s="34" t="s">
        <v>1051</v>
      </c>
      <c r="AI5632" s="34" t="s">
        <v>976</v>
      </c>
      <c r="AJ5632" s="34" t="s">
        <v>832</v>
      </c>
      <c r="AK5632" s="34" t="s">
        <v>1080</v>
      </c>
      <c r="AL5632" s="34" t="s">
        <v>1069</v>
      </c>
      <c r="AM5632" s="34"/>
      <c r="AN5632" s="34"/>
      <c r="AO5632" s="34"/>
      <c r="AP5632" s="34"/>
      <c r="AQ5632" s="34">
        <f>SUM(0.018*19)</f>
        <v>0.34199999999999997</v>
      </c>
      <c r="AR5632" s="34">
        <f>SUM(2.3*20)</f>
        <v>46</v>
      </c>
      <c r="AT5632" s="34">
        <v>5.85</v>
      </c>
      <c r="AU5632" s="34">
        <f>SUM(0.58*12.1525)</f>
        <v>7.048449999999999</v>
      </c>
      <c r="AV5632" s="34">
        <v>56.8</v>
      </c>
      <c r="AW5632" s="34">
        <v>39.1</v>
      </c>
      <c r="AX5632" s="34" t="s">
        <v>631</v>
      </c>
      <c r="AY5632" s="34" t="s">
        <v>1023</v>
      </c>
    </row>
    <row r="5633" spans="2:60" x14ac:dyDescent="0.3">
      <c r="B5633" s="39" t="s">
        <v>538</v>
      </c>
      <c r="D5633" s="1">
        <v>2018</v>
      </c>
      <c r="E5633" s="28">
        <v>12</v>
      </c>
      <c r="G5633" s="39" t="s">
        <v>537</v>
      </c>
      <c r="H5633" s="39" t="s">
        <v>1005</v>
      </c>
      <c r="I5633" s="39" t="s">
        <v>1006</v>
      </c>
      <c r="J5633" s="1" t="s">
        <v>186</v>
      </c>
      <c r="K5633" s="29" t="s">
        <v>257</v>
      </c>
      <c r="L5633" s="1" t="s">
        <v>1004</v>
      </c>
      <c r="M5633" s="40" t="s">
        <v>544</v>
      </c>
      <c r="Q5633" s="34" t="s">
        <v>560</v>
      </c>
      <c r="V5633" s="34" t="s">
        <v>1022</v>
      </c>
      <c r="W5633" s="34" t="s">
        <v>918</v>
      </c>
      <c r="Y5633" s="34" t="s">
        <v>1018</v>
      </c>
      <c r="Z5633" s="34" t="s">
        <v>782</v>
      </c>
      <c r="AA5633" s="34" t="s">
        <v>585</v>
      </c>
      <c r="AB5633" s="34" t="s">
        <v>266</v>
      </c>
      <c r="AC5633" s="34" t="s">
        <v>1037</v>
      </c>
      <c r="AD5633" s="34" t="s">
        <v>602</v>
      </c>
      <c r="AE5633" s="34" t="s">
        <v>1052</v>
      </c>
      <c r="AI5633" s="34" t="s">
        <v>1059</v>
      </c>
      <c r="AJ5633" s="34" t="s">
        <v>1028</v>
      </c>
      <c r="AK5633" s="34" t="s">
        <v>672</v>
      </c>
      <c r="AL5633" s="34" t="s">
        <v>1070</v>
      </c>
      <c r="AM5633" s="34"/>
      <c r="AN5633" s="34"/>
      <c r="AO5633" s="34"/>
      <c r="AP5633" s="34"/>
      <c r="AQ5633" s="34">
        <v>0.34200000000000003</v>
      </c>
      <c r="AR5633" s="34">
        <v>48</v>
      </c>
      <c r="AT5633" s="34">
        <v>5.85</v>
      </c>
      <c r="AU5633" s="34">
        <f>SUM(0.63*12.1525)</f>
        <v>7.6560750000000004</v>
      </c>
      <c r="AV5633" s="34">
        <v>49.7</v>
      </c>
      <c r="AW5633" s="34">
        <v>32.200000000000003</v>
      </c>
      <c r="AX5633" s="34" t="s">
        <v>972</v>
      </c>
      <c r="AY5633" s="34" t="s">
        <v>586</v>
      </c>
    </row>
    <row r="5634" spans="2:60" x14ac:dyDescent="0.3">
      <c r="B5634" s="39" t="s">
        <v>538</v>
      </c>
      <c r="D5634" s="1">
        <v>2019</v>
      </c>
      <c r="E5634" s="28">
        <v>1</v>
      </c>
      <c r="G5634" s="39" t="s">
        <v>692</v>
      </c>
      <c r="H5634" s="39" t="s">
        <v>1005</v>
      </c>
      <c r="I5634" s="39" t="s">
        <v>1006</v>
      </c>
      <c r="J5634" s="1" t="s">
        <v>186</v>
      </c>
      <c r="K5634" s="29" t="s">
        <v>257</v>
      </c>
      <c r="L5634" s="1" t="s">
        <v>1004</v>
      </c>
      <c r="M5634" s="40" t="s">
        <v>544</v>
      </c>
      <c r="Q5634" s="34" t="s">
        <v>683</v>
      </c>
      <c r="V5634" s="34" t="s">
        <v>548</v>
      </c>
      <c r="W5634" s="34" t="s">
        <v>681</v>
      </c>
      <c r="Y5634" s="34" t="s">
        <v>1093</v>
      </c>
      <c r="Z5634" s="34" t="s">
        <v>704</v>
      </c>
      <c r="AA5634" s="34" t="s">
        <v>881</v>
      </c>
      <c r="AB5634" s="34" t="s">
        <v>266</v>
      </c>
      <c r="AC5634" s="34" t="s">
        <v>1109</v>
      </c>
      <c r="AD5634" s="34" t="s">
        <v>1116</v>
      </c>
      <c r="AE5634" s="34" t="s">
        <v>963</v>
      </c>
      <c r="AI5634" s="34" t="s">
        <v>1138</v>
      </c>
      <c r="AK5634" s="34" t="s">
        <v>1153</v>
      </c>
      <c r="AL5634" s="34" t="s">
        <v>1142</v>
      </c>
      <c r="AM5634" s="34"/>
      <c r="AN5634" s="34"/>
      <c r="AO5634" s="34"/>
      <c r="AP5634" s="34"/>
      <c r="AQ5634" s="34">
        <v>0.36099999999999999</v>
      </c>
      <c r="AR5634" s="34">
        <v>50</v>
      </c>
      <c r="AS5634" s="34">
        <v>2.5000000000000001E-2</v>
      </c>
      <c r="AT5634" s="34">
        <v>5.85</v>
      </c>
      <c r="AU5634" s="34">
        <f>SUM(0.66*12.1525)</f>
        <v>8.0206499999999998</v>
      </c>
      <c r="AV5634" s="34">
        <v>49.7</v>
      </c>
      <c r="AW5634" s="34">
        <v>32.200000000000003</v>
      </c>
      <c r="AX5634" s="34" t="s">
        <v>785</v>
      </c>
      <c r="AY5634" s="34" t="s">
        <v>966</v>
      </c>
      <c r="AZ5634" s="34" t="s">
        <v>1100</v>
      </c>
      <c r="BH5634" s="34" t="s">
        <v>680</v>
      </c>
    </row>
    <row r="5635" spans="2:60" x14ac:dyDescent="0.3">
      <c r="B5635" s="39" t="s">
        <v>538</v>
      </c>
      <c r="D5635" s="1">
        <v>2019</v>
      </c>
      <c r="E5635" s="28">
        <v>2</v>
      </c>
      <c r="G5635" s="39" t="s">
        <v>693</v>
      </c>
      <c r="H5635" s="39" t="s">
        <v>1005</v>
      </c>
      <c r="I5635" s="39" t="s">
        <v>1006</v>
      </c>
      <c r="J5635" s="1" t="s">
        <v>186</v>
      </c>
      <c r="K5635" s="29" t="s">
        <v>257</v>
      </c>
      <c r="L5635" s="1" t="s">
        <v>1004</v>
      </c>
      <c r="M5635" s="40" t="s">
        <v>545</v>
      </c>
      <c r="Q5635" s="34" t="s">
        <v>587</v>
      </c>
      <c r="V5635" s="34" t="s">
        <v>547</v>
      </c>
      <c r="W5635" s="34" t="s">
        <v>219</v>
      </c>
      <c r="Y5635" s="34" t="s">
        <v>1094</v>
      </c>
      <c r="Z5635" s="34" t="s">
        <v>1131</v>
      </c>
      <c r="AA5635" s="34" t="s">
        <v>723</v>
      </c>
      <c r="AB5635" s="34" t="s">
        <v>266</v>
      </c>
      <c r="AC5635" s="34" t="s">
        <v>852</v>
      </c>
      <c r="AD5635" s="34" t="s">
        <v>1117</v>
      </c>
      <c r="AE5635" s="34" t="s">
        <v>612</v>
      </c>
      <c r="AI5635" s="34" t="s">
        <v>690</v>
      </c>
      <c r="AK5635" s="34" t="s">
        <v>1154</v>
      </c>
      <c r="AL5635" s="34" t="s">
        <v>1143</v>
      </c>
      <c r="AM5635" s="34"/>
      <c r="AN5635" s="34"/>
      <c r="AO5635" s="34"/>
      <c r="AP5635" s="34"/>
      <c r="AQ5635" s="34">
        <v>0.36099999999999999</v>
      </c>
      <c r="AR5635" s="34">
        <f>SUM(2.7*20)</f>
        <v>54</v>
      </c>
      <c r="AS5635" s="34">
        <v>0.03</v>
      </c>
      <c r="AT5635" s="34">
        <f>SUM(0.16*39)</f>
        <v>6.24</v>
      </c>
      <c r="AU5635" s="34">
        <f>SUM(0.68*12.1525)</f>
        <v>8.2637</v>
      </c>
      <c r="AV5635" s="34">
        <v>56.8</v>
      </c>
      <c r="AW5635" s="34">
        <v>36.799999999999997</v>
      </c>
      <c r="AX5635" s="34" t="s">
        <v>785</v>
      </c>
      <c r="AY5635" s="34" t="s">
        <v>966</v>
      </c>
      <c r="AZ5635" s="34" t="s">
        <v>1101</v>
      </c>
      <c r="BH5635" s="34" t="s">
        <v>676</v>
      </c>
    </row>
    <row r="5636" spans="2:60" x14ac:dyDescent="0.3">
      <c r="B5636" s="39" t="s">
        <v>538</v>
      </c>
      <c r="D5636" s="1">
        <v>2019</v>
      </c>
      <c r="E5636" s="28">
        <v>3</v>
      </c>
      <c r="G5636" s="39" t="s">
        <v>694</v>
      </c>
      <c r="H5636" s="39" t="s">
        <v>1005</v>
      </c>
      <c r="I5636" s="39" t="s">
        <v>1006</v>
      </c>
      <c r="J5636" s="1" t="s">
        <v>186</v>
      </c>
      <c r="K5636" s="29" t="s">
        <v>257</v>
      </c>
      <c r="L5636" s="1" t="s">
        <v>1004</v>
      </c>
      <c r="M5636" s="40" t="s">
        <v>567</v>
      </c>
      <c r="Q5636" s="34" t="s">
        <v>777</v>
      </c>
      <c r="V5636" s="34" t="s">
        <v>550</v>
      </c>
      <c r="W5636" s="34" t="s">
        <v>219</v>
      </c>
      <c r="Y5636" s="34" t="s">
        <v>1095</v>
      </c>
      <c r="Z5636" s="34" t="s">
        <v>217</v>
      </c>
      <c r="AA5636" s="34" t="s">
        <v>1002</v>
      </c>
      <c r="AB5636" s="34" t="s">
        <v>266</v>
      </c>
      <c r="AC5636" s="34" t="s">
        <v>1033</v>
      </c>
      <c r="AD5636" s="34" t="s">
        <v>214</v>
      </c>
      <c r="AE5636" s="34" t="s">
        <v>1122</v>
      </c>
      <c r="AI5636" s="34" t="s">
        <v>1024</v>
      </c>
      <c r="AK5636" s="34" t="s">
        <v>819</v>
      </c>
      <c r="AL5636" s="34" t="s">
        <v>1144</v>
      </c>
      <c r="AM5636" s="34"/>
      <c r="AN5636" s="34"/>
      <c r="AO5636" s="34"/>
      <c r="AP5636" s="34"/>
      <c r="AQ5636" s="34">
        <v>0.36099999999999999</v>
      </c>
      <c r="AR5636" s="34">
        <v>52</v>
      </c>
      <c r="AS5636" s="34">
        <v>3.4000000000000002E-2</v>
      </c>
      <c r="AT5636" s="34">
        <v>5.85</v>
      </c>
      <c r="AU5636" s="34">
        <f>SUM(0.63*12.1525)</f>
        <v>7.6560750000000004</v>
      </c>
      <c r="AV5636" s="34">
        <v>49.7</v>
      </c>
      <c r="AW5636" s="34">
        <v>32.200000000000003</v>
      </c>
      <c r="AX5636" s="34" t="s">
        <v>786</v>
      </c>
      <c r="AY5636" s="34" t="s">
        <v>1135</v>
      </c>
      <c r="AZ5636" s="34" t="s">
        <v>635</v>
      </c>
      <c r="BH5636" s="34" t="s">
        <v>1100</v>
      </c>
    </row>
    <row r="5637" spans="2:60" x14ac:dyDescent="0.3">
      <c r="B5637" s="39" t="s">
        <v>538</v>
      </c>
      <c r="D5637" s="1">
        <v>2019</v>
      </c>
      <c r="E5637" s="28">
        <v>4</v>
      </c>
      <c r="G5637" s="39" t="s">
        <v>695</v>
      </c>
      <c r="H5637" s="39" t="s">
        <v>1005</v>
      </c>
      <c r="I5637" s="39" t="s">
        <v>1006</v>
      </c>
      <c r="J5637" s="1" t="s">
        <v>186</v>
      </c>
      <c r="K5637" s="29" t="s">
        <v>257</v>
      </c>
      <c r="L5637" s="1" t="s">
        <v>1004</v>
      </c>
      <c r="M5637" s="40" t="s">
        <v>542</v>
      </c>
      <c r="Q5637" s="34" t="s">
        <v>1161</v>
      </c>
      <c r="V5637" s="34" t="s">
        <v>837</v>
      </c>
      <c r="W5637" s="34" t="s">
        <v>1113</v>
      </c>
      <c r="Y5637" s="34" t="s">
        <v>1014</v>
      </c>
      <c r="Z5637" s="34" t="s">
        <v>773</v>
      </c>
      <c r="AA5637" s="34" t="s">
        <v>629</v>
      </c>
      <c r="AB5637" s="34" t="s">
        <v>266</v>
      </c>
      <c r="AC5637" s="34" t="s">
        <v>729</v>
      </c>
      <c r="AD5637" s="34" t="s">
        <v>1118</v>
      </c>
      <c r="AE5637" s="34" t="s">
        <v>1123</v>
      </c>
      <c r="AI5637" s="34" t="s">
        <v>1059</v>
      </c>
      <c r="AK5637" s="34" t="s">
        <v>1155</v>
      </c>
      <c r="AL5637" s="34" t="s">
        <v>1145</v>
      </c>
      <c r="AM5637" s="34"/>
      <c r="AN5637" s="34"/>
      <c r="AO5637" s="34"/>
      <c r="AP5637" s="34"/>
      <c r="AQ5637" s="34">
        <f>SUM(0.018*19)</f>
        <v>0.34199999999999997</v>
      </c>
      <c r="AR5637" s="34">
        <v>52</v>
      </c>
      <c r="AS5637" s="34">
        <v>3.5999999999999997E-2</v>
      </c>
      <c r="AT5637" s="34">
        <v>5.46</v>
      </c>
      <c r="AU5637" s="34">
        <f>SUM(0.64*12.1525)</f>
        <v>7.7776000000000005</v>
      </c>
      <c r="AV5637" s="34">
        <v>49.7</v>
      </c>
      <c r="AW5637" s="34">
        <v>32.200000000000003</v>
      </c>
      <c r="AX5637" s="34" t="s">
        <v>637</v>
      </c>
      <c r="AY5637" s="34" t="s">
        <v>581</v>
      </c>
      <c r="AZ5637" s="34" t="s">
        <v>1102</v>
      </c>
      <c r="BH5637" s="34" t="s">
        <v>634</v>
      </c>
    </row>
    <row r="5638" spans="2:60" x14ac:dyDescent="0.3">
      <c r="B5638" s="39" t="s">
        <v>538</v>
      </c>
      <c r="D5638" s="1">
        <v>2019</v>
      </c>
      <c r="E5638" s="28">
        <v>5</v>
      </c>
      <c r="G5638" s="39" t="s">
        <v>696</v>
      </c>
      <c r="H5638" s="39" t="s">
        <v>1005</v>
      </c>
      <c r="I5638" s="39" t="s">
        <v>1006</v>
      </c>
      <c r="J5638" s="1" t="s">
        <v>186</v>
      </c>
      <c r="K5638" s="29" t="s">
        <v>257</v>
      </c>
      <c r="L5638" s="1" t="s">
        <v>1004</v>
      </c>
      <c r="M5638" s="40" t="s">
        <v>1092</v>
      </c>
      <c r="Q5638" s="34" t="s">
        <v>1162</v>
      </c>
      <c r="V5638" s="34" t="s">
        <v>1104</v>
      </c>
      <c r="W5638" s="34" t="s">
        <v>785</v>
      </c>
      <c r="Y5638" s="34" t="s">
        <v>1096</v>
      </c>
      <c r="Z5638" s="34" t="s">
        <v>211</v>
      </c>
      <c r="AA5638" s="34" t="s">
        <v>560</v>
      </c>
      <c r="AB5638" s="34" t="s">
        <v>266</v>
      </c>
      <c r="AC5638" s="34" t="s">
        <v>1110</v>
      </c>
      <c r="AD5638" s="34" t="s">
        <v>214</v>
      </c>
      <c r="AE5638" s="34" t="s">
        <v>1124</v>
      </c>
      <c r="AI5638" s="34" t="s">
        <v>1027</v>
      </c>
      <c r="AK5638" s="34" t="s">
        <v>1156</v>
      </c>
      <c r="AL5638" s="34" t="s">
        <v>1146</v>
      </c>
      <c r="AM5638" s="34"/>
      <c r="AN5638" s="34"/>
      <c r="AO5638" s="34"/>
      <c r="AP5638" s="34"/>
      <c r="AQ5638" s="34">
        <v>0.34200000000000003</v>
      </c>
      <c r="AR5638" s="34">
        <v>54</v>
      </c>
      <c r="AS5638" s="34">
        <v>5.7000000000000002E-2</v>
      </c>
      <c r="AT5638" s="34">
        <v>5.85</v>
      </c>
      <c r="AU5638" s="34">
        <f>SUM(0.69*12.1525)</f>
        <v>8.3852249999999984</v>
      </c>
      <c r="AV5638" s="34">
        <v>49.7</v>
      </c>
      <c r="AW5638" s="34">
        <v>34.5</v>
      </c>
      <c r="AX5638" s="34" t="s">
        <v>885</v>
      </c>
      <c r="AY5638" s="34" t="s">
        <v>582</v>
      </c>
      <c r="AZ5638" s="34" t="s">
        <v>785</v>
      </c>
      <c r="BH5638" s="34" t="s">
        <v>638</v>
      </c>
    </row>
    <row r="5639" spans="2:60" x14ac:dyDescent="0.3">
      <c r="B5639" s="39" t="s">
        <v>538</v>
      </c>
      <c r="D5639" s="1">
        <v>2019</v>
      </c>
      <c r="E5639" s="28">
        <v>6</v>
      </c>
      <c r="G5639" s="39" t="s">
        <v>697</v>
      </c>
      <c r="H5639" s="39" t="s">
        <v>1005</v>
      </c>
      <c r="I5639" s="39" t="s">
        <v>1006</v>
      </c>
      <c r="J5639" s="1" t="s">
        <v>186</v>
      </c>
      <c r="K5639" s="29" t="s">
        <v>257</v>
      </c>
      <c r="L5639" s="1" t="s">
        <v>1004</v>
      </c>
      <c r="M5639" s="40" t="s">
        <v>545</v>
      </c>
      <c r="Q5639" s="34" t="s">
        <v>829</v>
      </c>
      <c r="V5639" s="34" t="s">
        <v>1105</v>
      </c>
      <c r="W5639" s="34" t="s">
        <v>632</v>
      </c>
      <c r="Y5639" s="34" t="s">
        <v>1097</v>
      </c>
      <c r="Z5639" s="34" t="s">
        <v>219</v>
      </c>
      <c r="AA5639" s="34" t="s">
        <v>557</v>
      </c>
      <c r="AB5639" s="34" t="s">
        <v>266</v>
      </c>
      <c r="AC5639" s="34" t="s">
        <v>853</v>
      </c>
      <c r="AD5639" s="34" t="s">
        <v>217</v>
      </c>
      <c r="AE5639" s="34" t="s">
        <v>1125</v>
      </c>
      <c r="AI5639" s="34" t="s">
        <v>1058</v>
      </c>
      <c r="AK5639" s="34" t="s">
        <v>1034</v>
      </c>
      <c r="AL5639" s="34" t="s">
        <v>1147</v>
      </c>
      <c r="AM5639" s="34"/>
      <c r="AN5639" s="34"/>
      <c r="AO5639" s="34"/>
      <c r="AP5639" s="34"/>
      <c r="AQ5639" s="34">
        <v>0.36099999999999999</v>
      </c>
      <c r="AR5639" s="34">
        <v>52</v>
      </c>
      <c r="AS5639" s="34">
        <v>3.7999999999999999E-2</v>
      </c>
      <c r="AT5639" s="34">
        <v>5.85</v>
      </c>
      <c r="AU5639" s="34">
        <f>SUM(0.65*12.1525)</f>
        <v>7.8991250000000006</v>
      </c>
      <c r="AV5639" s="34">
        <v>53.25</v>
      </c>
      <c r="AW5639" s="34">
        <v>32.200000000000003</v>
      </c>
      <c r="AX5639" s="34" t="s">
        <v>885</v>
      </c>
      <c r="AY5639" s="34" t="s">
        <v>737</v>
      </c>
      <c r="AZ5639" s="34" t="s">
        <v>1102</v>
      </c>
      <c r="BH5639" s="34" t="s">
        <v>1111</v>
      </c>
    </row>
    <row r="5640" spans="2:60" x14ac:dyDescent="0.3">
      <c r="B5640" s="39" t="s">
        <v>538</v>
      </c>
      <c r="D5640" s="1">
        <v>2019</v>
      </c>
      <c r="E5640" s="28">
        <v>7</v>
      </c>
      <c r="G5640" s="39" t="s">
        <v>698</v>
      </c>
      <c r="H5640" s="39" t="s">
        <v>1005</v>
      </c>
      <c r="I5640" s="39" t="s">
        <v>1006</v>
      </c>
      <c r="J5640" s="1" t="s">
        <v>186</v>
      </c>
      <c r="K5640" s="29" t="s">
        <v>257</v>
      </c>
      <c r="L5640" s="1" t="s">
        <v>1004</v>
      </c>
      <c r="M5640" s="40" t="s">
        <v>544</v>
      </c>
      <c r="Q5640" s="34" t="s">
        <v>1163</v>
      </c>
      <c r="V5640" s="34" t="s">
        <v>1106</v>
      </c>
      <c r="W5640" s="34" t="s">
        <v>222</v>
      </c>
      <c r="Y5640" s="34" t="s">
        <v>1096</v>
      </c>
      <c r="Z5640" s="34" t="s">
        <v>635</v>
      </c>
      <c r="AA5640" s="34" t="s">
        <v>563</v>
      </c>
      <c r="AB5640" s="34" t="s">
        <v>1023</v>
      </c>
      <c r="AC5640" s="34" t="s">
        <v>908</v>
      </c>
      <c r="AD5640" s="34" t="s">
        <v>212</v>
      </c>
      <c r="AE5640" s="34" t="s">
        <v>1126</v>
      </c>
      <c r="AI5640" s="34" t="s">
        <v>976</v>
      </c>
      <c r="AK5640" s="34" t="s">
        <v>851</v>
      </c>
      <c r="AL5640" s="34" t="s">
        <v>865</v>
      </c>
      <c r="AM5640" s="34"/>
      <c r="AN5640" s="34"/>
      <c r="AO5640" s="34"/>
      <c r="AP5640" s="34"/>
      <c r="AQ5640" s="34">
        <f>SUM(0.02*19)</f>
        <v>0.38</v>
      </c>
      <c r="AR5640" s="34">
        <v>50</v>
      </c>
      <c r="AS5640" s="34">
        <v>1.7999999999999999E-2</v>
      </c>
      <c r="AT5640" s="34">
        <v>5.46</v>
      </c>
      <c r="AU5640" s="34">
        <f>SUM(0.69*12.1525)</f>
        <v>8.3852249999999984</v>
      </c>
      <c r="AV5640" s="34">
        <v>49.7</v>
      </c>
      <c r="AW5640" s="34">
        <v>36.799999999999997</v>
      </c>
      <c r="AX5640" s="34" t="s">
        <v>970</v>
      </c>
      <c r="AY5640" s="34" t="s">
        <v>1136</v>
      </c>
      <c r="AZ5640" s="34" t="s">
        <v>222</v>
      </c>
      <c r="BH5640" s="34" t="s">
        <v>1112</v>
      </c>
    </row>
    <row r="5641" spans="2:60" x14ac:dyDescent="0.3">
      <c r="B5641" s="39" t="s">
        <v>538</v>
      </c>
      <c r="D5641" s="1">
        <v>2019</v>
      </c>
      <c r="E5641" s="28">
        <v>8</v>
      </c>
      <c r="G5641" s="39" t="s">
        <v>699</v>
      </c>
      <c r="H5641" s="39" t="s">
        <v>1005</v>
      </c>
      <c r="I5641" s="39" t="s">
        <v>1006</v>
      </c>
      <c r="J5641" s="1" t="s">
        <v>186</v>
      </c>
      <c r="K5641" s="29" t="s">
        <v>257</v>
      </c>
      <c r="L5641" s="1" t="s">
        <v>1004</v>
      </c>
      <c r="M5641" s="40" t="s">
        <v>545</v>
      </c>
      <c r="Q5641" s="34" t="s">
        <v>1164</v>
      </c>
      <c r="V5641" s="34" t="s">
        <v>1107</v>
      </c>
      <c r="W5641" s="34" t="s">
        <v>974</v>
      </c>
      <c r="Y5641" s="34" t="s">
        <v>1097</v>
      </c>
      <c r="Z5641" s="34" t="s">
        <v>825</v>
      </c>
      <c r="AA5641" s="34" t="s">
        <v>723</v>
      </c>
      <c r="AB5641" s="34" t="s">
        <v>880</v>
      </c>
      <c r="AC5641" s="34" t="s">
        <v>729</v>
      </c>
      <c r="AD5641" s="34" t="s">
        <v>217</v>
      </c>
      <c r="AE5641" s="34" t="s">
        <v>965</v>
      </c>
      <c r="AI5641" s="34" t="s">
        <v>888</v>
      </c>
      <c r="AK5641" s="34" t="s">
        <v>1157</v>
      </c>
      <c r="AL5641" s="34" t="s">
        <v>1148</v>
      </c>
      <c r="AM5641" s="34"/>
      <c r="AN5641" s="34"/>
      <c r="AO5641" s="34"/>
      <c r="AP5641" s="34"/>
      <c r="AQ5641" s="34">
        <v>0.38</v>
      </c>
      <c r="AR5641" s="34">
        <f>SUM(2.3*20)</f>
        <v>46</v>
      </c>
      <c r="AS5641" s="34">
        <v>1.0999999999999999E-2</v>
      </c>
      <c r="AT5641" s="34">
        <v>5.85</v>
      </c>
      <c r="AU5641" s="34">
        <f>SUM(0.66*12.1525)</f>
        <v>8.0206499999999998</v>
      </c>
      <c r="AV5641" s="34">
        <v>53.25</v>
      </c>
      <c r="AW5641" s="34">
        <v>34.5</v>
      </c>
      <c r="AX5641" s="34" t="s">
        <v>970</v>
      </c>
      <c r="AY5641" s="34" t="s">
        <v>1038</v>
      </c>
      <c r="AZ5641" s="34" t="s">
        <v>214</v>
      </c>
      <c r="BH5641" s="34" t="s">
        <v>1040</v>
      </c>
    </row>
    <row r="5642" spans="2:60" x14ac:dyDescent="0.3">
      <c r="B5642" s="39" t="s">
        <v>538</v>
      </c>
      <c r="D5642" s="1">
        <v>2019</v>
      </c>
      <c r="E5642" s="28">
        <v>9</v>
      </c>
      <c r="G5642" s="39" t="s">
        <v>265</v>
      </c>
      <c r="H5642" s="39" t="s">
        <v>1005</v>
      </c>
      <c r="I5642" s="39" t="s">
        <v>1006</v>
      </c>
      <c r="J5642" s="1" t="s">
        <v>186</v>
      </c>
      <c r="K5642" s="29" t="s">
        <v>257</v>
      </c>
      <c r="L5642" s="1" t="s">
        <v>1004</v>
      </c>
      <c r="M5642" s="40" t="s">
        <v>542</v>
      </c>
      <c r="Q5642" s="34" t="s">
        <v>1165</v>
      </c>
      <c r="V5642" s="34" t="s">
        <v>1104</v>
      </c>
      <c r="W5642" s="34" t="s">
        <v>969</v>
      </c>
      <c r="Y5642" s="34" t="s">
        <v>1098</v>
      </c>
      <c r="Z5642" s="34" t="s">
        <v>781</v>
      </c>
      <c r="AA5642" s="34" t="s">
        <v>565</v>
      </c>
      <c r="AB5642" s="34" t="s">
        <v>266</v>
      </c>
      <c r="AC5642" s="34" t="s">
        <v>728</v>
      </c>
      <c r="AD5642" s="34" t="s">
        <v>884</v>
      </c>
      <c r="AE5642" s="34" t="s">
        <v>1127</v>
      </c>
      <c r="AI5642" s="34" t="s">
        <v>1139</v>
      </c>
      <c r="AK5642" s="34" t="s">
        <v>1158</v>
      </c>
      <c r="AL5642" s="34" t="s">
        <v>1149</v>
      </c>
      <c r="AM5642" s="34"/>
      <c r="AN5642" s="34"/>
      <c r="AO5642" s="34"/>
      <c r="AP5642" s="34"/>
      <c r="AQ5642" s="34">
        <v>0.36099999999999999</v>
      </c>
      <c r="AR5642" s="34">
        <v>52</v>
      </c>
      <c r="AS5642" s="34">
        <v>3.1E-2</v>
      </c>
      <c r="AT5642" s="34">
        <v>6.24</v>
      </c>
      <c r="AU5642" s="34">
        <f>SUM(0.68*12.1525)</f>
        <v>8.2637</v>
      </c>
      <c r="AV5642" s="34">
        <v>56.8</v>
      </c>
      <c r="AW5642" s="34">
        <v>36.799999999999997</v>
      </c>
      <c r="AX5642" s="34" t="s">
        <v>886</v>
      </c>
      <c r="AY5642" s="34" t="s">
        <v>738</v>
      </c>
      <c r="AZ5642" s="34" t="s">
        <v>996</v>
      </c>
      <c r="BH5642" s="34" t="s">
        <v>1108</v>
      </c>
    </row>
    <row r="5643" spans="2:60" x14ac:dyDescent="0.3">
      <c r="B5643" s="39" t="s">
        <v>538</v>
      </c>
      <c r="D5643" s="1">
        <v>2019</v>
      </c>
      <c r="E5643" s="28">
        <v>10</v>
      </c>
      <c r="G5643" s="39" t="s">
        <v>267</v>
      </c>
      <c r="H5643" s="39" t="s">
        <v>1005</v>
      </c>
      <c r="I5643" s="39" t="s">
        <v>1006</v>
      </c>
      <c r="J5643" s="1" t="s">
        <v>186</v>
      </c>
      <c r="K5643" s="29" t="s">
        <v>257</v>
      </c>
      <c r="L5643" s="1" t="s">
        <v>1004</v>
      </c>
      <c r="M5643" s="40" t="s">
        <v>542</v>
      </c>
      <c r="Q5643" s="34" t="s">
        <v>222</v>
      </c>
      <c r="V5643" s="34" t="s">
        <v>1104</v>
      </c>
      <c r="W5643" s="34" t="s">
        <v>1114</v>
      </c>
      <c r="Y5643" s="34" t="s">
        <v>1096</v>
      </c>
      <c r="Z5643" s="34" t="s">
        <v>1132</v>
      </c>
      <c r="AA5643" s="34" t="s">
        <v>881</v>
      </c>
      <c r="AB5643" s="34" t="s">
        <v>266</v>
      </c>
      <c r="AC5643" s="34" t="s">
        <v>1074</v>
      </c>
      <c r="AD5643" s="34" t="s">
        <v>1119</v>
      </c>
      <c r="AE5643" s="34" t="s">
        <v>1128</v>
      </c>
      <c r="AI5643" s="34" t="s">
        <v>1140</v>
      </c>
      <c r="AK5643" s="34" t="s">
        <v>701</v>
      </c>
      <c r="AL5643" s="34" t="s">
        <v>1150</v>
      </c>
      <c r="AM5643" s="34"/>
      <c r="AN5643" s="34"/>
      <c r="AO5643" s="34"/>
      <c r="AP5643" s="34"/>
      <c r="AQ5643" s="34">
        <v>0.36099999999999999</v>
      </c>
      <c r="AR5643" s="34">
        <v>50</v>
      </c>
      <c r="AS5643" s="34">
        <v>1.6E-2</v>
      </c>
      <c r="AT5643" s="34">
        <v>6.24</v>
      </c>
      <c r="AU5643" s="34">
        <f>SUM(0.67*12.1525)</f>
        <v>8.1421749999999999</v>
      </c>
      <c r="AV5643" s="34">
        <v>49.7</v>
      </c>
      <c r="AW5643" s="34">
        <v>34.5</v>
      </c>
      <c r="AX5643" s="34" t="s">
        <v>678</v>
      </c>
      <c r="AY5643" s="34" t="s">
        <v>1137</v>
      </c>
      <c r="AZ5643" s="34" t="s">
        <v>825</v>
      </c>
      <c r="BH5643" s="34" t="s">
        <v>785</v>
      </c>
    </row>
    <row r="5644" spans="2:60" x14ac:dyDescent="0.3">
      <c r="B5644" s="39" t="s">
        <v>538</v>
      </c>
      <c r="D5644" s="1">
        <v>2019</v>
      </c>
      <c r="E5644" s="28">
        <v>11</v>
      </c>
      <c r="G5644" s="39" t="s">
        <v>268</v>
      </c>
      <c r="H5644" s="39" t="s">
        <v>1005</v>
      </c>
      <c r="I5644" s="39" t="s">
        <v>1006</v>
      </c>
      <c r="J5644" s="1" t="s">
        <v>186</v>
      </c>
      <c r="K5644" s="29" t="s">
        <v>257</v>
      </c>
      <c r="L5644" s="1" t="s">
        <v>1004</v>
      </c>
      <c r="M5644" s="40" t="s">
        <v>544</v>
      </c>
      <c r="Q5644" s="34" t="s">
        <v>919</v>
      </c>
      <c r="V5644" s="34" t="s">
        <v>1105</v>
      </c>
      <c r="W5644" s="34" t="s">
        <v>1115</v>
      </c>
      <c r="Y5644" s="34" t="s">
        <v>1094</v>
      </c>
      <c r="Z5644" s="34" t="s">
        <v>1133</v>
      </c>
      <c r="AA5644" s="34" t="s">
        <v>587</v>
      </c>
      <c r="AB5644" s="34" t="s">
        <v>266</v>
      </c>
      <c r="AC5644" s="34" t="s">
        <v>1110</v>
      </c>
      <c r="AD5644" s="34" t="s">
        <v>1120</v>
      </c>
      <c r="AE5644" s="34" t="s">
        <v>1129</v>
      </c>
      <c r="AI5644" s="34" t="s">
        <v>1140</v>
      </c>
      <c r="AK5644" s="34" t="s">
        <v>1159</v>
      </c>
      <c r="AL5644" s="34" t="s">
        <v>1151</v>
      </c>
      <c r="AM5644" s="34"/>
      <c r="AN5644" s="34"/>
      <c r="AO5644" s="34"/>
      <c r="AP5644" s="34"/>
      <c r="AQ5644" s="34">
        <f>SUM(0.017*19)</f>
        <v>0.32300000000000001</v>
      </c>
      <c r="AR5644" s="34">
        <v>50</v>
      </c>
      <c r="AS5644" s="34">
        <v>4.9000000000000002E-2</v>
      </c>
      <c r="AT5644" s="34">
        <v>6.24</v>
      </c>
      <c r="AU5644" s="34">
        <f>SUM(0.69*12.1525)</f>
        <v>8.3852249999999984</v>
      </c>
      <c r="AV5644" s="34">
        <v>49.7</v>
      </c>
      <c r="AW5644" s="34">
        <v>34.5</v>
      </c>
      <c r="AX5644" s="34" t="s">
        <v>886</v>
      </c>
      <c r="AY5644" s="34" t="s">
        <v>563</v>
      </c>
      <c r="AZ5644" s="34" t="s">
        <v>632</v>
      </c>
      <c r="BH5644" s="34" t="s">
        <v>680</v>
      </c>
    </row>
    <row r="5645" spans="2:60" x14ac:dyDescent="0.3">
      <c r="B5645" s="39" t="s">
        <v>538</v>
      </c>
      <c r="D5645" s="1">
        <v>2019</v>
      </c>
      <c r="E5645" s="28">
        <v>12</v>
      </c>
      <c r="G5645" s="39" t="s">
        <v>269</v>
      </c>
      <c r="H5645" s="39" t="s">
        <v>1005</v>
      </c>
      <c r="I5645" s="39" t="s">
        <v>1006</v>
      </c>
      <c r="J5645" s="1" t="s">
        <v>186</v>
      </c>
      <c r="K5645" s="29" t="s">
        <v>257</v>
      </c>
      <c r="L5645" s="1" t="s">
        <v>1004</v>
      </c>
      <c r="M5645" s="40" t="s">
        <v>542</v>
      </c>
      <c r="Q5645" s="34" t="s">
        <v>775</v>
      </c>
      <c r="V5645" s="34" t="s">
        <v>1105</v>
      </c>
      <c r="W5645" s="34" t="s">
        <v>974</v>
      </c>
      <c r="Y5645" s="34" t="s">
        <v>1099</v>
      </c>
      <c r="Z5645" s="34" t="s">
        <v>1134</v>
      </c>
      <c r="AA5645" s="34" t="s">
        <v>563</v>
      </c>
      <c r="AB5645" s="34" t="s">
        <v>266</v>
      </c>
      <c r="AC5645" s="34" t="s">
        <v>1110</v>
      </c>
      <c r="AD5645" s="34" t="s">
        <v>1121</v>
      </c>
      <c r="AE5645" s="34" t="s">
        <v>1130</v>
      </c>
      <c r="AI5645" s="34" t="s">
        <v>1141</v>
      </c>
      <c r="AK5645" s="34" t="s">
        <v>1160</v>
      </c>
      <c r="AL5645" s="34" t="s">
        <v>1152</v>
      </c>
      <c r="AM5645" s="34"/>
      <c r="AN5645" s="34"/>
      <c r="AO5645" s="34"/>
      <c r="AP5645" s="34"/>
      <c r="AQ5645" s="34">
        <v>0.32300000000000001</v>
      </c>
      <c r="AR5645" s="34">
        <v>52</v>
      </c>
      <c r="AS5645" s="34">
        <v>3.9E-2</v>
      </c>
      <c r="AT5645" s="34">
        <v>6.24</v>
      </c>
      <c r="AU5645" s="34">
        <f>SUM(0.68*12.1525)</f>
        <v>8.2637</v>
      </c>
      <c r="AV5645" s="34">
        <v>53.25</v>
      </c>
      <c r="AW5645" s="34">
        <v>34.5</v>
      </c>
      <c r="AX5645" s="34" t="s">
        <v>970</v>
      </c>
      <c r="AY5645" s="34" t="s">
        <v>585</v>
      </c>
      <c r="AZ5645" s="34" t="s">
        <v>1103</v>
      </c>
      <c r="BH5645" s="34" t="s">
        <v>1103</v>
      </c>
    </row>
    <row r="5646" spans="2:60" x14ac:dyDescent="0.3">
      <c r="B5646" s="39" t="s">
        <v>538</v>
      </c>
      <c r="D5646" s="34" t="s">
        <v>1166</v>
      </c>
      <c r="E5646" s="28">
        <v>1</v>
      </c>
      <c r="G5646" s="39" t="s">
        <v>270</v>
      </c>
      <c r="H5646" s="39" t="s">
        <v>1005</v>
      </c>
      <c r="I5646" s="39" t="s">
        <v>1006</v>
      </c>
      <c r="J5646" s="1" t="s">
        <v>186</v>
      </c>
      <c r="K5646" s="29" t="s">
        <v>257</v>
      </c>
      <c r="L5646" s="1" t="s">
        <v>1004</v>
      </c>
      <c r="M5646" s="40" t="s">
        <v>542</v>
      </c>
      <c r="Q5646" s="34" t="s">
        <v>587</v>
      </c>
      <c r="V5646" s="34" t="s">
        <v>1171</v>
      </c>
      <c r="W5646" s="34" t="s">
        <v>973</v>
      </c>
      <c r="Y5646" s="34" t="s">
        <v>1167</v>
      </c>
      <c r="Z5646" s="34" t="s">
        <v>1202</v>
      </c>
      <c r="AA5646" s="34" t="s">
        <v>775</v>
      </c>
      <c r="AB5646" s="34" t="s">
        <v>266</v>
      </c>
      <c r="AC5646" s="34" t="s">
        <v>1183</v>
      </c>
      <c r="AD5646" s="34" t="s">
        <v>1188</v>
      </c>
      <c r="AE5646" s="34" t="s">
        <v>1195</v>
      </c>
      <c r="AI5646" s="34" t="s">
        <v>1139</v>
      </c>
      <c r="AJ5646" s="34" t="s">
        <v>1178</v>
      </c>
      <c r="AK5646" s="34" t="s">
        <v>1220</v>
      </c>
      <c r="AL5646" s="34" t="s">
        <v>1210</v>
      </c>
      <c r="AM5646" s="34"/>
      <c r="AN5646" s="34"/>
      <c r="AO5646" s="34"/>
      <c r="AP5646" s="34"/>
      <c r="AQ5646" s="34">
        <f>SUM(0.022*19)</f>
        <v>0.41799999999999998</v>
      </c>
      <c r="AR5646" s="34">
        <v>46</v>
      </c>
      <c r="AT5646" s="34">
        <v>5.46</v>
      </c>
      <c r="AU5646" s="34">
        <f>SUM(0.65*12.1525)</f>
        <v>7.8991250000000006</v>
      </c>
      <c r="AV5646" s="34">
        <v>49.7</v>
      </c>
      <c r="AW5646" s="34">
        <v>32.200000000000003</v>
      </c>
      <c r="AX5646" s="34" t="s">
        <v>971</v>
      </c>
      <c r="AY5646" s="34" t="s">
        <v>557</v>
      </c>
    </row>
    <row r="5647" spans="2:60" x14ac:dyDescent="0.3">
      <c r="B5647" s="39" t="s">
        <v>538</v>
      </c>
      <c r="D5647" s="34" t="s">
        <v>1166</v>
      </c>
      <c r="E5647" s="28">
        <v>2</v>
      </c>
      <c r="G5647" s="39" t="s">
        <v>271</v>
      </c>
      <c r="H5647" s="39" t="s">
        <v>1005</v>
      </c>
      <c r="I5647" s="39" t="s">
        <v>1006</v>
      </c>
      <c r="J5647" s="1" t="s">
        <v>186</v>
      </c>
      <c r="K5647" s="29" t="s">
        <v>257</v>
      </c>
      <c r="L5647" s="1" t="s">
        <v>1004</v>
      </c>
      <c r="M5647" s="40" t="s">
        <v>545</v>
      </c>
      <c r="Q5647" s="34" t="s">
        <v>561</v>
      </c>
      <c r="V5647" s="34" t="s">
        <v>1172</v>
      </c>
      <c r="W5647" s="34" t="s">
        <v>635</v>
      </c>
      <c r="Y5647" s="34" t="s">
        <v>1016</v>
      </c>
      <c r="Z5647" s="34" t="s">
        <v>886</v>
      </c>
      <c r="AA5647" s="34" t="s">
        <v>561</v>
      </c>
      <c r="AB5647" s="34" t="s">
        <v>266</v>
      </c>
      <c r="AC5647" s="34" t="s">
        <v>1184</v>
      </c>
      <c r="AD5647" s="34" t="s">
        <v>1189</v>
      </c>
      <c r="AE5647" s="34" t="s">
        <v>1196</v>
      </c>
      <c r="AI5647" s="34" t="s">
        <v>1208</v>
      </c>
      <c r="AJ5647" s="34" t="s">
        <v>1140</v>
      </c>
      <c r="AK5647" s="34" t="s">
        <v>1221</v>
      </c>
      <c r="AL5647" s="34" t="s">
        <v>986</v>
      </c>
      <c r="AM5647" s="34"/>
      <c r="AN5647" s="34"/>
      <c r="AO5647" s="34"/>
      <c r="AP5647" s="34"/>
      <c r="AQ5647" s="34">
        <v>0.41799999999999998</v>
      </c>
      <c r="AR5647" s="34">
        <v>52</v>
      </c>
      <c r="AT5647" s="34">
        <v>5.85</v>
      </c>
      <c r="AU5647" s="34">
        <f>SUM(0.65*12.1525)</f>
        <v>7.8991250000000006</v>
      </c>
      <c r="AV5647" s="34">
        <v>49.7</v>
      </c>
      <c r="AW5647" s="34">
        <v>32.200000000000003</v>
      </c>
      <c r="AX5647" s="34" t="s">
        <v>883</v>
      </c>
      <c r="AY5647" s="34" t="s">
        <v>721</v>
      </c>
    </row>
    <row r="5648" spans="2:60" x14ac:dyDescent="0.3">
      <c r="B5648" s="39" t="s">
        <v>538</v>
      </c>
      <c r="D5648" s="34" t="s">
        <v>1166</v>
      </c>
      <c r="E5648" s="28">
        <v>3</v>
      </c>
      <c r="G5648" s="39" t="s">
        <v>272</v>
      </c>
      <c r="H5648" s="39" t="s">
        <v>1005</v>
      </c>
      <c r="I5648" s="39" t="s">
        <v>1006</v>
      </c>
      <c r="J5648" s="1" t="s">
        <v>186</v>
      </c>
      <c r="K5648" s="29" t="s">
        <v>257</v>
      </c>
      <c r="L5648" s="1" t="s">
        <v>1004</v>
      </c>
      <c r="M5648" s="40" t="s">
        <v>544</v>
      </c>
      <c r="Q5648" s="34" t="s">
        <v>674</v>
      </c>
      <c r="V5648" s="34" t="s">
        <v>549</v>
      </c>
      <c r="W5648" s="34" t="s">
        <v>219</v>
      </c>
      <c r="Y5648" s="34" t="s">
        <v>1016</v>
      </c>
      <c r="Z5648" s="34" t="s">
        <v>822</v>
      </c>
      <c r="AA5648" s="34" t="s">
        <v>561</v>
      </c>
      <c r="AB5648" s="34" t="s">
        <v>266</v>
      </c>
      <c r="AC5648" s="34" t="s">
        <v>939</v>
      </c>
      <c r="AD5648" s="34" t="s">
        <v>1190</v>
      </c>
      <c r="AE5648" s="34" t="s">
        <v>1124</v>
      </c>
      <c r="AI5648" s="34" t="s">
        <v>1058</v>
      </c>
      <c r="AJ5648" s="34" t="s">
        <v>1139</v>
      </c>
      <c r="AK5648" s="34" t="s">
        <v>850</v>
      </c>
      <c r="AL5648" s="34" t="s">
        <v>904</v>
      </c>
      <c r="AM5648" s="34"/>
      <c r="AN5648" s="34"/>
      <c r="AO5648" s="34"/>
      <c r="AP5648" s="34"/>
      <c r="AQ5648" s="34">
        <f>SUM(0.023*19)</f>
        <v>0.437</v>
      </c>
      <c r="AR5648" s="34">
        <v>54</v>
      </c>
      <c r="AT5648" s="34">
        <v>5.46</v>
      </c>
      <c r="AU5648" s="34">
        <f>SUM(0.65*12.1525)</f>
        <v>7.8991250000000006</v>
      </c>
      <c r="AV5648" s="34">
        <v>49.7</v>
      </c>
      <c r="AW5648" s="34">
        <v>32.200000000000003</v>
      </c>
      <c r="AX5648" s="34" t="s">
        <v>968</v>
      </c>
      <c r="AY5648" s="34" t="s">
        <v>629</v>
      </c>
    </row>
    <row r="5649" spans="2:51" x14ac:dyDescent="0.3">
      <c r="B5649" s="39" t="s">
        <v>538</v>
      </c>
      <c r="D5649" s="34" t="s">
        <v>1166</v>
      </c>
      <c r="E5649" s="28">
        <v>4</v>
      </c>
      <c r="G5649" s="39" t="s">
        <v>273</v>
      </c>
      <c r="H5649" s="39" t="s">
        <v>1005</v>
      </c>
      <c r="I5649" s="39" t="s">
        <v>1006</v>
      </c>
      <c r="J5649" s="1" t="s">
        <v>186</v>
      </c>
      <c r="K5649" s="29" t="s">
        <v>257</v>
      </c>
      <c r="L5649" s="1" t="s">
        <v>1004</v>
      </c>
      <c r="M5649" s="40" t="s">
        <v>545</v>
      </c>
      <c r="Q5649" s="34" t="s">
        <v>1029</v>
      </c>
      <c r="V5649" s="34" t="s">
        <v>1173</v>
      </c>
      <c r="W5649" s="34" t="s">
        <v>677</v>
      </c>
      <c r="Y5649" s="34" t="s">
        <v>1095</v>
      </c>
      <c r="Z5649" s="34" t="s">
        <v>217</v>
      </c>
      <c r="AA5649" s="34" t="s">
        <v>722</v>
      </c>
      <c r="AB5649" s="34" t="s">
        <v>266</v>
      </c>
      <c r="AC5649" s="34" t="s">
        <v>939</v>
      </c>
      <c r="AD5649" s="34" t="s">
        <v>1191</v>
      </c>
      <c r="AE5649" s="34" t="s">
        <v>1197</v>
      </c>
      <c r="AI5649" s="34" t="s">
        <v>1090</v>
      </c>
      <c r="AJ5649" s="34" t="s">
        <v>1179</v>
      </c>
      <c r="AK5649" s="34" t="s">
        <v>1222</v>
      </c>
      <c r="AL5649" s="34" t="s">
        <v>1211</v>
      </c>
      <c r="AM5649" s="34"/>
      <c r="AN5649" s="34"/>
      <c r="AO5649" s="34"/>
      <c r="AP5649" s="34"/>
      <c r="AQ5649" s="34">
        <v>0.41799999999999998</v>
      </c>
      <c r="AR5649" s="34">
        <v>52</v>
      </c>
      <c r="AT5649" s="34">
        <v>5.46</v>
      </c>
      <c r="AU5649" s="34">
        <f>SUM(0.65*12.1525)</f>
        <v>7.8991250000000006</v>
      </c>
      <c r="AV5649" s="34">
        <v>42.6</v>
      </c>
      <c r="AW5649" s="34">
        <v>32.200000000000003</v>
      </c>
      <c r="AX5649" s="34" t="s">
        <v>968</v>
      </c>
      <c r="AY5649" s="34" t="s">
        <v>881</v>
      </c>
    </row>
    <row r="5650" spans="2:51" x14ac:dyDescent="0.3">
      <c r="B5650" s="39" t="s">
        <v>538</v>
      </c>
      <c r="D5650" s="34" t="s">
        <v>1166</v>
      </c>
      <c r="E5650" s="28">
        <v>5</v>
      </c>
      <c r="G5650" s="39" t="s">
        <v>274</v>
      </c>
      <c r="H5650" s="39" t="s">
        <v>1005</v>
      </c>
      <c r="I5650" s="39" t="s">
        <v>1006</v>
      </c>
      <c r="J5650" s="1" t="s">
        <v>186</v>
      </c>
      <c r="K5650" s="29" t="s">
        <v>257</v>
      </c>
      <c r="L5650" s="1" t="s">
        <v>1004</v>
      </c>
      <c r="M5650" s="40" t="s">
        <v>542</v>
      </c>
      <c r="Q5650" s="34" t="s">
        <v>1028</v>
      </c>
      <c r="V5650" s="34" t="s">
        <v>714</v>
      </c>
      <c r="W5650" s="34" t="s">
        <v>220</v>
      </c>
      <c r="Y5650" s="34" t="s">
        <v>1097</v>
      </c>
      <c r="Z5650" s="34" t="s">
        <v>211</v>
      </c>
      <c r="AA5650" s="34" t="s">
        <v>625</v>
      </c>
      <c r="AB5650" s="34" t="s">
        <v>266</v>
      </c>
      <c r="AC5650" s="34" t="s">
        <v>1184</v>
      </c>
      <c r="AD5650" s="34" t="s">
        <v>1192</v>
      </c>
      <c r="AE5650" s="34" t="s">
        <v>1126</v>
      </c>
      <c r="AI5650" s="34" t="s">
        <v>976</v>
      </c>
      <c r="AJ5650" s="34" t="s">
        <v>1180</v>
      </c>
      <c r="AK5650" s="34" t="s">
        <v>1223</v>
      </c>
      <c r="AL5650" s="34" t="s">
        <v>1212</v>
      </c>
      <c r="AM5650" s="34"/>
      <c r="AN5650" s="34"/>
      <c r="AO5650" s="34"/>
      <c r="AP5650" s="34"/>
      <c r="AQ5650" s="34">
        <f>SUM(0.021*19)</f>
        <v>0.39900000000000002</v>
      </c>
      <c r="AR5650" s="34">
        <v>54</v>
      </c>
      <c r="AT5650" s="34">
        <v>5.46</v>
      </c>
      <c r="AU5650" s="34">
        <f>SUM(0.68*12.1525)</f>
        <v>8.2637</v>
      </c>
      <c r="AV5650" s="34">
        <v>56.8</v>
      </c>
      <c r="AW5650" s="34">
        <v>34.5</v>
      </c>
      <c r="AX5650" s="34" t="s">
        <v>968</v>
      </c>
      <c r="AY5650" s="34" t="s">
        <v>1203</v>
      </c>
    </row>
    <row r="5651" spans="2:51" x14ac:dyDescent="0.3">
      <c r="B5651" s="39" t="s">
        <v>538</v>
      </c>
      <c r="D5651" s="34" t="s">
        <v>1166</v>
      </c>
      <c r="E5651" s="28">
        <v>6</v>
      </c>
      <c r="G5651" s="39" t="s">
        <v>275</v>
      </c>
      <c r="H5651" s="39" t="s">
        <v>1005</v>
      </c>
      <c r="I5651" s="39" t="s">
        <v>1006</v>
      </c>
      <c r="J5651" s="1" t="s">
        <v>186</v>
      </c>
      <c r="K5651" s="29" t="s">
        <v>257</v>
      </c>
      <c r="L5651" s="1" t="s">
        <v>1004</v>
      </c>
      <c r="M5651" s="40" t="s">
        <v>542</v>
      </c>
      <c r="Q5651" s="34" t="s">
        <v>829</v>
      </c>
      <c r="V5651" s="34" t="s">
        <v>549</v>
      </c>
      <c r="W5651" s="34" t="s">
        <v>883</v>
      </c>
      <c r="Y5651" s="34" t="s">
        <v>1099</v>
      </c>
      <c r="Z5651" s="34" t="s">
        <v>212</v>
      </c>
      <c r="AA5651" s="34" t="s">
        <v>882</v>
      </c>
      <c r="AB5651" s="34" t="s">
        <v>266</v>
      </c>
      <c r="AC5651" s="34" t="s">
        <v>1185</v>
      </c>
      <c r="AD5651" s="34" t="s">
        <v>1114</v>
      </c>
      <c r="AE5651" s="34" t="s">
        <v>1198</v>
      </c>
      <c r="AI5651" s="34" t="s">
        <v>1028</v>
      </c>
      <c r="AJ5651" s="34" t="s">
        <v>922</v>
      </c>
      <c r="AK5651" s="34" t="s">
        <v>1224</v>
      </c>
      <c r="AL5651" s="34" t="s">
        <v>1213</v>
      </c>
      <c r="AM5651" s="34"/>
      <c r="AN5651" s="34"/>
      <c r="AO5651" s="34"/>
      <c r="AP5651" s="34"/>
      <c r="AQ5651" s="34">
        <v>0.41799999999999998</v>
      </c>
      <c r="AR5651" s="34">
        <v>56</v>
      </c>
      <c r="AT5651" s="34">
        <v>5.85</v>
      </c>
      <c r="AU5651" s="34">
        <f>SUM(0.7*12.1525)</f>
        <v>8.5067499999999985</v>
      </c>
      <c r="AV5651" s="34">
        <v>56.8</v>
      </c>
      <c r="AW5651" s="34">
        <v>32.200000000000003</v>
      </c>
      <c r="AX5651" s="34" t="s">
        <v>968</v>
      </c>
      <c r="AY5651" s="34" t="s">
        <v>1204</v>
      </c>
    </row>
    <row r="5652" spans="2:51" x14ac:dyDescent="0.3">
      <c r="B5652" s="39" t="s">
        <v>538</v>
      </c>
      <c r="D5652" s="34" t="s">
        <v>1166</v>
      </c>
      <c r="E5652" s="28">
        <v>7</v>
      </c>
      <c r="G5652" s="39" t="s">
        <v>276</v>
      </c>
      <c r="H5652" s="39" t="s">
        <v>1005</v>
      </c>
      <c r="I5652" s="39" t="s">
        <v>1006</v>
      </c>
      <c r="J5652" s="1" t="s">
        <v>186</v>
      </c>
      <c r="K5652" s="29" t="s">
        <v>257</v>
      </c>
      <c r="L5652" s="1" t="s">
        <v>1004</v>
      </c>
      <c r="M5652" s="40" t="s">
        <v>544</v>
      </c>
      <c r="Q5652" s="34" t="s">
        <v>1230</v>
      </c>
      <c r="V5652" s="34" t="s">
        <v>1174</v>
      </c>
      <c r="W5652" s="34" t="s">
        <v>676</v>
      </c>
      <c r="Y5652" s="34" t="s">
        <v>1014</v>
      </c>
      <c r="Z5652" s="34" t="s">
        <v>773</v>
      </c>
      <c r="AA5652" s="34" t="s">
        <v>565</v>
      </c>
      <c r="AB5652" s="34" t="s">
        <v>1182</v>
      </c>
      <c r="AC5652" s="34" t="s">
        <v>1184</v>
      </c>
      <c r="AD5652" s="34" t="s">
        <v>773</v>
      </c>
      <c r="AE5652" s="34" t="s">
        <v>1199</v>
      </c>
      <c r="AI5652" s="34" t="s">
        <v>1059</v>
      </c>
      <c r="AJ5652" s="34" t="s">
        <v>1181</v>
      </c>
      <c r="AK5652" s="34" t="s">
        <v>1224</v>
      </c>
      <c r="AL5652" s="34" t="s">
        <v>1214</v>
      </c>
      <c r="AM5652" s="34"/>
      <c r="AN5652" s="34"/>
      <c r="AO5652" s="34"/>
      <c r="AP5652" s="34"/>
      <c r="AQ5652" s="34">
        <v>0.39900000000000002</v>
      </c>
      <c r="AR5652" s="34">
        <v>52</v>
      </c>
      <c r="AT5652" s="34">
        <v>5.46</v>
      </c>
      <c r="AU5652" s="34">
        <f>SUM(0.69*12.1525)</f>
        <v>8.3852249999999984</v>
      </c>
      <c r="AV5652" s="34">
        <v>56.8</v>
      </c>
      <c r="AW5652" s="34">
        <v>32.200000000000003</v>
      </c>
      <c r="AX5652" s="34" t="s">
        <v>883</v>
      </c>
      <c r="AY5652" s="34" t="s">
        <v>568</v>
      </c>
    </row>
    <row r="5653" spans="2:51" x14ac:dyDescent="0.3">
      <c r="B5653" s="39" t="s">
        <v>538</v>
      </c>
      <c r="D5653" s="34" t="s">
        <v>1166</v>
      </c>
      <c r="E5653" s="28">
        <v>8</v>
      </c>
      <c r="G5653" s="39" t="s">
        <v>277</v>
      </c>
      <c r="H5653" s="39" t="s">
        <v>1005</v>
      </c>
      <c r="I5653" s="39" t="s">
        <v>1006</v>
      </c>
      <c r="J5653" s="1" t="s">
        <v>186</v>
      </c>
      <c r="K5653" s="29" t="s">
        <v>257</v>
      </c>
      <c r="L5653" s="1" t="s">
        <v>1004</v>
      </c>
      <c r="M5653" s="40" t="s">
        <v>545</v>
      </c>
      <c r="Q5653" s="34" t="s">
        <v>1231</v>
      </c>
      <c r="V5653" s="34" t="s">
        <v>1107</v>
      </c>
      <c r="W5653" s="34" t="s">
        <v>973</v>
      </c>
      <c r="Y5653" s="34" t="s">
        <v>1098</v>
      </c>
      <c r="Z5653" s="34" t="s">
        <v>219</v>
      </c>
      <c r="AA5653" s="34" t="s">
        <v>1228</v>
      </c>
      <c r="AB5653" s="34" t="s">
        <v>674</v>
      </c>
      <c r="AC5653" s="34" t="s">
        <v>1186</v>
      </c>
      <c r="AD5653" s="34" t="s">
        <v>214</v>
      </c>
      <c r="AE5653" s="34" t="s">
        <v>1200</v>
      </c>
      <c r="AI5653" s="34" t="s">
        <v>1140</v>
      </c>
      <c r="AJ5653" s="34" t="s">
        <v>1138</v>
      </c>
      <c r="AK5653" s="34" t="s">
        <v>1075</v>
      </c>
      <c r="AL5653" s="34" t="s">
        <v>1215</v>
      </c>
      <c r="AM5653" s="34"/>
      <c r="AN5653" s="34"/>
      <c r="AO5653" s="34"/>
      <c r="AP5653" s="34"/>
      <c r="AQ5653" s="34">
        <v>0.39900000000000002</v>
      </c>
      <c r="AR5653" s="34">
        <v>52</v>
      </c>
      <c r="AT5653" s="34">
        <v>5.85</v>
      </c>
      <c r="AU5653" s="34">
        <f>SUM(0.73*12.1525)</f>
        <v>8.8713249999999988</v>
      </c>
      <c r="AV5653" s="34">
        <v>53.25</v>
      </c>
      <c r="AW5653" s="34">
        <v>36.799999999999997</v>
      </c>
      <c r="AX5653" s="34" t="s">
        <v>969</v>
      </c>
      <c r="AY5653" s="34" t="s">
        <v>1205</v>
      </c>
    </row>
    <row r="5654" spans="2:51" x14ac:dyDescent="0.3">
      <c r="B5654" s="39" t="s">
        <v>538</v>
      </c>
      <c r="D5654" s="34" t="s">
        <v>1166</v>
      </c>
      <c r="E5654" s="28">
        <v>9</v>
      </c>
      <c r="G5654" s="39" t="s">
        <v>278</v>
      </c>
      <c r="H5654" s="39" t="s">
        <v>1005</v>
      </c>
      <c r="I5654" s="39" t="s">
        <v>1006</v>
      </c>
      <c r="J5654" s="1" t="s">
        <v>186</v>
      </c>
      <c r="K5654" s="29" t="s">
        <v>257</v>
      </c>
      <c r="L5654" s="1" t="s">
        <v>1004</v>
      </c>
      <c r="M5654" s="40" t="s">
        <v>544</v>
      </c>
      <c r="Q5654" s="34" t="s">
        <v>1232</v>
      </c>
      <c r="V5654" s="34" t="s">
        <v>1175</v>
      </c>
      <c r="W5654" s="34" t="s">
        <v>786</v>
      </c>
      <c r="Y5654" s="34" t="s">
        <v>1168</v>
      </c>
      <c r="Z5654" s="34" t="s">
        <v>221</v>
      </c>
      <c r="AA5654" s="34" t="s">
        <v>739</v>
      </c>
      <c r="AB5654" s="34" t="s">
        <v>266</v>
      </c>
      <c r="AC5654" s="34" t="s">
        <v>1186</v>
      </c>
      <c r="AD5654" s="34" t="s">
        <v>677</v>
      </c>
      <c r="AE5654" s="34" t="s">
        <v>1195</v>
      </c>
      <c r="AI5654" s="34" t="s">
        <v>1208</v>
      </c>
      <c r="AJ5654" s="34" t="s">
        <v>1059</v>
      </c>
      <c r="AK5654" s="34" t="s">
        <v>1225</v>
      </c>
      <c r="AL5654" s="34" t="s">
        <v>1216</v>
      </c>
      <c r="AM5654" s="34"/>
      <c r="AN5654" s="34"/>
      <c r="AO5654" s="34"/>
      <c r="AP5654" s="34"/>
      <c r="AQ5654" s="34">
        <v>0.41799999999999998</v>
      </c>
      <c r="AR5654" s="34">
        <v>52</v>
      </c>
      <c r="AT5654" s="34">
        <v>5.85</v>
      </c>
      <c r="AU5654" s="34">
        <f>SUM(0.66*12.1525)</f>
        <v>8.0206499999999998</v>
      </c>
      <c r="AV5654" s="34">
        <v>56.8</v>
      </c>
      <c r="AW5654" s="34">
        <v>32.200000000000003</v>
      </c>
      <c r="AX5654" s="34" t="s">
        <v>885</v>
      </c>
      <c r="AY5654" s="34" t="s">
        <v>569</v>
      </c>
    </row>
    <row r="5655" spans="2:51" x14ac:dyDescent="0.3">
      <c r="B5655" s="39" t="s">
        <v>538</v>
      </c>
      <c r="D5655" s="34" t="s">
        <v>1166</v>
      </c>
      <c r="E5655" s="28">
        <v>10</v>
      </c>
      <c r="G5655" s="39" t="s">
        <v>279</v>
      </c>
      <c r="H5655" s="39" t="s">
        <v>1005</v>
      </c>
      <c r="I5655" s="39" t="s">
        <v>1006</v>
      </c>
      <c r="J5655" s="1" t="s">
        <v>186</v>
      </c>
      <c r="K5655" s="29" t="s">
        <v>257</v>
      </c>
      <c r="L5655" s="1" t="s">
        <v>1004</v>
      </c>
      <c r="M5655" s="40" t="s">
        <v>542</v>
      </c>
      <c r="Q5655" s="34" t="s">
        <v>1090</v>
      </c>
      <c r="V5655" s="34" t="s">
        <v>1176</v>
      </c>
      <c r="W5655" s="34" t="s">
        <v>638</v>
      </c>
      <c r="Y5655" s="34" t="s">
        <v>1169</v>
      </c>
      <c r="Z5655" s="34" t="s">
        <v>681</v>
      </c>
      <c r="AA5655" s="34" t="s">
        <v>1187</v>
      </c>
      <c r="AB5655" s="34" t="s">
        <v>266</v>
      </c>
      <c r="AC5655" s="34" t="s">
        <v>940</v>
      </c>
      <c r="AD5655" s="34" t="s">
        <v>947</v>
      </c>
      <c r="AE5655" s="34" t="s">
        <v>875</v>
      </c>
      <c r="AI5655" s="34" t="s">
        <v>1209</v>
      </c>
      <c r="AJ5655" s="34" t="s">
        <v>1140</v>
      </c>
      <c r="AK5655" s="34" t="s">
        <v>1222</v>
      </c>
      <c r="AL5655" s="34" t="s">
        <v>1217</v>
      </c>
      <c r="AM5655" s="34"/>
      <c r="AN5655" s="34"/>
      <c r="AO5655" s="34"/>
      <c r="AP5655" s="34"/>
      <c r="AQ5655" s="34">
        <v>0.41799999999999998</v>
      </c>
      <c r="AR5655" s="34">
        <v>54</v>
      </c>
      <c r="AT5655" s="34">
        <v>6.24</v>
      </c>
      <c r="AU5655" s="34">
        <f>SUM(0.72*12.1525)</f>
        <v>8.7497999999999987</v>
      </c>
      <c r="AV5655" s="34">
        <f>SUM(1.7*35.5)</f>
        <v>60.35</v>
      </c>
      <c r="AW5655" s="34">
        <v>34.5</v>
      </c>
      <c r="AX5655" s="34" t="s">
        <v>885</v>
      </c>
      <c r="AY5655" s="34" t="s">
        <v>1206</v>
      </c>
    </row>
    <row r="5656" spans="2:51" x14ac:dyDescent="0.3">
      <c r="B5656" s="39" t="s">
        <v>538</v>
      </c>
      <c r="D5656" s="34" t="s">
        <v>1166</v>
      </c>
      <c r="E5656" s="28">
        <v>11</v>
      </c>
      <c r="G5656" s="39" t="s">
        <v>835</v>
      </c>
      <c r="H5656" s="39" t="s">
        <v>1005</v>
      </c>
      <c r="I5656" s="39" t="s">
        <v>1006</v>
      </c>
      <c r="J5656" s="1" t="s">
        <v>186</v>
      </c>
      <c r="K5656" s="29" t="s">
        <v>257</v>
      </c>
      <c r="L5656" s="1" t="s">
        <v>1004</v>
      </c>
      <c r="M5656" s="40" t="s">
        <v>1092</v>
      </c>
      <c r="Q5656" s="34" t="s">
        <v>220</v>
      </c>
      <c r="V5656" s="34" t="s">
        <v>1177</v>
      </c>
      <c r="W5656" s="34" t="s">
        <v>885</v>
      </c>
      <c r="Y5656" s="34" t="s">
        <v>1098</v>
      </c>
      <c r="Z5656" s="34" t="s">
        <v>1113</v>
      </c>
      <c r="AA5656" s="34" t="s">
        <v>1229</v>
      </c>
      <c r="AB5656" s="34" t="s">
        <v>266</v>
      </c>
      <c r="AC5656" s="34" t="s">
        <v>936</v>
      </c>
      <c r="AD5656" s="34" t="s">
        <v>1193</v>
      </c>
      <c r="AE5656" s="34" t="s">
        <v>1201</v>
      </c>
      <c r="AI5656" s="34" t="s">
        <v>1140</v>
      </c>
      <c r="AJ5656" s="34" t="s">
        <v>1139</v>
      </c>
      <c r="AK5656" s="34" t="s">
        <v>1226</v>
      </c>
      <c r="AL5656" s="34" t="s">
        <v>1218</v>
      </c>
      <c r="AM5656" s="34"/>
      <c r="AN5656" s="34"/>
      <c r="AO5656" s="34"/>
      <c r="AP5656" s="34"/>
      <c r="AQ5656" s="34">
        <v>0.39900000000000002</v>
      </c>
      <c r="AR5656" s="34">
        <v>54</v>
      </c>
      <c r="AT5656" s="34">
        <v>6.24</v>
      </c>
      <c r="AU5656" s="34">
        <f>SUM(0.71*12.1525)</f>
        <v>8.6282749999999986</v>
      </c>
      <c r="AV5656" s="34">
        <v>56.8</v>
      </c>
      <c r="AW5656" s="34">
        <v>34.5</v>
      </c>
      <c r="AX5656" s="34" t="s">
        <v>637</v>
      </c>
      <c r="AY5656" s="34" t="s">
        <v>1207</v>
      </c>
    </row>
    <row r="5657" spans="2:51" x14ac:dyDescent="0.3">
      <c r="B5657" s="39" t="s">
        <v>538</v>
      </c>
      <c r="D5657" s="34" t="s">
        <v>1166</v>
      </c>
      <c r="E5657" s="28">
        <v>12</v>
      </c>
      <c r="G5657" s="39" t="s">
        <v>836</v>
      </c>
      <c r="H5657" s="39" t="s">
        <v>1005</v>
      </c>
      <c r="I5657" s="39" t="s">
        <v>1006</v>
      </c>
      <c r="J5657" s="1" t="s">
        <v>186</v>
      </c>
      <c r="K5657" s="29" t="s">
        <v>257</v>
      </c>
      <c r="L5657" s="1" t="s">
        <v>1004</v>
      </c>
      <c r="M5657" s="40" t="s">
        <v>542</v>
      </c>
      <c r="Q5657" s="34" t="s">
        <v>1233</v>
      </c>
      <c r="V5657" s="34" t="s">
        <v>1172</v>
      </c>
      <c r="W5657" s="34" t="s">
        <v>632</v>
      </c>
      <c r="Y5657" s="34" t="s">
        <v>1170</v>
      </c>
      <c r="Z5657" s="34" t="s">
        <v>1103</v>
      </c>
      <c r="AA5657" s="34" t="s">
        <v>584</v>
      </c>
      <c r="AB5657" s="34" t="s">
        <v>266</v>
      </c>
      <c r="AC5657" s="34" t="s">
        <v>1185</v>
      </c>
      <c r="AD5657" s="34" t="s">
        <v>1194</v>
      </c>
      <c r="AE5657" s="34" t="s">
        <v>1052</v>
      </c>
      <c r="AI5657" s="34" t="s">
        <v>1140</v>
      </c>
      <c r="AJ5657" s="34" t="s">
        <v>833</v>
      </c>
      <c r="AK5657" s="34" t="s">
        <v>1227</v>
      </c>
      <c r="AL5657" s="34" t="s">
        <v>1219</v>
      </c>
      <c r="AM5657" s="34"/>
      <c r="AN5657" s="34"/>
      <c r="AO5657" s="34"/>
      <c r="AP5657" s="34"/>
      <c r="AQ5657" s="34">
        <v>0.39900000000000002</v>
      </c>
      <c r="AR5657" s="34">
        <v>56</v>
      </c>
      <c r="AT5657" s="34">
        <v>6.24</v>
      </c>
      <c r="AU5657" s="34">
        <f>SUM(0.71*12.1525)</f>
        <v>8.6282749999999986</v>
      </c>
      <c r="AV5657" s="34">
        <v>56.8</v>
      </c>
      <c r="AW5657" s="34">
        <v>34.5</v>
      </c>
      <c r="AX5657" s="34" t="s">
        <v>885</v>
      </c>
      <c r="AY5657" s="34" t="s">
        <v>723</v>
      </c>
    </row>
    <row r="5658" spans="2:51" x14ac:dyDescent="0.3">
      <c r="B5658" s="39" t="s">
        <v>538</v>
      </c>
      <c r="D5658" s="34" t="s">
        <v>1234</v>
      </c>
      <c r="E5658" s="28">
        <v>1</v>
      </c>
      <c r="G5658" s="39" t="s">
        <v>301</v>
      </c>
      <c r="H5658" s="39" t="s">
        <v>1005</v>
      </c>
      <c r="I5658" s="39" t="s">
        <v>1006</v>
      </c>
      <c r="J5658" s="1" t="s">
        <v>186</v>
      </c>
      <c r="K5658" s="29" t="s">
        <v>257</v>
      </c>
      <c r="L5658" s="1" t="s">
        <v>1004</v>
      </c>
      <c r="M5658" s="40" t="s">
        <v>545</v>
      </c>
      <c r="Q5658" s="34" t="s">
        <v>584</v>
      </c>
      <c r="V5658" s="34" t="s">
        <v>549</v>
      </c>
      <c r="W5658" s="34" t="s">
        <v>1244</v>
      </c>
      <c r="Y5658" s="34" t="s">
        <v>1096</v>
      </c>
      <c r="Z5658" s="34" t="s">
        <v>680</v>
      </c>
      <c r="AA5658" s="34" t="s">
        <v>566</v>
      </c>
      <c r="AB5658" s="34" t="s">
        <v>266</v>
      </c>
      <c r="AC5658" s="34" t="s">
        <v>1239</v>
      </c>
      <c r="AD5658" s="34" t="s">
        <v>856</v>
      </c>
      <c r="AE5658" s="34" t="s">
        <v>1200</v>
      </c>
      <c r="AI5658" s="34" t="s">
        <v>1209</v>
      </c>
      <c r="AK5658" s="34" t="s">
        <v>1271</v>
      </c>
      <c r="AL5658" s="34" t="s">
        <v>1262</v>
      </c>
      <c r="AM5658" s="34"/>
      <c r="AN5658" s="34"/>
      <c r="AO5658" s="34"/>
      <c r="AP5658" s="34"/>
      <c r="AQ5658" s="34">
        <f>SUM(0.021*19)</f>
        <v>0.39900000000000002</v>
      </c>
      <c r="AR5658" s="34">
        <v>56</v>
      </c>
      <c r="AT5658" s="34">
        <v>5.85</v>
      </c>
      <c r="AU5658" s="34">
        <f>SUM(0.7*12.1525)</f>
        <v>8.5067499999999985</v>
      </c>
      <c r="AV5658" s="34">
        <v>56.8</v>
      </c>
      <c r="AW5658" s="34">
        <v>32.200000000000003</v>
      </c>
      <c r="AX5658" s="34" t="s">
        <v>969</v>
      </c>
      <c r="AY5658" s="34" t="s">
        <v>586</v>
      </c>
    </row>
    <row r="5659" spans="2:51" x14ac:dyDescent="0.3">
      <c r="B5659" s="39" t="s">
        <v>538</v>
      </c>
      <c r="D5659" s="34" t="s">
        <v>1234</v>
      </c>
      <c r="E5659" s="28">
        <v>2</v>
      </c>
      <c r="G5659" s="39" t="s">
        <v>297</v>
      </c>
      <c r="H5659" s="39" t="s">
        <v>1005</v>
      </c>
      <c r="I5659" s="39" t="s">
        <v>1006</v>
      </c>
      <c r="J5659" s="1" t="s">
        <v>186</v>
      </c>
      <c r="K5659" s="29" t="s">
        <v>257</v>
      </c>
      <c r="L5659" s="1" t="s">
        <v>1004</v>
      </c>
      <c r="M5659" s="40" t="s">
        <v>545</v>
      </c>
      <c r="Q5659" s="34" t="s">
        <v>683</v>
      </c>
      <c r="V5659" s="34" t="s">
        <v>838</v>
      </c>
      <c r="W5659" s="34" t="s">
        <v>760</v>
      </c>
      <c r="Y5659" s="34" t="s">
        <v>1235</v>
      </c>
      <c r="Z5659" s="34" t="s">
        <v>774</v>
      </c>
      <c r="AA5659" s="34" t="s">
        <v>674</v>
      </c>
      <c r="AB5659" s="34" t="s">
        <v>266</v>
      </c>
      <c r="AC5659" s="34" t="s">
        <v>846</v>
      </c>
      <c r="AD5659" s="34" t="s">
        <v>1246</v>
      </c>
      <c r="AE5659" s="34" t="s">
        <v>615</v>
      </c>
      <c r="AI5659" s="34" t="s">
        <v>975</v>
      </c>
      <c r="AK5659" s="34" t="s">
        <v>1272</v>
      </c>
      <c r="AL5659" s="34" t="s">
        <v>652</v>
      </c>
      <c r="AM5659" s="34"/>
      <c r="AN5659" s="34"/>
      <c r="AO5659" s="34"/>
      <c r="AP5659" s="34"/>
      <c r="AQ5659" s="34">
        <f>SUM(0.022*19)</f>
        <v>0.41799999999999998</v>
      </c>
      <c r="AR5659" s="34">
        <v>58</v>
      </c>
      <c r="AT5659" s="34">
        <v>5.46</v>
      </c>
      <c r="AU5659" s="34">
        <f>SUM(0.67*12.1525)</f>
        <v>8.1421749999999999</v>
      </c>
      <c r="AV5659" s="34">
        <v>46.15</v>
      </c>
      <c r="AW5659" s="34">
        <v>29.9</v>
      </c>
      <c r="AX5659" s="34" t="s">
        <v>885</v>
      </c>
      <c r="AY5659" s="34" t="s">
        <v>629</v>
      </c>
    </row>
    <row r="5660" spans="2:51" x14ac:dyDescent="0.3">
      <c r="B5660" s="39" t="s">
        <v>538</v>
      </c>
      <c r="D5660" s="34" t="s">
        <v>1234</v>
      </c>
      <c r="E5660" s="28">
        <v>3</v>
      </c>
      <c r="G5660" s="39" t="s">
        <v>302</v>
      </c>
      <c r="H5660" s="39" t="s">
        <v>1005</v>
      </c>
      <c r="I5660" s="39" t="s">
        <v>1006</v>
      </c>
      <c r="J5660" s="1" t="s">
        <v>186</v>
      </c>
      <c r="K5660" s="29" t="s">
        <v>257</v>
      </c>
      <c r="L5660" s="1" t="s">
        <v>1004</v>
      </c>
      <c r="M5660" s="40" t="s">
        <v>542</v>
      </c>
      <c r="Q5660" s="34" t="s">
        <v>562</v>
      </c>
      <c r="V5660" s="34" t="s">
        <v>1173</v>
      </c>
      <c r="W5660" s="34" t="s">
        <v>918</v>
      </c>
      <c r="Y5660" s="34" t="s">
        <v>1236</v>
      </c>
      <c r="Z5660" s="34" t="s">
        <v>217</v>
      </c>
      <c r="AA5660" s="34" t="s">
        <v>627</v>
      </c>
      <c r="AB5660" s="34" t="s">
        <v>266</v>
      </c>
      <c r="AC5660" s="34" t="s">
        <v>1240</v>
      </c>
      <c r="AD5660" s="34" t="s">
        <v>1247</v>
      </c>
      <c r="AE5660" s="34" t="s">
        <v>771</v>
      </c>
      <c r="AI5660" s="34" t="s">
        <v>1090</v>
      </c>
      <c r="AK5660" s="34" t="s">
        <v>1273</v>
      </c>
      <c r="AL5660" s="34" t="s">
        <v>905</v>
      </c>
      <c r="AM5660" s="34"/>
      <c r="AN5660" s="34"/>
      <c r="AO5660" s="34"/>
      <c r="AP5660" s="34"/>
      <c r="AQ5660" s="34">
        <v>0.39900000000000002</v>
      </c>
      <c r="AR5660" s="34">
        <v>52</v>
      </c>
      <c r="AT5660" s="34">
        <f>SUM(0.12*39)</f>
        <v>4.68</v>
      </c>
      <c r="AU5660" s="34">
        <f>SUM(0.6*12.1525)</f>
        <v>7.2914999999999992</v>
      </c>
      <c r="AV5660" s="34">
        <v>42.6</v>
      </c>
      <c r="AW5660" s="34">
        <v>27.6</v>
      </c>
      <c r="AX5660" s="34" t="s">
        <v>886</v>
      </c>
      <c r="AY5660" s="34" t="s">
        <v>721</v>
      </c>
    </row>
    <row r="5661" spans="2:51" x14ac:dyDescent="0.3">
      <c r="B5661" s="39" t="s">
        <v>538</v>
      </c>
      <c r="D5661" s="34" t="s">
        <v>1234</v>
      </c>
      <c r="E5661" s="28">
        <v>4</v>
      </c>
      <c r="G5661" s="39" t="s">
        <v>303</v>
      </c>
      <c r="H5661" s="39" t="s">
        <v>1005</v>
      </c>
      <c r="I5661" s="39" t="s">
        <v>1006</v>
      </c>
      <c r="J5661" s="1" t="s">
        <v>186</v>
      </c>
      <c r="K5661" s="29" t="s">
        <v>257</v>
      </c>
      <c r="L5661" s="1" t="s">
        <v>1004</v>
      </c>
      <c r="M5661" s="40" t="s">
        <v>544</v>
      </c>
      <c r="Q5661" s="34" t="s">
        <v>1282</v>
      </c>
      <c r="V5661" s="34" t="s">
        <v>838</v>
      </c>
      <c r="W5661" s="34" t="s">
        <v>222</v>
      </c>
      <c r="Y5661" s="34" t="s">
        <v>1013</v>
      </c>
      <c r="Z5661" s="34" t="s">
        <v>773</v>
      </c>
      <c r="AA5661" s="34" t="s">
        <v>587</v>
      </c>
      <c r="AB5661" s="34" t="s">
        <v>266</v>
      </c>
      <c r="AC5661" s="34" t="s">
        <v>847</v>
      </c>
      <c r="AD5661" s="34" t="s">
        <v>1248</v>
      </c>
      <c r="AE5661" s="34" t="s">
        <v>1124</v>
      </c>
      <c r="AI5661" s="34" t="s">
        <v>1059</v>
      </c>
      <c r="AK5661" s="34" t="s">
        <v>1274</v>
      </c>
      <c r="AL5661" s="34" t="s">
        <v>1263</v>
      </c>
      <c r="AM5661" s="34"/>
      <c r="AN5661" s="34"/>
      <c r="AO5661" s="34"/>
      <c r="AP5661" s="34"/>
      <c r="AQ5661" s="34">
        <v>0.39900000000000002</v>
      </c>
      <c r="AR5661" s="34">
        <f>SUM(2.7*20)</f>
        <v>54</v>
      </c>
      <c r="AT5661" s="34">
        <v>5.46</v>
      </c>
      <c r="AU5661" s="34">
        <f>SUM(0.66*12.1525)</f>
        <v>8.0206499999999998</v>
      </c>
      <c r="AV5661" s="34">
        <v>49.7</v>
      </c>
      <c r="AW5661" s="34">
        <v>32.200000000000003</v>
      </c>
      <c r="AX5661" s="34" t="s">
        <v>885</v>
      </c>
      <c r="AY5661" s="34" t="s">
        <v>723</v>
      </c>
    </row>
    <row r="5662" spans="2:51" x14ac:dyDescent="0.3">
      <c r="B5662" s="39" t="s">
        <v>538</v>
      </c>
      <c r="D5662" s="34" t="s">
        <v>1234</v>
      </c>
      <c r="E5662" s="28">
        <v>5</v>
      </c>
      <c r="G5662" s="39" t="s">
        <v>304</v>
      </c>
      <c r="H5662" s="39" t="s">
        <v>1005</v>
      </c>
      <c r="I5662" s="39" t="s">
        <v>1006</v>
      </c>
      <c r="J5662" s="1" t="s">
        <v>186</v>
      </c>
      <c r="K5662" s="29" t="s">
        <v>257</v>
      </c>
      <c r="L5662" s="1" t="s">
        <v>1004</v>
      </c>
      <c r="M5662" s="40" t="s">
        <v>544</v>
      </c>
      <c r="Q5662" s="34" t="s">
        <v>1058</v>
      </c>
      <c r="V5662" s="34" t="s">
        <v>1022</v>
      </c>
      <c r="W5662" s="34" t="s">
        <v>1100</v>
      </c>
      <c r="Y5662" s="34" t="s">
        <v>1013</v>
      </c>
      <c r="Z5662" s="34" t="s">
        <v>773</v>
      </c>
      <c r="AA5662" s="34" t="s">
        <v>566</v>
      </c>
      <c r="AB5662" s="34" t="s">
        <v>266</v>
      </c>
      <c r="AC5662" s="34" t="s">
        <v>1241</v>
      </c>
      <c r="AD5662" s="34" t="s">
        <v>762</v>
      </c>
      <c r="AE5662" s="34" t="s">
        <v>1252</v>
      </c>
      <c r="AI5662" s="34" t="s">
        <v>1140</v>
      </c>
      <c r="AK5662" s="34" t="s">
        <v>1275</v>
      </c>
      <c r="AL5662" s="34" t="s">
        <v>1264</v>
      </c>
      <c r="AM5662" s="34"/>
      <c r="AN5662" s="34"/>
      <c r="AO5662" s="34"/>
      <c r="AP5662" s="34"/>
      <c r="AQ5662" s="34">
        <v>0.39900000000000002</v>
      </c>
      <c r="AR5662" s="34">
        <v>56</v>
      </c>
      <c r="AT5662" s="34">
        <v>5.46</v>
      </c>
      <c r="AU5662" s="34">
        <f>SUM(0.67*12.1525)</f>
        <v>8.1421749999999999</v>
      </c>
      <c r="AV5662" s="34">
        <v>49.7</v>
      </c>
      <c r="AW5662" s="34">
        <v>32.200000000000003</v>
      </c>
      <c r="AX5662" s="34" t="s">
        <v>969</v>
      </c>
      <c r="AY5662" s="34" t="s">
        <v>543</v>
      </c>
    </row>
    <row r="5663" spans="2:51" x14ac:dyDescent="0.3">
      <c r="B5663" s="39" t="s">
        <v>538</v>
      </c>
      <c r="D5663" s="34" t="s">
        <v>1234</v>
      </c>
      <c r="E5663" s="28">
        <v>6</v>
      </c>
      <c r="G5663" s="39" t="s">
        <v>305</v>
      </c>
      <c r="H5663" s="39" t="s">
        <v>1005</v>
      </c>
      <c r="I5663" s="39" t="s">
        <v>1006</v>
      </c>
      <c r="J5663" s="1" t="s">
        <v>186</v>
      </c>
      <c r="K5663" s="29" t="s">
        <v>257</v>
      </c>
      <c r="L5663" s="1" t="s">
        <v>1004</v>
      </c>
      <c r="M5663" s="40" t="s">
        <v>542</v>
      </c>
      <c r="Q5663" s="34" t="s">
        <v>1086</v>
      </c>
      <c r="V5663" s="34" t="s">
        <v>1019</v>
      </c>
      <c r="W5663" s="34" t="s">
        <v>968</v>
      </c>
      <c r="Y5663" s="34" t="s">
        <v>1095</v>
      </c>
      <c r="Z5663" s="34" t="s">
        <v>213</v>
      </c>
      <c r="AA5663" s="34" t="s">
        <v>629</v>
      </c>
      <c r="AB5663" s="34" t="s">
        <v>266</v>
      </c>
      <c r="AC5663" s="34" t="s">
        <v>1242</v>
      </c>
      <c r="AD5663" s="34" t="s">
        <v>858</v>
      </c>
      <c r="AE5663" s="34" t="s">
        <v>1253</v>
      </c>
      <c r="AI5663" s="34" t="s">
        <v>832</v>
      </c>
      <c r="AK5663" s="34" t="s">
        <v>1088</v>
      </c>
      <c r="AL5663" s="34" t="s">
        <v>1265</v>
      </c>
      <c r="AM5663" s="34"/>
      <c r="AN5663" s="34"/>
      <c r="AO5663" s="34"/>
      <c r="AP5663" s="34"/>
      <c r="AQ5663" s="34">
        <v>0.39900000000000002</v>
      </c>
      <c r="AR5663" s="34">
        <v>54</v>
      </c>
      <c r="AT5663" s="34">
        <v>5.46</v>
      </c>
      <c r="AU5663" s="34">
        <f>SUM(0.66*12.1525)</f>
        <v>8.0206499999999998</v>
      </c>
      <c r="AV5663" s="34">
        <v>49.7</v>
      </c>
      <c r="AW5663" s="34">
        <v>29.9</v>
      </c>
      <c r="AX5663" s="34" t="s">
        <v>637</v>
      </c>
      <c r="AY5663" s="34" t="s">
        <v>1258</v>
      </c>
    </row>
    <row r="5664" spans="2:51" x14ac:dyDescent="0.3">
      <c r="B5664" s="39" t="s">
        <v>538</v>
      </c>
      <c r="D5664" s="34" t="s">
        <v>1234</v>
      </c>
      <c r="E5664" s="28">
        <v>7</v>
      </c>
      <c r="G5664" s="39" t="s">
        <v>306</v>
      </c>
      <c r="H5664" s="39" t="s">
        <v>1005</v>
      </c>
      <c r="I5664" s="39" t="s">
        <v>1006</v>
      </c>
      <c r="J5664" s="1" t="s">
        <v>186</v>
      </c>
      <c r="K5664" s="29" t="s">
        <v>257</v>
      </c>
      <c r="L5664" s="1" t="s">
        <v>1004</v>
      </c>
      <c r="M5664" s="40" t="s">
        <v>1092</v>
      </c>
      <c r="Q5664" s="34" t="s">
        <v>1225</v>
      </c>
      <c r="V5664" s="34" t="s">
        <v>547</v>
      </c>
      <c r="W5664" s="34" t="s">
        <v>676</v>
      </c>
      <c r="Y5664" s="34" t="s">
        <v>1015</v>
      </c>
      <c r="Z5664" s="34" t="s">
        <v>773</v>
      </c>
      <c r="AA5664" s="34" t="s">
        <v>586</v>
      </c>
      <c r="AB5664" s="34" t="s">
        <v>560</v>
      </c>
      <c r="AC5664" s="34" t="s">
        <v>937</v>
      </c>
      <c r="AD5664" s="34" t="s">
        <v>773</v>
      </c>
      <c r="AE5664" s="34" t="s">
        <v>1254</v>
      </c>
      <c r="AI5664" s="34" t="s">
        <v>1025</v>
      </c>
      <c r="AK5664" s="34" t="s">
        <v>1276</v>
      </c>
      <c r="AL5664" s="34" t="s">
        <v>1266</v>
      </c>
      <c r="AM5664" s="34"/>
      <c r="AN5664" s="34"/>
      <c r="AO5664" s="34"/>
      <c r="AP5664" s="34"/>
      <c r="AQ5664" s="34">
        <f>SUM(0.022*19)</f>
        <v>0.41799999999999998</v>
      </c>
      <c r="AR5664" s="34">
        <v>56</v>
      </c>
      <c r="AT5664" s="34">
        <v>5.46</v>
      </c>
      <c r="AU5664" s="34">
        <f>SUM(0.65*12.1525)</f>
        <v>7.8991250000000006</v>
      </c>
      <c r="AV5664" s="34">
        <v>46.15</v>
      </c>
      <c r="AW5664" s="34">
        <v>29.9</v>
      </c>
      <c r="AX5664" s="34" t="s">
        <v>886</v>
      </c>
      <c r="AY5664" s="34" t="s">
        <v>1092</v>
      </c>
    </row>
    <row r="5665" spans="2:51" x14ac:dyDescent="0.3">
      <c r="B5665" s="39" t="s">
        <v>538</v>
      </c>
      <c r="D5665" s="34" t="s">
        <v>1234</v>
      </c>
      <c r="E5665" s="28">
        <v>8</v>
      </c>
      <c r="G5665" s="39" t="s">
        <v>307</v>
      </c>
      <c r="H5665" s="39" t="s">
        <v>1005</v>
      </c>
      <c r="I5665" s="39" t="s">
        <v>1006</v>
      </c>
      <c r="J5665" s="1" t="s">
        <v>186</v>
      </c>
      <c r="K5665" s="29" t="s">
        <v>257</v>
      </c>
      <c r="L5665" s="1" t="s">
        <v>1004</v>
      </c>
      <c r="M5665" s="40" t="s">
        <v>542</v>
      </c>
      <c r="Q5665" s="34" t="s">
        <v>996</v>
      </c>
      <c r="V5665" s="34" t="s">
        <v>547</v>
      </c>
      <c r="W5665" s="34" t="s">
        <v>677</v>
      </c>
      <c r="Y5665" s="34" t="s">
        <v>1097</v>
      </c>
      <c r="Z5665" s="34" t="s">
        <v>220</v>
      </c>
      <c r="AA5665" s="34" t="s">
        <v>585</v>
      </c>
      <c r="AB5665" s="34" t="s">
        <v>920</v>
      </c>
      <c r="AC5665" s="34" t="s">
        <v>846</v>
      </c>
      <c r="AD5665" s="34" t="s">
        <v>213</v>
      </c>
      <c r="AE5665" s="34" t="s">
        <v>1130</v>
      </c>
      <c r="AI5665" s="34" t="s">
        <v>975</v>
      </c>
      <c r="AK5665" s="34" t="s">
        <v>1277</v>
      </c>
      <c r="AL5665" s="34" t="s">
        <v>1267</v>
      </c>
      <c r="AM5665" s="34"/>
      <c r="AN5665" s="34"/>
      <c r="AO5665" s="34"/>
      <c r="AP5665" s="34"/>
      <c r="AQ5665" s="34">
        <v>0.41799999999999998</v>
      </c>
      <c r="AR5665" s="34">
        <v>52</v>
      </c>
      <c r="AT5665" s="34">
        <v>5.85</v>
      </c>
      <c r="AU5665" s="34">
        <f>SUM(0.66*12.1525)</f>
        <v>8.0206499999999998</v>
      </c>
      <c r="AV5665" s="34">
        <v>49.7</v>
      </c>
      <c r="AW5665" s="34">
        <v>32.200000000000003</v>
      </c>
      <c r="AX5665" s="34" t="s">
        <v>636</v>
      </c>
      <c r="AY5665" s="34" t="s">
        <v>1259</v>
      </c>
    </row>
    <row r="5666" spans="2:51" x14ac:dyDescent="0.3">
      <c r="B5666" s="39" t="s">
        <v>538</v>
      </c>
      <c r="D5666" s="34" t="s">
        <v>1234</v>
      </c>
      <c r="E5666" s="28">
        <v>9</v>
      </c>
      <c r="G5666" s="39" t="s">
        <v>308</v>
      </c>
      <c r="H5666" s="39" t="s">
        <v>1005</v>
      </c>
      <c r="I5666" s="39" t="s">
        <v>1006</v>
      </c>
      <c r="J5666" s="1" t="s">
        <v>186</v>
      </c>
      <c r="K5666" s="29" t="s">
        <v>257</v>
      </c>
      <c r="L5666" s="1" t="s">
        <v>1004</v>
      </c>
      <c r="M5666" s="40" t="s">
        <v>544</v>
      </c>
      <c r="Q5666" s="34" t="s">
        <v>830</v>
      </c>
      <c r="V5666" s="34" t="s">
        <v>547</v>
      </c>
      <c r="W5666" s="34" t="s">
        <v>822</v>
      </c>
      <c r="Y5666" s="34" t="s">
        <v>1099</v>
      </c>
      <c r="Z5666" s="34" t="s">
        <v>213</v>
      </c>
      <c r="AA5666" s="34" t="s">
        <v>563</v>
      </c>
      <c r="AB5666" s="34" t="s">
        <v>266</v>
      </c>
      <c r="AC5666" s="34" t="s">
        <v>939</v>
      </c>
      <c r="AD5666" s="34" t="s">
        <v>212</v>
      </c>
      <c r="AE5666" s="34" t="s">
        <v>1255</v>
      </c>
      <c r="AI5666" s="34" t="s">
        <v>1261</v>
      </c>
      <c r="AK5666" s="34" t="s">
        <v>1278</v>
      </c>
      <c r="AL5666" s="34" t="s">
        <v>1268</v>
      </c>
      <c r="AM5666" s="34"/>
      <c r="AN5666" s="34"/>
      <c r="AO5666" s="34"/>
      <c r="AP5666" s="34"/>
      <c r="AQ5666" s="34">
        <v>0.41799999999999998</v>
      </c>
      <c r="AR5666" s="34">
        <v>54</v>
      </c>
      <c r="AT5666" s="34">
        <v>5.85</v>
      </c>
      <c r="AU5666" s="34">
        <f>SUM(0.67*12.1525)</f>
        <v>8.1421749999999999</v>
      </c>
      <c r="AV5666" s="34">
        <v>49.7</v>
      </c>
      <c r="AW5666" s="34">
        <v>32.200000000000003</v>
      </c>
      <c r="AX5666" s="34" t="s">
        <v>678</v>
      </c>
      <c r="AY5666" s="34" t="s">
        <v>737</v>
      </c>
    </row>
    <row r="5667" spans="2:51" x14ac:dyDescent="0.3">
      <c r="B5667" s="39" t="s">
        <v>538</v>
      </c>
      <c r="D5667" s="34" t="s">
        <v>1234</v>
      </c>
      <c r="E5667" s="28">
        <v>10</v>
      </c>
      <c r="G5667" s="39" t="s">
        <v>309</v>
      </c>
      <c r="H5667" s="39" t="s">
        <v>1005</v>
      </c>
      <c r="I5667" s="39" t="s">
        <v>1006</v>
      </c>
      <c r="J5667" s="1" t="s">
        <v>186</v>
      </c>
      <c r="K5667" s="29" t="s">
        <v>257</v>
      </c>
      <c r="L5667" s="1" t="s">
        <v>1004</v>
      </c>
      <c r="M5667" s="40" t="s">
        <v>542</v>
      </c>
      <c r="Q5667" s="34" t="s">
        <v>223</v>
      </c>
      <c r="V5667" s="34" t="s">
        <v>1237</v>
      </c>
      <c r="W5667" s="34" t="s">
        <v>1245</v>
      </c>
      <c r="Y5667" s="34" t="s">
        <v>1018</v>
      </c>
      <c r="Z5667" s="34" t="s">
        <v>1113</v>
      </c>
      <c r="AA5667" s="34" t="s">
        <v>564</v>
      </c>
      <c r="AB5667" s="34" t="s">
        <v>266</v>
      </c>
      <c r="AC5667" s="34" t="s">
        <v>1074</v>
      </c>
      <c r="AD5667" s="34" t="s">
        <v>1249</v>
      </c>
      <c r="AE5667" s="34" t="s">
        <v>1256</v>
      </c>
      <c r="AI5667" s="34" t="s">
        <v>1208</v>
      </c>
      <c r="AK5667" s="34" t="s">
        <v>1279</v>
      </c>
      <c r="AL5667" s="34" t="s">
        <v>1269</v>
      </c>
      <c r="AM5667" s="34"/>
      <c r="AN5667" s="34"/>
      <c r="AO5667" s="34"/>
      <c r="AP5667" s="34"/>
      <c r="AQ5667" s="34">
        <v>0.41799999999999998</v>
      </c>
      <c r="AR5667" s="34">
        <v>56</v>
      </c>
      <c r="AT5667" s="34">
        <f>SUM(0.16*39)</f>
        <v>6.24</v>
      </c>
      <c r="AU5667" s="34">
        <f>SUM(0.67*12.1525)</f>
        <v>8.1421749999999999</v>
      </c>
      <c r="AV5667" s="34">
        <v>49.7</v>
      </c>
      <c r="AW5667" s="34">
        <v>32.200000000000003</v>
      </c>
      <c r="AX5667" s="34" t="s">
        <v>678</v>
      </c>
      <c r="AY5667" s="34" t="s">
        <v>1260</v>
      </c>
    </row>
    <row r="5668" spans="2:51" x14ac:dyDescent="0.3">
      <c r="B5668" s="39" t="s">
        <v>538</v>
      </c>
      <c r="D5668" s="34" t="s">
        <v>1234</v>
      </c>
      <c r="E5668" s="28">
        <v>11</v>
      </c>
      <c r="G5668" s="39" t="s">
        <v>929</v>
      </c>
      <c r="H5668" s="39" t="s">
        <v>1005</v>
      </c>
      <c r="I5668" s="39" t="s">
        <v>1006</v>
      </c>
      <c r="J5668" s="1" t="s">
        <v>186</v>
      </c>
      <c r="K5668" s="29" t="s">
        <v>257</v>
      </c>
      <c r="L5668" s="1" t="s">
        <v>1004</v>
      </c>
      <c r="M5668" s="40" t="s">
        <v>544</v>
      </c>
      <c r="Q5668" s="34" t="s">
        <v>921</v>
      </c>
      <c r="V5668" s="34" t="s">
        <v>713</v>
      </c>
      <c r="W5668" s="34" t="s">
        <v>886</v>
      </c>
      <c r="Y5668" s="34" t="s">
        <v>1099</v>
      </c>
      <c r="Z5668" s="34" t="s">
        <v>996</v>
      </c>
      <c r="AA5668" s="34" t="s">
        <v>723</v>
      </c>
      <c r="AB5668" s="34" t="s">
        <v>266</v>
      </c>
      <c r="AC5668" s="34" t="s">
        <v>853</v>
      </c>
      <c r="AD5668" s="34" t="s">
        <v>1250</v>
      </c>
      <c r="AE5668" s="34" t="s">
        <v>1196</v>
      </c>
      <c r="AI5668" s="34" t="s">
        <v>1180</v>
      </c>
      <c r="AK5668" s="34" t="s">
        <v>1280</v>
      </c>
      <c r="AL5668" s="34" t="s">
        <v>1064</v>
      </c>
      <c r="AM5668" s="34"/>
      <c r="AN5668" s="34"/>
      <c r="AO5668" s="34"/>
      <c r="AP5668" s="34"/>
      <c r="AQ5668" s="34">
        <v>0.41799999999999998</v>
      </c>
      <c r="AR5668" s="34">
        <v>54</v>
      </c>
      <c r="AT5668" s="34">
        <v>5.85</v>
      </c>
      <c r="AU5668" s="34">
        <f>SUM(0.66*12.1525)</f>
        <v>8.0206499999999998</v>
      </c>
      <c r="AV5668" s="34">
        <v>49.7</v>
      </c>
      <c r="AW5668" s="34">
        <v>32.200000000000003</v>
      </c>
      <c r="AX5668" s="34" t="s">
        <v>678</v>
      </c>
      <c r="AY5668" s="34" t="s">
        <v>583</v>
      </c>
    </row>
    <row r="5669" spans="2:51" x14ac:dyDescent="0.3">
      <c r="B5669" s="39" t="s">
        <v>538</v>
      </c>
      <c r="D5669" s="34" t="s">
        <v>1234</v>
      </c>
      <c r="E5669" s="28">
        <v>12</v>
      </c>
      <c r="G5669" s="39" t="s">
        <v>930</v>
      </c>
      <c r="H5669" s="39" t="s">
        <v>1005</v>
      </c>
      <c r="I5669" s="39" t="s">
        <v>1006</v>
      </c>
      <c r="J5669" s="1" t="s">
        <v>186</v>
      </c>
      <c r="K5669" s="29" t="s">
        <v>257</v>
      </c>
      <c r="L5669" s="1" t="s">
        <v>1004</v>
      </c>
      <c r="M5669" s="40" t="s">
        <v>542</v>
      </c>
      <c r="Q5669" s="34" t="s">
        <v>628</v>
      </c>
      <c r="V5669" s="34" t="s">
        <v>1238</v>
      </c>
      <c r="W5669" s="34" t="s">
        <v>219</v>
      </c>
      <c r="Y5669" s="34" t="s">
        <v>1093</v>
      </c>
      <c r="Z5669" s="34" t="s">
        <v>677</v>
      </c>
      <c r="AA5669" s="34" t="s">
        <v>580</v>
      </c>
      <c r="AB5669" s="34" t="s">
        <v>266</v>
      </c>
      <c r="AC5669" s="34" t="s">
        <v>1243</v>
      </c>
      <c r="AD5669" s="34" t="s">
        <v>1251</v>
      </c>
      <c r="AE5669" s="34" t="s">
        <v>1257</v>
      </c>
      <c r="AI5669" s="34" t="s">
        <v>690</v>
      </c>
      <c r="AK5669" s="34" t="s">
        <v>1281</v>
      </c>
      <c r="AL5669" s="34" t="s">
        <v>1270</v>
      </c>
      <c r="AM5669" s="34"/>
      <c r="AN5669" s="34"/>
      <c r="AO5669" s="34"/>
      <c r="AP5669" s="34"/>
      <c r="AQ5669" s="34">
        <f>SUM(0.023*19)</f>
        <v>0.437</v>
      </c>
      <c r="AR5669" s="34">
        <v>56</v>
      </c>
      <c r="AT5669" s="34">
        <v>5.85</v>
      </c>
      <c r="AU5669" s="34">
        <f>SUM(0.69*12.1525)</f>
        <v>8.3852249999999984</v>
      </c>
      <c r="AV5669" s="34">
        <v>53.25</v>
      </c>
      <c r="AW5669" s="34">
        <v>32.200000000000003</v>
      </c>
      <c r="AX5669" s="34" t="s">
        <v>970</v>
      </c>
      <c r="AY5669" s="34" t="s">
        <v>1228</v>
      </c>
    </row>
  </sheetData>
  <autoFilter ref="A1:FY5669"/>
  <phoneticPr fontId="4" type="noConversion"/>
  <pageMargins left="0.7" right="0.7" top="0.75" bottom="0.75" header="0.3" footer="0.3"/>
  <pageSetup paperSize="9" orientation="portrait" verticalDpi="0" r:id="rId1"/>
  <ignoredErrors>
    <ignoredError sqref="H5574:I5574 H5575:I5585 M5574:M5585 V5574:V5585 AC5574:AC5585 W5574:W5585 AD5574:AD5585 AE5574:AE5585 Z5580:Z5585 AY5574:AY5585 AX5574:AX5585 AI5574:AI5585 AL5574:AL5585 AK5574:AK5585 AA5574:AA5585 Q5574:Q5585 H5586:I5597 M5586:M5597 AZ5586:AZ5597 V5586:V5597 AC5586:AC5597 BH5586:BH5597 W5586:W5597 AD5586:AD5597 AE5586:AE5597 Z5586:Z5597 AY5586:AY5597 AX5586:AX5597 AI5586:AI5597 AL5586:AL5597 AK5586:AK5597 AA5586:AA5597 Q5586:Q5597 H5598:I5609 M5598:M5609 V5598:V5609 AC5598:AC5609 W5598:W5609 AD5598:AD5609 AE5598:AE5609 Z5598:Z5609 AY5598:AY5609 AX5598:AX5609 AI5598:AI5609 AL5598:AL5609 AK5598:AK5609 AA5598:AA5609 Q5598:Q5609 H5610:I5621 M5610:M5621 V5610:V5621 AC5610:AC5621 W5610:W5621 AD5610:AD5621 AE5610:AE5621 Z5610:Z5621 AY5610:AY5621 AX5610:AX5621 AI5610:AI5621 AL5610:AL5621 AK5610:AK5621 AA5610:AA5621 Q5610:Q5621 H5622:I5633 M5622:M5633 Y5622:Y5633 V5622:V5633 AJ5622:AJ5633 AB5628:AB5629 AC5622:AC5633 W5622:W5633 AD5622:AD5633 AE5622:AE5633 Z5622:Z5633 AY5622:AY5633 AX5622:AX5633 AI5622:AI5633 AL5622:AL5633 AK5622:AK5633 AA5622:AA5633 Q5622:Q5633 H5634:I5645 M5634:M5645 Y5634:Y5645 AZ5634:AZ5645 V5634:V5645 AB5640:AB5641 AC5634:AC5645 BH5634:BH5645 W5634:W5645 AD5634:AD5645 AE5634:AE5645 Z5634:Z5645 AY5634:AY5645 AX5634:AX5645 AI5634:AI5645 AL5634:AL5645 AK5634:AK5645 AA5634:AA5645 Q5634:Q5645 D5646:D5657 H5646:I5657 M5646:M5657 Y5646:Y5657 V5646:V5657 AJ5646:AJ5657 AB5652:AB5653 AC5646:AC5657 W5646:W5657 AD5646:AD5657 AE5646:AE5657 Z5646:Z5657 AY5646:AY5657 AX5646:AX5657 AI5646:AI5657 AL5646:AL5657 AK5646:AK5657 AA5646:AA5657 Q5646:Q5657 D5658:D5669 H5658:I5669 M5658:M5669 Y5658:Y5669 V5658:V5669 AB5664:AB5665 AC5658:AC5669 W5658:W5669 AD5658:AD5669 AE5658:AE5669 Z5658:Z5669 AY5658:AY5669 AX5658:AX5669 AI5658:AI5669 AL5658:AL5669 AK5658:AK5669 AA5658:AA5669 Q5658:Q5669 Y5610:Y5621 Y5598:Y5609 Y5586:Y5597 Y5574:Y5585" numberStoredAsText="1"/>
    <ignoredError sqref="AU5639 AU5630" formula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5226bab-2dd1-492a-af9e-0ea68565f3cb">
      <Terms xmlns="http://schemas.microsoft.com/office/infopath/2007/PartnerControls"/>
    </lcf76f155ced4ddcb4097134ff3c332f>
    <TaxCatchAll xmlns="d6fd809a-534b-4136-9d15-974c5e4b3b76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39F66EDD1D37147BFD4AC4C670FB2BF" ma:contentTypeVersion="14" ma:contentTypeDescription="Skapa ett nytt dokument." ma:contentTypeScope="" ma:versionID="2b8108576c9b625b84d19e4346fc7c4e">
  <xsd:schema xmlns:xsd="http://www.w3.org/2001/XMLSchema" xmlns:xs="http://www.w3.org/2001/XMLSchema" xmlns:p="http://schemas.microsoft.com/office/2006/metadata/properties" xmlns:ns2="05226bab-2dd1-492a-af9e-0ea68565f3cb" xmlns:ns3="d6fd809a-534b-4136-9d15-974c5e4b3b76" targetNamespace="http://schemas.microsoft.com/office/2006/metadata/properties" ma:root="true" ma:fieldsID="33cfb6c9c953bc083f1353ec2b3a55a6" ns2:_="" ns3:_="">
    <xsd:import namespace="05226bab-2dd1-492a-af9e-0ea68565f3cb"/>
    <xsd:import namespace="d6fd809a-534b-4136-9d15-974c5e4b3b7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226bab-2dd1-492a-af9e-0ea68565f3c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7" nillable="true" ma:taxonomy="true" ma:internalName="lcf76f155ced4ddcb4097134ff3c332f" ma:taxonomyFieldName="MediaServiceImageTags" ma:displayName="Bildmarkeringar" ma:readOnly="false" ma:fieldId="{5cf76f15-5ced-4ddc-b409-7134ff3c332f}" ma:taxonomyMulti="true" ma:sspId="c4310783-f236-42b2-989c-e6481120b0c7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1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fd809a-534b-4136-9d15-974c5e4b3b76" elementFormDefault="qualified">
    <xsd:import namespace="http://schemas.microsoft.com/office/2006/documentManagement/types"/>
    <xsd:import namespace="http://schemas.microsoft.com/office/infopath/2007/PartnerControls"/>
    <xsd:element name="TaxCatchAll" ma:index="18" nillable="true" ma:displayName="Taxonomy Catch All Column" ma:hidden="true" ma:list="{118b0001-8a7d-4075-83f7-43d40cc5274f}" ma:internalName="TaxCatchAll" ma:showField="CatchAllData" ma:web="d6fd809a-534b-4136-9d15-974c5e4b3b7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9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9D02B3F-7CA9-4F0C-9E6E-7953F91F8F3F}">
  <ds:schemaRefs>
    <ds:schemaRef ds:uri="http://schemas.microsoft.com/office/infopath/2007/PartnerControls"/>
    <ds:schemaRef ds:uri="05226bab-2dd1-492a-af9e-0ea68565f3cb"/>
    <ds:schemaRef ds:uri="d6fd809a-534b-4136-9d15-974c5e4b3b76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3E958095-A665-467F-B608-F75713C56A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5226bab-2dd1-492a-af9e-0ea68565f3cb"/>
    <ds:schemaRef ds:uri="d6fd809a-534b-4136-9d15-974c5e4b3b7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1EA1FA-3A08-47BE-A00B-AEB091DFA6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data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Ulf Lindqvist</dc:creator>
  <cp:keywords/>
  <dc:description/>
  <cp:lastModifiedBy>Towe Holmborn</cp:lastModifiedBy>
  <cp:revision/>
  <dcterms:created xsi:type="dcterms:W3CDTF">2019-12-19T09:22:04Z</dcterms:created>
  <dcterms:modified xsi:type="dcterms:W3CDTF">2024-04-04T10:04:40Z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0x010100C39F66EDD1D37147BFD4AC4C670FB2BF</vt:lpwstr>
  </property>
  <property fmtid="{D5CDD505-2E9C-101B-9397-08002B2CF9AE}" pid="3" name="MediaServiceImageTags">
    <vt:lpwstr/>
  </property>
</Properties>
</file>